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24226"/>
  <mc:AlternateContent xmlns:mc="http://schemas.openxmlformats.org/markup-compatibility/2006">
    <mc:Choice Requires="x15">
      <x15ac:absPath xmlns:x15ac="http://schemas.microsoft.com/office/spreadsheetml/2010/11/ac" url="Z:\Projekte\2022\010 Malerhandbuch\"/>
    </mc:Choice>
  </mc:AlternateContent>
  <xr:revisionPtr revIDLastSave="0" documentId="13_ncr:1_{77BAAF18-0E38-4541-BFCA-8AF9A7797EE3}" xr6:coauthVersionLast="36" xr6:coauthVersionMax="36" xr10:uidLastSave="{00000000-0000-0000-0000-000000000000}"/>
  <workbookProtection workbookPassword="962C" lockStructure="1"/>
  <bookViews>
    <workbookView xWindow="-120" yWindow="-120" windowWidth="29040" windowHeight="15840" tabRatio="805" activeTab="3" xr2:uid="{00000000-000D-0000-FFFF-FFFF00000000}"/>
  </bookViews>
  <sheets>
    <sheet name="Lizenz u lies mich" sheetId="29" r:id="rId1"/>
    <sheet name="L-Rechner" sheetId="31" state="hidden" r:id="rId2"/>
    <sheet name="Stammdaten" sheetId="17" r:id="rId3"/>
    <sheet name="Projekt" sheetId="19" r:id="rId4"/>
    <sheet name="Report" sheetId="33" r:id="rId5"/>
    <sheet name="K2 GZ" sheetId="20" r:id="rId6"/>
    <sheet name="K2a Z f ..." sheetId="32" r:id="rId7"/>
    <sheet name=" K3 PP" sheetId="16" r:id="rId8"/>
    <sheet name=" K3 Regie1" sheetId="27" r:id="rId9"/>
    <sheet name=" K3 Regie2" sheetId="28" r:id="rId10"/>
    <sheet name=" K3 Regie3" sheetId="34" r:id="rId11"/>
    <sheet name=" K3 Regie4" sheetId="37" r:id="rId12"/>
    <sheet name=" K3 Regiepartie1" sheetId="38" r:id="rId13"/>
  </sheets>
  <externalReferences>
    <externalReference r:id="rId14"/>
    <externalReference r:id="rId15"/>
    <externalReference r:id="rId16"/>
  </externalReferences>
  <definedNames>
    <definedName name="_Anzeige_Prozent">Projekt!$F$273</definedName>
    <definedName name="_F1">Projekt!$L$55</definedName>
    <definedName name="_F10">Projekt!$L$53</definedName>
    <definedName name="_F11">Projekt!$L$52</definedName>
    <definedName name="_F12">Projekt!$L$136</definedName>
    <definedName name="_F13">Projekt!$L$137</definedName>
    <definedName name="_F14">Projekt!$L$179</definedName>
    <definedName name="_F15">Projekt!$L$198</definedName>
    <definedName name="_F16">Projekt!$L$199</definedName>
    <definedName name="_F2">Projekt!$L$56</definedName>
    <definedName name="_F3">Projekt!$L$97</definedName>
    <definedName name="_F4">Projekt!$L$138</definedName>
    <definedName name="_F5">Projekt!$L$159</definedName>
    <definedName name="_F6">Projekt!$L$212</definedName>
    <definedName name="_F7">Projekt!$L$239</definedName>
    <definedName name="_F8">Projekt!$L$267</definedName>
    <definedName name="_F9">Projekt!$L$268</definedName>
    <definedName name="_OK?" comment="Lizent OK, dann OK!">'Lizenz u lies mich'!$Q$16</definedName>
    <definedName name="_OK_KV?">Stammdaten!$P$12</definedName>
    <definedName name="_Test">'Lizenz u lies mich'!$H$30</definedName>
    <definedName name="_Verband" comment="Kennzeichen für Universallizenz">'Lizenz u lies mich'!$O$9</definedName>
    <definedName name="_Verband_KollV2">'Lizenz u lies mich'!$R$20</definedName>
    <definedName name="_Verband_KollV3">'Lizenz u lies mich'!$R$21</definedName>
    <definedName name="_Verband_KollV4">'Lizenz u lies mich'!$R$22</definedName>
    <definedName name="_Verband_KollV5">'Lizenz u lies mich'!$R$23</definedName>
    <definedName name="_WAZ1">[1]SOLL_AZ.XLS!$H$58</definedName>
    <definedName name="_WAZ2">[1]SOLL_AZ.XLS!$I$58</definedName>
    <definedName name="AB_10b">[1]SOLL_AZ.XLS!$I$161</definedName>
    <definedName name="AB_20">[1]SOLL_AZ.XLS!$I$185</definedName>
    <definedName name="AB_21">[1]KALK.XLS!$M$409</definedName>
    <definedName name="AB_6">[1]SOLL_AZ.XLS!$I$108</definedName>
    <definedName name="AB_7a">[1]SOLL_AZ.XLS!$I$115</definedName>
    <definedName name="AB_7b">[1]SOLL_AZ.XLS!$I$120</definedName>
    <definedName name="AB_8a">[1]SOLL_AZ.XLS!$I$139</definedName>
    <definedName name="AB_A">[1]KALK.XLS!$M$6</definedName>
    <definedName name="AB_B">[1]KALK.XLS!$M$8</definedName>
    <definedName name="AB_C">[1]KALK.XLS!$M$12</definedName>
    <definedName name="AB_ML">[1]KALK.XLS!$M$21</definedName>
    <definedName name="AB_U">[1]KALK.XLS!$M$418</definedName>
    <definedName name="AB_WBF">[1]SV_SATZ.XLS!$H$12</definedName>
    <definedName name="Arb_IE">[1]SV_SATZ.XLS!$E$27</definedName>
    <definedName name="Arb_KV">[1]SV_SATZ.XLS!$E$29</definedName>
    <definedName name="ARB_KV_AN">[1]SV_SATZ.XLS!$F$29</definedName>
    <definedName name="Arb_UV">[1]SV_SATZ.XLS!$E$31</definedName>
    <definedName name="AufzahlungsSTD" localSheetId="6">'[2]Stamm KV-Daten'!$A$50:$A$59</definedName>
    <definedName name="AufzahlungsSTD" localSheetId="0">'Lizenz u lies mich'!#REF!</definedName>
    <definedName name="AufzahlungsSTD" localSheetId="1">'L-Rechner'!#REF!</definedName>
    <definedName name="AufzahlungsSTD">Stammdaten!$A$50:$A$54</definedName>
    <definedName name="AufzahlungsStdEURO" localSheetId="6">'[2]Stamm KV-Daten'!$A$61:$A$65</definedName>
    <definedName name="AufzahlungsStdEURO" localSheetId="0">'Lizenz u lies mich'!#REF!</definedName>
    <definedName name="AufzahlungsStdEURO" localSheetId="1">'L-Rechner'!#REF!</definedName>
    <definedName name="AufzahlungsStdEURO">Stammdaten!$A$56:$A$60</definedName>
    <definedName name="AZ_1">[1]SOLL_AZ.XLS!$H$196</definedName>
    <definedName name="AZ_2">[1]SOLL_AZ.XLS!$I$196</definedName>
    <definedName name="AZ_AB">[1]SOLL_AZ.XLS!$I$197</definedName>
    <definedName name="AZ_BIS">[1]SOLL_AZ.XLS!$H$197</definedName>
    <definedName name="BIS_10b">[1]SOLL_AZ.XLS!$H$161</definedName>
    <definedName name="BIS_11">[1]SOLL_AZ.XLS!$H$168</definedName>
    <definedName name="BIS_12">[1]SOLL_AZ.XLS!$H$174</definedName>
    <definedName name="BIS_13">[1]SOLL_AZ.XLS!$H$190</definedName>
    <definedName name="BIS_20">[1]SOLL_AZ.XLS!$H$184</definedName>
    <definedName name="Bis_3">[1]SOLL_AZ.XLS!$H$79</definedName>
    <definedName name="BIS_4">[1]SOLL_AZ.XLS!$H$86</definedName>
    <definedName name="BIS_5">[1]SOLL_AZ.XLS!$H$93</definedName>
    <definedName name="BIS_6">[1]SOLL_AZ.XLS!$H$108</definedName>
    <definedName name="BIS_7a">[1]SOLL_AZ.XLS!$H$115</definedName>
    <definedName name="BIS_7b">[1]SOLL_AZ.XLS!$H$120</definedName>
    <definedName name="BIS_8a">[1]SOLL_AZ.XLS!$H$139</definedName>
    <definedName name="BIS_9">[1]SOLL_AZ.XLS!$H$155</definedName>
    <definedName name="BIS_A">[1]KALK.XLS!$L$6</definedName>
    <definedName name="BIS_B">[1]KALK.XLS!$L$8</definedName>
    <definedName name="BIS_C">[1]KALK.XLS!$L$12</definedName>
    <definedName name="BIS_ML">[1]KALK.XLS!$L$21</definedName>
    <definedName name="BIS_U">[1]KALK.XLS!$L$418</definedName>
    <definedName name="BIS_WBF">[1]SV_SATZ.XLS!$G$12</definedName>
    <definedName name="DienstreiseSTD" localSheetId="6">'[2]Stamm KV-Daten'!$A$117:$A$119</definedName>
    <definedName name="DienstreiseSTD" localSheetId="0">'Lizenz u lies mich'!#REF!</definedName>
    <definedName name="DienstreiseSTD" localSheetId="1">'L-Rechner'!#REF!</definedName>
    <definedName name="DienstreiseSTD">Stammdaten!$A$114:$A$116</definedName>
    <definedName name="DienstreiseTAG" localSheetId="6">'[2]Stamm KV-Daten'!$A$103:$A$114</definedName>
    <definedName name="DienstreiseTAG" localSheetId="0">'Lizenz u lies mich'!#REF!</definedName>
    <definedName name="DienstreiseTAG" localSheetId="1">'L-Rechner'!#REF!</definedName>
    <definedName name="DienstreiseTAG">Stammdaten!$A$100:$A$111</definedName>
    <definedName name="DienstreiseWOCHE" localSheetId="6">'[2]Stamm KV-Daten'!$A$122:$A$127</definedName>
    <definedName name="DienstreiseWOCHE" localSheetId="0">'Lizenz u lies mich'!#REF!</definedName>
    <definedName name="DienstreiseWOCHE" localSheetId="1">'L-Rechner'!#REF!</definedName>
    <definedName name="DienstreiseWOCHE">Stammdaten!$A$119:$A$124</definedName>
    <definedName name="_xlnm.Print_Area" localSheetId="7">' K3 PP'!$A$1:$P$47</definedName>
    <definedName name="_xlnm.Print_Area" localSheetId="5">'K2 GZ'!$A$1:$L$27</definedName>
    <definedName name="_xlnm.Print_Area" localSheetId="0">'Lizenz u lies mich'!#REF!</definedName>
    <definedName name="_xlnm.Print_Area" localSheetId="1">'L-Rechner'!#REF!</definedName>
    <definedName name="_xlnm.Print_Area" localSheetId="3">Projekt!$A$1:$I$562</definedName>
    <definedName name="_xlnm.Print_Area" localSheetId="2">Stammdaten!$A$1:$F$156</definedName>
    <definedName name="ErschwernisZul" localSheetId="6">'[2]Stamm KV-Daten'!$A$71:$A$97</definedName>
    <definedName name="ErschwernisZul" localSheetId="0">'Lizenz u lies mich'!#REF!</definedName>
    <definedName name="ErschwernisZul" localSheetId="1">'L-Rechner'!#REF!</definedName>
    <definedName name="ErschwernisZul">Stammdaten!$A$68:$A$94</definedName>
    <definedName name="HB_Grundl1">[1]SV_SATZ.XLS!$E$39</definedName>
    <definedName name="HTML_CodePage" hidden="1">1252</definedName>
    <definedName name="HTML_Control" hidden="1">{"'Zusammenfassung für ÖSTAT'!$A$1:$G$55"}</definedName>
    <definedName name="HTML_Description" hidden="1">""</definedName>
    <definedName name="HTML_Email" hidden="1">""</definedName>
    <definedName name="HTML_Header" hidden="1">"Zusammenfassung für ÖSTAT"</definedName>
    <definedName name="HTML_LastUpdate" hidden="1">"23.12.99"</definedName>
    <definedName name="HTML_LineAfter" hidden="1">TRUE</definedName>
    <definedName name="HTML_LineBefore" hidden="1">TRUE</definedName>
    <definedName name="HTML_Name" hidden="1">"Andreas Kropik"</definedName>
    <definedName name="HTML_OBDlg2" hidden="1">TRUE</definedName>
    <definedName name="HTML_OBDlg4" hidden="1">TRUE</definedName>
    <definedName name="HTML_OS" hidden="1">0</definedName>
    <definedName name="HTML_PathFile" hidden="1">"D:\Eigene Dateien\internetpublikation\sk_tab01012000.htm"</definedName>
    <definedName name="HTML_Title" hidden="1">"FM"</definedName>
    <definedName name="K2GZWerte">'K2 GZ'!$H$21:$H$26</definedName>
    <definedName name="KVBezeichnung" localSheetId="6">'[2]Stamm KV-Daten'!$A$7:$A$33</definedName>
    <definedName name="KVBezeichnung" localSheetId="0">'Lizenz u lies mich'!#REF!</definedName>
    <definedName name="KVBezeichnung" localSheetId="1">'L-Rechner'!#REF!</definedName>
    <definedName name="KVBezeichnung">Stammdaten!$A$7:$A$33</definedName>
    <definedName name="MehrarbeitsStd" localSheetId="6">'[2]Stamm KV-Daten'!$A$39:$A$48</definedName>
    <definedName name="MehrarbeitsStd" localSheetId="0">'Lizenz u lies mich'!#REF!</definedName>
    <definedName name="MehrarbeitsStd" localSheetId="1">'L-Rechner'!#REF!</definedName>
    <definedName name="MehrarbeitsStd">Stammdaten!$A$39:$A$48</definedName>
    <definedName name="sdsddsdsds" hidden="1">{"'Zusammenfassung für ÖSTAT'!$A$1:$G$55"}</definedName>
    <definedName name="SV_AB">[1]SV_SATZ.XLS!$H$15</definedName>
    <definedName name="SV_BIS">[1]SV_SATZ.XLS!$G$15</definedName>
    <definedName name="UmlagenK3spalteA" localSheetId="6">[2]Projekt!$A$242:$A$246</definedName>
    <definedName name="UmlagenK3spalteA">Projekt!$A$253:$A$257</definedName>
    <definedName name="wwwww" hidden="1">{"'Zusammenfassung für ÖSTAT'!$A$1:$G$55"}</definedName>
    <definedName name="xx">[3]SOLL_AZ.XLS!$I$160</definedName>
  </definedNames>
  <calcPr calcId="191029" fullPrecision="0"/>
</workbook>
</file>

<file path=xl/calcChain.xml><?xml version="1.0" encoding="utf-8"?>
<calcChain xmlns="http://schemas.openxmlformats.org/spreadsheetml/2006/main">
  <c r="L86" i="19" l="1"/>
  <c r="L65" i="19"/>
  <c r="L66" i="19"/>
  <c r="L67" i="19"/>
  <c r="L68" i="19"/>
  <c r="L69" i="19"/>
  <c r="L70" i="19"/>
  <c r="L64" i="19"/>
  <c r="L83" i="19"/>
  <c r="L84" i="19"/>
  <c r="L82" i="19"/>
  <c r="G89" i="19" l="1"/>
  <c r="I198" i="19" l="1"/>
  <c r="K12" i="38"/>
  <c r="K11" i="38"/>
  <c r="A78" i="19" l="1"/>
  <c r="B5" i="19" l="1"/>
  <c r="A47" i="27" l="1"/>
  <c r="A47" i="28"/>
  <c r="A47" i="34"/>
  <c r="A47" i="37"/>
  <c r="A47" i="38"/>
  <c r="A47" i="16"/>
  <c r="M45" i="16" l="1"/>
  <c r="M40" i="16"/>
  <c r="H325" i="19" l="1"/>
  <c r="J480" i="19"/>
  <c r="J427" i="19"/>
  <c r="J369" i="19"/>
  <c r="J536" i="19"/>
  <c r="J316" i="19"/>
  <c r="D309" i="19" l="1"/>
  <c r="C341" i="19" s="1"/>
  <c r="D362" i="19"/>
  <c r="C394" i="19" s="1"/>
  <c r="D420" i="19"/>
  <c r="C452" i="19" s="1"/>
  <c r="D473" i="19"/>
  <c r="C505" i="19" s="1"/>
  <c r="F2" i="38"/>
  <c r="B38" i="27"/>
  <c r="B37" i="27"/>
  <c r="B37" i="16"/>
  <c r="B38" i="16"/>
  <c r="J512" i="19"/>
  <c r="J513" i="19"/>
  <c r="J514" i="19"/>
  <c r="J511" i="19"/>
  <c r="H12" i="38"/>
  <c r="H13" i="38"/>
  <c r="H14" i="38"/>
  <c r="B12" i="38"/>
  <c r="B13" i="38"/>
  <c r="B14" i="38"/>
  <c r="B11" i="38"/>
  <c r="H11" i="38"/>
  <c r="B37" i="38"/>
  <c r="B38" i="38"/>
  <c r="B36" i="38"/>
  <c r="M6" i="38"/>
  <c r="J6" i="38"/>
  <c r="E6" i="38"/>
  <c r="J5" i="38"/>
  <c r="E5" i="38"/>
  <c r="G4" i="38"/>
  <c r="C4" i="38"/>
  <c r="G1" i="38"/>
  <c r="A508" i="19"/>
  <c r="A455" i="19"/>
  <c r="A402" i="19"/>
  <c r="A344" i="19"/>
  <c r="A291" i="19"/>
  <c r="E515" i="19"/>
  <c r="F514" i="19" s="1"/>
  <c r="F511" i="19" l="1"/>
  <c r="F513" i="19"/>
  <c r="F512" i="19"/>
  <c r="H19" i="38"/>
  <c r="I544" i="19" l="1"/>
  <c r="J543" i="19"/>
  <c r="I540" i="19"/>
  <c r="J539" i="19"/>
  <c r="I536" i="19"/>
  <c r="H535" i="19"/>
  <c r="P19" i="38" s="1"/>
  <c r="I534" i="19"/>
  <c r="H534" i="19"/>
  <c r="K25" i="38" s="1"/>
  <c r="I526" i="19"/>
  <c r="J520" i="19"/>
  <c r="E518" i="19"/>
  <c r="F521" i="19" s="1"/>
  <c r="J517" i="19"/>
  <c r="I517" i="19"/>
  <c r="H521" i="19" l="1"/>
  <c r="F517" i="19"/>
  <c r="F518" i="19" s="1"/>
  <c r="I173" i="19"/>
  <c r="F26" i="19" l="1"/>
  <c r="F27" i="19"/>
  <c r="F28" i="19"/>
  <c r="F29" i="19"/>
  <c r="F30" i="19"/>
  <c r="F36" i="19"/>
  <c r="G44" i="19"/>
  <c r="A41" i="19"/>
  <c r="C12" i="29" l="1"/>
  <c r="C10" i="29"/>
  <c r="C8" i="29"/>
  <c r="I132" i="19" l="1"/>
  <c r="H132" i="19"/>
  <c r="E32" i="19" l="1"/>
  <c r="B14" i="16"/>
  <c r="B15" i="16"/>
  <c r="B16" i="16"/>
  <c r="B17" i="16"/>
  <c r="B18" i="16"/>
  <c r="F25" i="19" l="1"/>
  <c r="F23" i="19"/>
  <c r="F31" i="19"/>
  <c r="F24" i="19"/>
  <c r="A29" i="32"/>
  <c r="A27" i="20"/>
  <c r="J487" i="19" l="1"/>
  <c r="J483" i="19"/>
  <c r="J464" i="19"/>
  <c r="J461" i="19"/>
  <c r="J434" i="19"/>
  <c r="J430" i="19"/>
  <c r="J411" i="19"/>
  <c r="J408" i="19"/>
  <c r="F218" i="19"/>
  <c r="J217" i="19" s="1"/>
  <c r="B38" i="37" l="1"/>
  <c r="B37" i="37"/>
  <c r="B36" i="37"/>
  <c r="K12" i="34"/>
  <c r="K12" i="37"/>
  <c r="K11" i="34"/>
  <c r="K11" i="37"/>
  <c r="H10" i="37"/>
  <c r="H19" i="37" s="1"/>
  <c r="B10" i="37"/>
  <c r="F2" i="37"/>
  <c r="M6" i="37"/>
  <c r="J6" i="37"/>
  <c r="E6" i="37"/>
  <c r="J5" i="37"/>
  <c r="E5" i="37"/>
  <c r="G4" i="37"/>
  <c r="C4" i="37"/>
  <c r="G1" i="37"/>
  <c r="I488" i="19"/>
  <c r="I484" i="19"/>
  <c r="I480" i="19"/>
  <c r="H479" i="19"/>
  <c r="I478" i="19"/>
  <c r="H478" i="19"/>
  <c r="K25" i="37" s="1"/>
  <c r="I470" i="19"/>
  <c r="E462" i="19"/>
  <c r="H465" i="19" s="1"/>
  <c r="I461" i="19"/>
  <c r="E459" i="19"/>
  <c r="B38" i="34"/>
  <c r="B37" i="34"/>
  <c r="B36" i="34"/>
  <c r="H10" i="34"/>
  <c r="H19" i="34" s="1"/>
  <c r="B10" i="34"/>
  <c r="F2" i="34"/>
  <c r="M6" i="34"/>
  <c r="J6" i="34"/>
  <c r="E6" i="34"/>
  <c r="J5" i="34"/>
  <c r="E5" i="34"/>
  <c r="G4" i="34"/>
  <c r="C4" i="34"/>
  <c r="G1" i="34"/>
  <c r="I435" i="19"/>
  <c r="I431" i="19"/>
  <c r="I427" i="19"/>
  <c r="H426" i="19"/>
  <c r="P19" i="34" s="1"/>
  <c r="I425" i="19"/>
  <c r="H425" i="19"/>
  <c r="K25" i="34" s="1"/>
  <c r="I417" i="19"/>
  <c r="E409" i="19"/>
  <c r="I408" i="19"/>
  <c r="E406" i="19"/>
  <c r="L95" i="19"/>
  <c r="P19" i="37" l="1"/>
  <c r="F408" i="19"/>
  <c r="F409" i="19" s="1"/>
  <c r="H412" i="19"/>
  <c r="F412" i="19"/>
  <c r="F465" i="19"/>
  <c r="F461" i="19"/>
  <c r="F462" i="19" l="1"/>
  <c r="E2" i="17" l="1"/>
  <c r="B2" i="17"/>
  <c r="I4" i="17" l="1"/>
  <c r="N39" i="29"/>
  <c r="N38" i="29"/>
  <c r="N37" i="29"/>
  <c r="N36" i="29"/>
  <c r="N35" i="29"/>
  <c r="N34" i="29"/>
  <c r="N33" i="29"/>
  <c r="C39" i="17"/>
  <c r="B3" i="17"/>
  <c r="B8" i="38" l="1"/>
  <c r="A22" i="19"/>
  <c r="B8" i="37"/>
  <c r="B8" i="34"/>
  <c r="H137" i="19"/>
  <c r="G137" i="19"/>
  <c r="N32" i="29"/>
  <c r="N31" i="29"/>
  <c r="N30" i="29"/>
  <c r="N29" i="29"/>
  <c r="O9" i="29" l="1"/>
  <c r="O30" i="29" l="1"/>
  <c r="B23" i="29"/>
  <c r="H6" i="17"/>
  <c r="O34" i="29"/>
  <c r="O35" i="29"/>
  <c r="O36" i="29"/>
  <c r="O37" i="29"/>
  <c r="O33" i="29"/>
  <c r="M2" i="17" s="1"/>
  <c r="N2" i="17" s="1"/>
  <c r="O38" i="29"/>
  <c r="O40" i="29"/>
  <c r="M10" i="17" s="1"/>
  <c r="O39" i="29"/>
  <c r="O29" i="29"/>
  <c r="I6" i="17" s="1"/>
  <c r="A17" i="29"/>
  <c r="O32" i="29"/>
  <c r="O31" i="29"/>
  <c r="A4" i="19" s="1"/>
  <c r="O28" i="29"/>
  <c r="O27" i="29"/>
  <c r="N11" i="29" s="1"/>
  <c r="G3" i="17"/>
  <c r="Q10" i="29" l="1"/>
  <c r="B24" i="29" l="1"/>
  <c r="N14" i="29" l="1"/>
  <c r="O14" i="29"/>
  <c r="P14" i="29" s="1"/>
  <c r="Q14" i="29" l="1"/>
  <c r="B12" i="32" l="1"/>
  <c r="I24" i="32" s="1"/>
  <c r="B13" i="32"/>
  <c r="I25" i="32" s="1"/>
  <c r="B14" i="32"/>
  <c r="I26" i="32" s="1"/>
  <c r="B15" i="32"/>
  <c r="I27" i="32" s="1"/>
  <c r="B16" i="32"/>
  <c r="I28" i="32" s="1"/>
  <c r="B11" i="32"/>
  <c r="I23" i="32" s="1"/>
  <c r="H28" i="32"/>
  <c r="F28" i="32"/>
  <c r="D28" i="32"/>
  <c r="B28" i="32"/>
  <c r="H27" i="32"/>
  <c r="F27" i="32"/>
  <c r="D27" i="32"/>
  <c r="B27" i="32"/>
  <c r="H26" i="32"/>
  <c r="F26" i="32"/>
  <c r="D26" i="32"/>
  <c r="B26" i="32"/>
  <c r="H25" i="32"/>
  <c r="F25" i="32"/>
  <c r="D25" i="32"/>
  <c r="B25" i="32"/>
  <c r="H24" i="32"/>
  <c r="F24" i="32"/>
  <c r="D24" i="32"/>
  <c r="B24" i="32"/>
  <c r="H23" i="32"/>
  <c r="F23" i="32"/>
  <c r="D23" i="32"/>
  <c r="B23" i="32"/>
  <c r="F16" i="32"/>
  <c r="G16" i="32" s="1"/>
  <c r="I16" i="32" s="1"/>
  <c r="J16" i="32" s="1"/>
  <c r="L16" i="32" s="1"/>
  <c r="F15" i="32"/>
  <c r="G15" i="32" s="1"/>
  <c r="I15" i="32" s="1"/>
  <c r="F14" i="32"/>
  <c r="G14" i="32" s="1"/>
  <c r="I14" i="32" s="1"/>
  <c r="J14" i="32" s="1"/>
  <c r="L14" i="32" s="1"/>
  <c r="F13" i="32"/>
  <c r="F12" i="32"/>
  <c r="G12" i="32" s="1"/>
  <c r="I12" i="32" s="1"/>
  <c r="J12" i="32" s="1"/>
  <c r="L12" i="32" s="1"/>
  <c r="F11" i="32"/>
  <c r="G11" i="32" s="1"/>
  <c r="I11" i="32" s="1"/>
  <c r="G13" i="32" l="1"/>
  <c r="I13" i="32" s="1"/>
  <c r="J13" i="32" s="1"/>
  <c r="L13" i="32" s="1"/>
  <c r="K26" i="32"/>
  <c r="E13" i="20" s="1"/>
  <c r="J11" i="32"/>
  <c r="L11" i="32" s="1"/>
  <c r="K23" i="32" s="1"/>
  <c r="E10" i="20" s="1"/>
  <c r="K28" i="32"/>
  <c r="E15" i="20" s="1"/>
  <c r="J15" i="32"/>
  <c r="L15" i="32" s="1"/>
  <c r="K27" i="32" s="1"/>
  <c r="E14" i="20" s="1"/>
  <c r="K24" i="32"/>
  <c r="E11" i="20" s="1"/>
  <c r="K25" i="32" l="1"/>
  <c r="E12" i="20" s="1"/>
  <c r="D9" i="19" l="1"/>
  <c r="D8" i="19"/>
  <c r="I278" i="19"/>
  <c r="I276" i="19"/>
  <c r="K5" i="28" l="1"/>
  <c r="K5" i="34"/>
  <c r="K5" i="37"/>
  <c r="K5" i="38"/>
  <c r="K5" i="16"/>
  <c r="A4" i="32"/>
  <c r="K5" i="27"/>
  <c r="A4" i="20"/>
  <c r="A3" i="20"/>
  <c r="K4" i="28"/>
  <c r="K4" i="16"/>
  <c r="A3" i="32"/>
  <c r="K4" i="27"/>
  <c r="K4" i="34"/>
  <c r="K4" i="37"/>
  <c r="K4" i="38"/>
  <c r="B3" i="31"/>
  <c r="B25" i="31" s="1"/>
  <c r="C25" i="31" s="1"/>
  <c r="B2" i="31"/>
  <c r="B7" i="31" s="1"/>
  <c r="C7" i="31" s="1"/>
  <c r="B14" i="29" l="1"/>
  <c r="B4" i="31" s="1"/>
  <c r="B17" i="31"/>
  <c r="C17" i="31" s="1"/>
  <c r="B21" i="31"/>
  <c r="C21" i="31" s="1"/>
  <c r="B22" i="31"/>
  <c r="C22" i="31" s="1"/>
  <c r="D22" i="31" s="1"/>
  <c r="B19" i="31"/>
  <c r="C19" i="31" s="1"/>
  <c r="D19" i="31" s="1"/>
  <c r="E19" i="31" s="1"/>
  <c r="B23" i="31"/>
  <c r="C23" i="31" s="1"/>
  <c r="D23" i="31" s="1"/>
  <c r="E23" i="31" s="1"/>
  <c r="B15" i="31"/>
  <c r="C15" i="31" s="1"/>
  <c r="D15" i="31" s="1"/>
  <c r="E15" i="31" s="1"/>
  <c r="B11" i="31"/>
  <c r="C11" i="31" s="1"/>
  <c r="D11" i="31" s="1"/>
  <c r="B13" i="31"/>
  <c r="C13" i="31" s="1"/>
  <c r="F2" i="31"/>
  <c r="B6" i="31"/>
  <c r="D7" i="31"/>
  <c r="E7" i="31" s="1"/>
  <c r="D25" i="31"/>
  <c r="E25" i="31" s="1"/>
  <c r="B8" i="31"/>
  <c r="B10" i="31"/>
  <c r="B14" i="31"/>
  <c r="B18" i="31"/>
  <c r="B24" i="31"/>
  <c r="F3" i="31"/>
  <c r="B16" i="31"/>
  <c r="B20" i="31"/>
  <c r="A51" i="31"/>
  <c r="D21" i="31" l="1"/>
  <c r="E21" i="31" s="1"/>
  <c r="D13" i="31"/>
  <c r="E13" i="31" s="1"/>
  <c r="F4" i="31"/>
  <c r="B9" i="31" s="1"/>
  <c r="C9" i="31" s="1"/>
  <c r="D9" i="31" s="1"/>
  <c r="B5" i="31"/>
  <c r="C10" i="31"/>
  <c r="E22" i="31"/>
  <c r="C8" i="31"/>
  <c r="D8" i="31" s="1"/>
  <c r="E8" i="31" s="1"/>
  <c r="D17" i="31"/>
  <c r="E17" i="31" s="1"/>
  <c r="C20" i="31"/>
  <c r="B12" i="31"/>
  <c r="C14" i="31"/>
  <c r="D14" i="31" s="1"/>
  <c r="E14" i="31" s="1"/>
  <c r="C16" i="31"/>
  <c r="C18" i="31"/>
  <c r="E11" i="31"/>
  <c r="C24" i="31"/>
  <c r="C6" i="31"/>
  <c r="D6" i="31" s="1"/>
  <c r="E6" i="31" s="1"/>
  <c r="G186" i="19"/>
  <c r="D18" i="31" l="1"/>
  <c r="E18" i="31" s="1"/>
  <c r="D24" i="31"/>
  <c r="E24" i="31" s="1"/>
  <c r="D20" i="31"/>
  <c r="E20" i="31" s="1"/>
  <c r="D10" i="31"/>
  <c r="E10" i="31" s="1"/>
  <c r="D16" i="31"/>
  <c r="E16" i="31" s="1"/>
  <c r="C5" i="31"/>
  <c r="D5" i="31" s="1"/>
  <c r="C12" i="31"/>
  <c r="E9" i="31"/>
  <c r="E5" i="31" l="1"/>
  <c r="D12" i="31"/>
  <c r="E12" i="31" l="1"/>
  <c r="K12" i="28"/>
  <c r="K11" i="28"/>
  <c r="K11" i="27"/>
  <c r="K12" i="27"/>
  <c r="I377" i="19"/>
  <c r="I373" i="19"/>
  <c r="I369" i="19"/>
  <c r="I367" i="19"/>
  <c r="I359" i="19"/>
  <c r="I324" i="19"/>
  <c r="J323" i="19"/>
  <c r="I320" i="19"/>
  <c r="J319" i="19"/>
  <c r="I316" i="19"/>
  <c r="J376" i="19"/>
  <c r="J105" i="19"/>
  <c r="J106" i="19"/>
  <c r="J104" i="19"/>
  <c r="B15" i="29" l="1"/>
  <c r="E348" i="19"/>
  <c r="Q15" i="29" l="1"/>
  <c r="H5" i="19"/>
  <c r="L5" i="19" s="1"/>
  <c r="E38" i="19"/>
  <c r="F35" i="19" l="1"/>
  <c r="F37" i="19"/>
  <c r="I96" i="19"/>
  <c r="C17" i="19"/>
  <c r="J372" i="19"/>
  <c r="F17" i="19" l="1"/>
  <c r="F45" i="16" s="1"/>
  <c r="F40" i="16"/>
  <c r="I314" i="19"/>
  <c r="I306" i="19"/>
  <c r="J353" i="19"/>
  <c r="J300" i="19"/>
  <c r="J350" i="19"/>
  <c r="J297" i="19"/>
  <c r="J189" i="19"/>
  <c r="J187" i="19"/>
  <c r="J184" i="19"/>
  <c r="J186" i="19"/>
  <c r="I179" i="19"/>
  <c r="J171" i="19"/>
  <c r="J170" i="19"/>
  <c r="J169" i="19"/>
  <c r="J165" i="19"/>
  <c r="J164" i="19"/>
  <c r="J163" i="19"/>
  <c r="J155" i="19"/>
  <c r="J156" i="19"/>
  <c r="J157" i="19"/>
  <c r="J158" i="19"/>
  <c r="J154" i="19"/>
  <c r="I137" i="19"/>
  <c r="I136" i="19"/>
  <c r="J112" i="19"/>
  <c r="J113" i="19"/>
  <c r="J114" i="19"/>
  <c r="J115" i="19"/>
  <c r="J116" i="19"/>
  <c r="J111" i="19"/>
  <c r="J92" i="19"/>
  <c r="J84" i="19"/>
  <c r="J83" i="19"/>
  <c r="J82" i="19"/>
  <c r="J86" i="19"/>
  <c r="J72" i="19"/>
  <c r="J65" i="19"/>
  <c r="J66" i="19"/>
  <c r="J67" i="19"/>
  <c r="J68" i="19"/>
  <c r="J69" i="19"/>
  <c r="J70" i="19"/>
  <c r="J64" i="19"/>
  <c r="I54" i="19"/>
  <c r="J37" i="19"/>
  <c r="J35" i="19"/>
  <c r="J24" i="19"/>
  <c r="J25" i="19"/>
  <c r="J26" i="19"/>
  <c r="J27" i="19"/>
  <c r="J28" i="19"/>
  <c r="J29" i="19"/>
  <c r="J30" i="19"/>
  <c r="J31" i="19"/>
  <c r="J23" i="19"/>
  <c r="J18" i="19"/>
  <c r="J36" i="19" l="1"/>
  <c r="E6" i="28" l="1"/>
  <c r="E5" i="28"/>
  <c r="J6" i="28"/>
  <c r="J5" i="28"/>
  <c r="J6" i="27"/>
  <c r="J5" i="27"/>
  <c r="E6" i="27"/>
  <c r="E5" i="27"/>
  <c r="J6" i="16"/>
  <c r="J5" i="16"/>
  <c r="E6" i="16"/>
  <c r="E5" i="16"/>
  <c r="F246" i="19" l="1"/>
  <c r="A253" i="19" s="1"/>
  <c r="G556" i="19" l="1"/>
  <c r="K37" i="38" s="1"/>
  <c r="F10" i="20"/>
  <c r="E298" i="19" l="1"/>
  <c r="H368" i="19" l="1"/>
  <c r="P19" i="28" s="1"/>
  <c r="H367" i="19"/>
  <c r="H315" i="19"/>
  <c r="H314" i="19"/>
  <c r="A256" i="19"/>
  <c r="A257" i="19"/>
  <c r="G257" i="19" s="1"/>
  <c r="G256" i="19" l="1"/>
  <c r="F257" i="19"/>
  <c r="F256" i="19"/>
  <c r="B38" i="28" l="1"/>
  <c r="B37" i="28"/>
  <c r="B36" i="28"/>
  <c r="B10" i="28"/>
  <c r="F2" i="28"/>
  <c r="M6" i="28"/>
  <c r="G4" i="28"/>
  <c r="C4" i="28"/>
  <c r="G1" i="28"/>
  <c r="K25" i="28"/>
  <c r="E351" i="19"/>
  <c r="H354" i="19" s="1"/>
  <c r="I350" i="19"/>
  <c r="F354" i="19" l="1"/>
  <c r="F350" i="19"/>
  <c r="F12" i="20"/>
  <c r="G12" i="20" s="1"/>
  <c r="I12" i="20" s="1"/>
  <c r="J12" i="20" s="1"/>
  <c r="L12" i="20" s="1"/>
  <c r="B23" i="20" s="1"/>
  <c r="F13" i="20"/>
  <c r="G13" i="20" s="1"/>
  <c r="I13" i="20" s="1"/>
  <c r="J13" i="20" s="1"/>
  <c r="L13" i="20" s="1"/>
  <c r="B24" i="20" s="1"/>
  <c r="F14" i="20"/>
  <c r="G14" i="20" s="1"/>
  <c r="I14" i="20" s="1"/>
  <c r="J14" i="20" s="1"/>
  <c r="L14" i="20" s="1"/>
  <c r="B25" i="20" s="1"/>
  <c r="F15" i="20"/>
  <c r="G15" i="20" s="1"/>
  <c r="I15" i="20" s="1"/>
  <c r="J15" i="20" s="1"/>
  <c r="L15" i="20" s="1"/>
  <c r="B26" i="20" s="1"/>
  <c r="D190" i="19"/>
  <c r="D188" i="19"/>
  <c r="D185" i="19"/>
  <c r="F351" i="19" l="1"/>
  <c r="H10" i="28"/>
  <c r="D26" i="20"/>
  <c r="F26" i="20"/>
  <c r="F25" i="20"/>
  <c r="D25" i="20"/>
  <c r="D24" i="20"/>
  <c r="F24" i="20"/>
  <c r="F23" i="20"/>
  <c r="D23" i="20"/>
  <c r="G23" i="20" l="1"/>
  <c r="H19" i="28"/>
  <c r="G26" i="20"/>
  <c r="G25" i="20"/>
  <c r="G24" i="20"/>
  <c r="F11" i="20"/>
  <c r="G11" i="20" s="1"/>
  <c r="I11" i="20" s="1"/>
  <c r="J11" i="20" s="1"/>
  <c r="L11" i="20" s="1"/>
  <c r="B22" i="20" s="1"/>
  <c r="D22" i="20" l="1"/>
  <c r="F22" i="20"/>
  <c r="P15" i="16"/>
  <c r="P12" i="16"/>
  <c r="P13" i="16"/>
  <c r="P14" i="16"/>
  <c r="K13" i="16"/>
  <c r="K14" i="16"/>
  <c r="K15" i="16"/>
  <c r="K12" i="16"/>
  <c r="P11" i="16"/>
  <c r="K11" i="16"/>
  <c r="G22" i="20" l="1"/>
  <c r="H17" i="16" l="1"/>
  <c r="H18" i="16"/>
  <c r="A254" i="19" l="1"/>
  <c r="B36" i="27"/>
  <c r="B10" i="27"/>
  <c r="F2" i="27"/>
  <c r="M6" i="27"/>
  <c r="G4" i="27"/>
  <c r="C4" i="27"/>
  <c r="G1" i="27"/>
  <c r="F1" i="20"/>
  <c r="F1" i="32" s="1"/>
  <c r="G3" i="20"/>
  <c r="G3" i="32" s="1"/>
  <c r="K3" i="20"/>
  <c r="K3" i="32" s="1"/>
  <c r="G4" i="20"/>
  <c r="G4" i="32" s="1"/>
  <c r="E207" i="19"/>
  <c r="E208" i="19" s="1"/>
  <c r="F45" i="27" l="1"/>
  <c r="B36" i="16" l="1"/>
  <c r="E295" i="19" l="1"/>
  <c r="H22" i="20"/>
  <c r="L22" i="20" s="1"/>
  <c r="N24" i="32" s="1"/>
  <c r="H23" i="20"/>
  <c r="L23" i="20" s="1"/>
  <c r="N25" i="32" s="1"/>
  <c r="H24" i="20"/>
  <c r="L24" i="20" s="1"/>
  <c r="N26" i="32" s="1"/>
  <c r="H25" i="20"/>
  <c r="L25" i="20" s="1"/>
  <c r="N27" i="32" s="1"/>
  <c r="H26" i="20"/>
  <c r="L26" i="20" s="1"/>
  <c r="N28" i="32" s="1"/>
  <c r="A255" i="19"/>
  <c r="H21" i="20"/>
  <c r="G10" i="20"/>
  <c r="G555" i="19" l="1"/>
  <c r="K36" i="38" s="1"/>
  <c r="G557" i="19"/>
  <c r="K38" i="38" s="1"/>
  <c r="F255" i="19"/>
  <c r="H301" i="19"/>
  <c r="F301" i="19"/>
  <c r="K25" i="27"/>
  <c r="F297" i="19"/>
  <c r="G255" i="19"/>
  <c r="H10" i="27" l="1"/>
  <c r="B11" i="16"/>
  <c r="B12" i="16"/>
  <c r="B13" i="16"/>
  <c r="B10" i="16"/>
  <c r="M6" i="16"/>
  <c r="G4" i="16"/>
  <c r="C4" i="16"/>
  <c r="F2" i="16"/>
  <c r="G1" i="16"/>
  <c r="I10" i="20"/>
  <c r="J10" i="20" s="1"/>
  <c r="H40" i="19" l="1"/>
  <c r="C52" i="19" s="1"/>
  <c r="G254" i="19"/>
  <c r="F251" i="19"/>
  <c r="F253" i="19"/>
  <c r="H14" i="16"/>
  <c r="L10" i="20"/>
  <c r="B21" i="20" s="1"/>
  <c r="D21" i="20" s="1"/>
  <c r="H16" i="16"/>
  <c r="H15" i="16"/>
  <c r="F40" i="19"/>
  <c r="E44" i="19" s="1"/>
  <c r="D49" i="33" s="1"/>
  <c r="F557" i="19" l="1"/>
  <c r="F555" i="19"/>
  <c r="F556" i="19"/>
  <c r="M37" i="38" s="1"/>
  <c r="H44" i="19"/>
  <c r="C51" i="19" s="1"/>
  <c r="G448" i="19"/>
  <c r="K38" i="34" s="1"/>
  <c r="G501" i="19"/>
  <c r="K38" i="37" s="1"/>
  <c r="G500" i="19"/>
  <c r="K37" i="37" s="1"/>
  <c r="G447" i="19"/>
  <c r="K37" i="34" s="1"/>
  <c r="F499" i="19"/>
  <c r="F500" i="19"/>
  <c r="F447" i="19"/>
  <c r="F446" i="19"/>
  <c r="F389" i="19"/>
  <c r="F448" i="19"/>
  <c r="F501" i="19"/>
  <c r="G499" i="19"/>
  <c r="K36" i="37" s="1"/>
  <c r="G446" i="19"/>
  <c r="K36" i="34" s="1"/>
  <c r="G390" i="19"/>
  <c r="K38" i="28" s="1"/>
  <c r="G260" i="19"/>
  <c r="G388" i="19"/>
  <c r="K36" i="28" s="1"/>
  <c r="F388" i="19"/>
  <c r="G389" i="19"/>
  <c r="K37" i="28" s="1"/>
  <c r="F390" i="19"/>
  <c r="F38" i="19"/>
  <c r="F298" i="19"/>
  <c r="H10" i="16"/>
  <c r="H12" i="16"/>
  <c r="F260" i="19"/>
  <c r="H11" i="16"/>
  <c r="F21" i="20"/>
  <c r="H13" i="16"/>
  <c r="F46" i="19" l="1"/>
  <c r="C50" i="19" s="1"/>
  <c r="C53" i="19" s="1"/>
  <c r="H19" i="16"/>
  <c r="P19" i="27"/>
  <c r="K36" i="16"/>
  <c r="F261" i="19"/>
  <c r="G335" i="19"/>
  <c r="K36" i="27" s="1"/>
  <c r="G336" i="19"/>
  <c r="G337" i="19"/>
  <c r="K38" i="27" s="1"/>
  <c r="F337" i="19"/>
  <c r="F335" i="19"/>
  <c r="F336" i="19"/>
  <c r="G261" i="19"/>
  <c r="K37" i="16" s="1"/>
  <c r="F262" i="19"/>
  <c r="G262" i="19"/>
  <c r="K38" i="16" s="1"/>
  <c r="H19" i="27"/>
  <c r="G21" i="20"/>
  <c r="L21" i="20" s="1"/>
  <c r="E560" i="19" l="1"/>
  <c r="N23" i="32"/>
  <c r="E451" i="19"/>
  <c r="E504" i="19"/>
  <c r="E393" i="19"/>
  <c r="K43" i="28" s="1"/>
  <c r="E340" i="19"/>
  <c r="F340" i="19" s="1"/>
  <c r="G267" i="19"/>
  <c r="D45" i="33" s="1"/>
  <c r="F263" i="19"/>
  <c r="G263" i="19"/>
  <c r="K37" i="27"/>
  <c r="H560" i="19" l="1"/>
  <c r="K43" i="38"/>
  <c r="F560" i="19"/>
  <c r="E554" i="19"/>
  <c r="J554" i="19" s="1"/>
  <c r="L267" i="19"/>
  <c r="B20" i="33" s="1"/>
  <c r="G268" i="19"/>
  <c r="H504" i="19"/>
  <c r="K43" i="37"/>
  <c r="F504" i="19"/>
  <c r="H451" i="19"/>
  <c r="F451" i="19"/>
  <c r="K43" i="34"/>
  <c r="E445" i="19"/>
  <c r="J445" i="19" s="1"/>
  <c r="E498" i="19"/>
  <c r="J498" i="19" s="1"/>
  <c r="E387" i="19"/>
  <c r="J387" i="19" s="1"/>
  <c r="J260" i="19"/>
  <c r="E334" i="19"/>
  <c r="J334" i="19" s="1"/>
  <c r="H393" i="19"/>
  <c r="F393" i="19"/>
  <c r="H46" i="19"/>
  <c r="A46" i="19" s="1"/>
  <c r="K43" i="27"/>
  <c r="K43" i="16"/>
  <c r="K284" i="19" s="1"/>
  <c r="H340" i="19"/>
  <c r="I340" i="19"/>
  <c r="D46" i="33" l="1"/>
  <c r="H558" i="19"/>
  <c r="H502" i="19"/>
  <c r="H449" i="19"/>
  <c r="H391" i="19"/>
  <c r="H338" i="19"/>
  <c r="D136" i="19"/>
  <c r="F136" i="19" s="1"/>
  <c r="D209" i="19" s="1"/>
  <c r="L268" i="19"/>
  <c r="B21" i="33" s="1"/>
  <c r="E209" i="19" l="1"/>
  <c r="E210" i="19" s="1"/>
  <c r="B31" i="31" l="1"/>
  <c r="B41" i="31"/>
  <c r="B30" i="31"/>
  <c r="B26" i="31"/>
  <c r="B46" i="31"/>
  <c r="B28" i="31"/>
  <c r="B27" i="31"/>
  <c r="B29" i="31"/>
  <c r="C27" i="31" l="1"/>
  <c r="C26" i="31"/>
  <c r="C30" i="31"/>
  <c r="D30" i="31" s="1"/>
  <c r="E30" i="31" s="1"/>
  <c r="C29" i="31"/>
  <c r="D29" i="31" s="1"/>
  <c r="E29" i="31" s="1"/>
  <c r="C28" i="31"/>
  <c r="C31" i="31"/>
  <c r="D31" i="31" l="1"/>
  <c r="E31" i="31" s="1"/>
  <c r="D27" i="31"/>
  <c r="E27" i="31" s="1"/>
  <c r="D28" i="31"/>
  <c r="E28" i="31" s="1"/>
  <c r="D26" i="31"/>
  <c r="C32" i="31"/>
  <c r="D32" i="31" l="1"/>
  <c r="B37" i="31" s="1"/>
  <c r="C37" i="31" s="1"/>
  <c r="D37" i="31" s="1"/>
  <c r="E37" i="31" s="1"/>
  <c r="F37" i="31" s="1"/>
  <c r="G37" i="31" s="1"/>
  <c r="H37" i="31" s="1"/>
  <c r="E26" i="31"/>
  <c r="E32" i="31" s="1"/>
  <c r="B35" i="31"/>
  <c r="C35" i="31" s="1"/>
  <c r="D35" i="31" s="1"/>
  <c r="E35" i="31" s="1"/>
  <c r="F35" i="31" s="1"/>
  <c r="G35" i="31" s="1"/>
  <c r="H35" i="31" s="1"/>
  <c r="C33" i="31"/>
  <c r="B42" i="31" s="1"/>
  <c r="B38" i="31"/>
  <c r="C38" i="31" s="1"/>
  <c r="D38" i="31" s="1"/>
  <c r="E38" i="31" s="1"/>
  <c r="F38" i="31" s="1"/>
  <c r="G38" i="31" s="1"/>
  <c r="H38" i="31" s="1"/>
  <c r="D33" i="31" l="1"/>
  <c r="B43" i="31" s="1"/>
  <c r="F32" i="31"/>
  <c r="F33" i="31" s="1"/>
  <c r="B45" i="31" s="1"/>
  <c r="E33" i="31"/>
  <c r="B44" i="31" s="1"/>
  <c r="B36" i="31"/>
  <c r="C36" i="31" s="1"/>
  <c r="D36" i="31" s="1"/>
  <c r="E36" i="31" s="1"/>
  <c r="F36" i="31" s="1"/>
  <c r="G36" i="31" s="1"/>
  <c r="H36" i="31" s="1"/>
  <c r="B39" i="31" l="1"/>
  <c r="C39" i="31" s="1"/>
  <c r="D39" i="31" s="1"/>
  <c r="E39" i="31" s="1"/>
  <c r="F39" i="31" s="1"/>
  <c r="G39" i="31" s="1"/>
  <c r="H39" i="31" s="1"/>
  <c r="B48" i="31" s="1"/>
  <c r="N12" i="29" l="1"/>
  <c r="F48" i="31"/>
  <c r="E49" i="31" s="1"/>
  <c r="E48" i="31"/>
  <c r="Q11" i="29" l="1"/>
  <c r="Q16" i="29" s="1"/>
  <c r="E50" i="31"/>
  <c r="H7" i="19" l="1"/>
  <c r="F11" i="29"/>
  <c r="D14" i="29" s="1"/>
  <c r="B8" i="28" l="1"/>
  <c r="B8" i="16"/>
  <c r="B8" i="27"/>
  <c r="C20" i="17"/>
  <c r="C70" i="17"/>
  <c r="A123" i="17"/>
  <c r="A31" i="17"/>
  <c r="A26" i="17"/>
  <c r="A111" i="17"/>
  <c r="A28" i="17"/>
  <c r="E24" i="17"/>
  <c r="E28" i="17"/>
  <c r="B135" i="17"/>
  <c r="B56" i="17"/>
  <c r="E31" i="17"/>
  <c r="C12" i="17"/>
  <c r="B82" i="17"/>
  <c r="E27" i="17"/>
  <c r="A78" i="17"/>
  <c r="A10" i="17"/>
  <c r="C40" i="17"/>
  <c r="C77" i="17"/>
  <c r="A74" i="17"/>
  <c r="B141" i="17"/>
  <c r="A90" i="17"/>
  <c r="B139" i="17"/>
  <c r="C8" i="17"/>
  <c r="A60" i="17"/>
  <c r="C11" i="17"/>
  <c r="A59" i="17"/>
  <c r="B140" i="17"/>
  <c r="A143" i="17"/>
  <c r="E18" i="17"/>
  <c r="E15" i="17"/>
  <c r="E17" i="17"/>
  <c r="C17" i="17"/>
  <c r="A137" i="17"/>
  <c r="C124" i="17"/>
  <c r="A40" i="17"/>
  <c r="C83" i="17"/>
  <c r="A79" i="17"/>
  <c r="E33" i="17"/>
  <c r="A91" i="17"/>
  <c r="B80" i="17"/>
  <c r="A41" i="17"/>
  <c r="A19" i="17"/>
  <c r="B90" i="17"/>
  <c r="A15" i="17"/>
  <c r="A121" i="17"/>
  <c r="C102" i="17"/>
  <c r="A14" i="17"/>
  <c r="B47" i="17"/>
  <c r="C73" i="17"/>
  <c r="C31" i="17"/>
  <c r="A70" i="17"/>
  <c r="E9" i="17"/>
  <c r="C110" i="17"/>
  <c r="B48" i="17"/>
  <c r="A76" i="17"/>
  <c r="C120" i="17"/>
  <c r="B92" i="17"/>
  <c r="C45" i="17"/>
  <c r="B15" i="17"/>
  <c r="A89" i="17"/>
  <c r="C53" i="17"/>
  <c r="C32" i="17"/>
  <c r="C18" i="17"/>
  <c r="A81" i="17"/>
  <c r="A42" i="17"/>
  <c r="B45" i="17"/>
  <c r="C51" i="17"/>
  <c r="B41" i="17"/>
  <c r="C80" i="17"/>
  <c r="A103" i="17"/>
  <c r="C69" i="17"/>
  <c r="C10" i="17"/>
  <c r="B83" i="17"/>
  <c r="A145" i="17"/>
  <c r="C82" i="17"/>
  <c r="B93" i="17"/>
  <c r="C68" i="17"/>
  <c r="A21" i="17"/>
  <c r="B108" i="17"/>
  <c r="A102" i="17"/>
  <c r="A141" i="17"/>
  <c r="B89" i="17"/>
  <c r="B17" i="17"/>
  <c r="C74" i="17"/>
  <c r="B70" i="17"/>
  <c r="C84" i="17"/>
  <c r="A109" i="17"/>
  <c r="C22" i="17"/>
  <c r="A43" i="17"/>
  <c r="A104" i="17"/>
  <c r="A116" i="17"/>
  <c r="E13" i="17"/>
  <c r="B85" i="17"/>
  <c r="C107" i="17"/>
  <c r="A32" i="17"/>
  <c r="C42" i="17"/>
  <c r="A24" i="17"/>
  <c r="C106" i="17"/>
  <c r="B50" i="17"/>
  <c r="A72" i="17"/>
  <c r="A80" i="17"/>
  <c r="E8" i="17"/>
  <c r="C86" i="17"/>
  <c r="C54" i="17"/>
  <c r="A73" i="17"/>
  <c r="B58" i="17"/>
  <c r="A106" i="17"/>
  <c r="E11" i="17"/>
  <c r="C122" i="17"/>
  <c r="A47" i="17"/>
  <c r="A139" i="17"/>
  <c r="B71" i="17"/>
  <c r="A110" i="17"/>
  <c r="C15" i="17"/>
  <c r="A16" i="17"/>
  <c r="B86" i="17"/>
  <c r="B79" i="17"/>
  <c r="B28" i="17"/>
  <c r="B122" i="17"/>
  <c r="C115" i="17"/>
  <c r="B57" i="17"/>
  <c r="C52" i="17"/>
  <c r="A93" i="17"/>
  <c r="A134" i="17"/>
  <c r="C27" i="17"/>
  <c r="B52" i="17"/>
  <c r="C111" i="17"/>
  <c r="C101" i="17"/>
  <c r="C16" i="17"/>
  <c r="C41" i="17"/>
  <c r="A86" i="17"/>
  <c r="E7" i="17"/>
  <c r="C92" i="17"/>
  <c r="B12" i="17"/>
  <c r="B145" i="17"/>
  <c r="C43" i="17"/>
  <c r="A146" i="17"/>
  <c r="C116" i="17"/>
  <c r="A124" i="17"/>
  <c r="A58" i="17"/>
  <c r="C33" i="17"/>
  <c r="D4" i="17"/>
  <c r="A144" i="17"/>
  <c r="A135" i="17"/>
  <c r="A138" i="17"/>
  <c r="C119" i="17"/>
  <c r="A23" i="17"/>
  <c r="B136" i="17"/>
  <c r="B21" i="17"/>
  <c r="A48" i="17"/>
  <c r="B91" i="17"/>
  <c r="E29" i="17"/>
  <c r="A140" i="17"/>
  <c r="A75" i="17"/>
  <c r="A122" i="17"/>
  <c r="B97" i="17"/>
  <c r="C72" i="17"/>
  <c r="E26" i="17"/>
  <c r="B94" i="17"/>
  <c r="C91" i="17"/>
  <c r="A46" i="17"/>
  <c r="C87" i="17"/>
  <c r="A45" i="17"/>
  <c r="B84" i="17"/>
  <c r="A11" i="17"/>
  <c r="B72" i="17"/>
  <c r="A120" i="17"/>
  <c r="B76" i="17"/>
  <c r="B144" i="17"/>
  <c r="C28" i="17"/>
  <c r="B143" i="17"/>
  <c r="E12" i="17"/>
  <c r="C50" i="17"/>
  <c r="B87" i="17"/>
  <c r="B24" i="17"/>
  <c r="A22" i="17"/>
  <c r="B129" i="17"/>
  <c r="A71" i="17"/>
  <c r="B69" i="17"/>
  <c r="E30" i="17"/>
  <c r="A77" i="17"/>
  <c r="B25" i="17"/>
  <c r="C26" i="17"/>
  <c r="C81" i="17"/>
  <c r="B54" i="17"/>
  <c r="A87" i="17"/>
  <c r="A29" i="17"/>
  <c r="E19" i="17"/>
  <c r="C71" i="17"/>
  <c r="C104" i="17"/>
  <c r="A20" i="17"/>
  <c r="A88" i="17"/>
  <c r="C46" i="17"/>
  <c r="C100" i="17"/>
  <c r="C103" i="17"/>
  <c r="B40" i="17"/>
  <c r="B53" i="17"/>
  <c r="B59" i="17"/>
  <c r="E22" i="17"/>
  <c r="C21" i="17"/>
  <c r="C25" i="17"/>
  <c r="B46" i="17"/>
  <c r="C9" i="17"/>
  <c r="C123" i="17"/>
  <c r="E21" i="17"/>
  <c r="C89" i="17"/>
  <c r="B44" i="17"/>
  <c r="B60" i="17"/>
  <c r="A13" i="17"/>
  <c r="E10" i="17"/>
  <c r="C75" i="17"/>
  <c r="C24" i="17"/>
  <c r="A85" i="17"/>
  <c r="A52" i="17"/>
  <c r="A54" i="17"/>
  <c r="A25" i="17"/>
  <c r="A33" i="17"/>
  <c r="B18" i="17"/>
  <c r="C30" i="17"/>
  <c r="A53" i="17"/>
  <c r="C29" i="17"/>
  <c r="A105" i="17"/>
  <c r="A18" i="17"/>
  <c r="A17" i="17"/>
  <c r="B78" i="17"/>
  <c r="C78" i="17"/>
  <c r="B32" i="17"/>
  <c r="C76" i="17"/>
  <c r="C7" i="17"/>
  <c r="B74" i="17"/>
  <c r="A12" i="17"/>
  <c r="C90" i="17"/>
  <c r="E16" i="17"/>
  <c r="A101" i="17"/>
  <c r="C23" i="17"/>
  <c r="C19" i="17"/>
  <c r="C13" i="17"/>
  <c r="B39" i="17"/>
  <c r="A30" i="17"/>
  <c r="A83" i="17"/>
  <c r="C121" i="17"/>
  <c r="A9" i="17"/>
  <c r="C93" i="17"/>
  <c r="C108" i="17"/>
  <c r="B73" i="17"/>
  <c r="C48" i="17"/>
  <c r="A136" i="17"/>
  <c r="B77" i="17"/>
  <c r="E32" i="17"/>
  <c r="A84" i="17"/>
  <c r="C79" i="17"/>
  <c r="B88" i="17"/>
  <c r="B146" i="17"/>
  <c r="C85" i="17"/>
  <c r="A51" i="17"/>
  <c r="C114" i="17"/>
  <c r="A82" i="17"/>
  <c r="B137" i="17"/>
  <c r="B51" i="17"/>
  <c r="B81" i="17"/>
  <c r="E14" i="17"/>
  <c r="B130" i="17"/>
  <c r="B23" i="17"/>
  <c r="A8" i="17"/>
  <c r="B138" i="17"/>
  <c r="A107" i="17"/>
  <c r="A57" i="17"/>
  <c r="A94" i="17"/>
  <c r="B43" i="17"/>
  <c r="A27" i="17"/>
  <c r="C94" i="17"/>
  <c r="E25" i="17"/>
  <c r="B27" i="17"/>
  <c r="E23" i="17"/>
  <c r="C88" i="17"/>
  <c r="C14" i="17"/>
  <c r="B33" i="17"/>
  <c r="E20" i="17"/>
  <c r="A115" i="17"/>
  <c r="A92" i="17"/>
  <c r="C44" i="17"/>
  <c r="B75" i="17"/>
  <c r="A69" i="17"/>
  <c r="A44" i="17"/>
  <c r="B42" i="17"/>
  <c r="C105" i="17"/>
  <c r="B68" i="17"/>
  <c r="C109" i="17"/>
  <c r="B11" i="17"/>
  <c r="A108" i="17"/>
  <c r="C47" i="17"/>
  <c r="D18" i="17" l="1"/>
  <c r="F18" i="17" s="1"/>
  <c r="D24" i="17"/>
  <c r="F24" i="17" s="1"/>
  <c r="D15" i="17"/>
  <c r="F15" i="17" s="1"/>
  <c r="D28" i="17"/>
  <c r="F28" i="17" s="1"/>
  <c r="D108" i="17"/>
  <c r="D33" i="17"/>
  <c r="F33" i="17" s="1"/>
  <c r="D25" i="17"/>
  <c r="F25" i="17" s="1"/>
  <c r="D32" i="17"/>
  <c r="F32" i="17" s="1"/>
  <c r="D27" i="17"/>
  <c r="F27" i="17" s="1"/>
  <c r="D21" i="17"/>
  <c r="F21" i="17" s="1"/>
  <c r="D12" i="17"/>
  <c r="F12" i="17" s="1"/>
  <c r="D122" i="17"/>
  <c r="D17" i="17"/>
  <c r="F17" i="17" s="1"/>
  <c r="D11" i="17"/>
  <c r="F11" i="17" s="1"/>
  <c r="D23" i="17"/>
  <c r="F23" i="17" s="1"/>
  <c r="I10" i="17"/>
  <c r="A132" i="17"/>
  <c r="B106" i="17"/>
  <c r="B100" i="17"/>
  <c r="B111" i="17"/>
  <c r="B114" i="17"/>
  <c r="B29" i="17"/>
  <c r="B14" i="17"/>
  <c r="B123" i="17"/>
  <c r="B101" i="17"/>
  <c r="B4" i="17"/>
  <c r="B110" i="17"/>
  <c r="B107" i="17"/>
  <c r="O8" i="38" l="1"/>
  <c r="D22" i="19"/>
  <c r="D21" i="19" s="1"/>
  <c r="O8" i="37"/>
  <c r="O8" i="34"/>
  <c r="D100" i="17"/>
  <c r="D101" i="17"/>
  <c r="D110" i="17"/>
  <c r="D123" i="17"/>
  <c r="D14" i="17"/>
  <c r="F14" i="17" s="1"/>
  <c r="D106" i="17"/>
  <c r="D29" i="17"/>
  <c r="F29" i="17" s="1"/>
  <c r="D111" i="17"/>
  <c r="D107" i="17"/>
  <c r="D114" i="17"/>
  <c r="O8" i="27"/>
  <c r="O8" i="28"/>
  <c r="O8" i="16"/>
  <c r="I9" i="17"/>
  <c r="G11" i="17" s="1"/>
  <c r="B121" i="17"/>
  <c r="B16" i="17"/>
  <c r="B22" i="17"/>
  <c r="B13" i="17"/>
  <c r="B20" i="17"/>
  <c r="B30" i="17"/>
  <c r="B119" i="17"/>
  <c r="B31" i="17"/>
  <c r="B124" i="17"/>
  <c r="B19" i="17"/>
  <c r="B9" i="17"/>
  <c r="B104" i="17"/>
  <c r="B26" i="17"/>
  <c r="B109" i="17"/>
  <c r="A39" i="17"/>
  <c r="B105" i="17"/>
  <c r="B10" i="17"/>
  <c r="B116" i="17"/>
  <c r="B103" i="17"/>
  <c r="B8" i="17"/>
  <c r="B115" i="17"/>
  <c r="B102" i="17"/>
  <c r="B120" i="17"/>
  <c r="E537" i="19" l="1"/>
  <c r="O11" i="38" s="1"/>
  <c r="E538" i="19"/>
  <c r="E481" i="19"/>
  <c r="E482" i="19"/>
  <c r="E429" i="19"/>
  <c r="E428" i="19"/>
  <c r="E370" i="19"/>
  <c r="E371" i="19"/>
  <c r="E318" i="19"/>
  <c r="D158" i="19"/>
  <c r="O15" i="16" s="1"/>
  <c r="D157" i="19"/>
  <c r="O14" i="16" s="1"/>
  <c r="D156" i="19"/>
  <c r="O13" i="16" s="1"/>
  <c r="D155" i="19"/>
  <c r="O12" i="16" s="1"/>
  <c r="G157" i="19"/>
  <c r="G156" i="19"/>
  <c r="G155" i="19"/>
  <c r="E317" i="19"/>
  <c r="G158" i="19"/>
  <c r="D20" i="17"/>
  <c r="F20" i="17" s="1"/>
  <c r="D13" i="17"/>
  <c r="F13" i="17" s="1"/>
  <c r="D115" i="17"/>
  <c r="D9" i="17"/>
  <c r="F9" i="17" s="1"/>
  <c r="D10" i="17"/>
  <c r="F10" i="17" s="1"/>
  <c r="D26" i="17"/>
  <c r="F26" i="17" s="1"/>
  <c r="D22" i="17"/>
  <c r="F22" i="17" s="1"/>
  <c r="D31" i="17"/>
  <c r="F31" i="17" s="1"/>
  <c r="D103" i="17"/>
  <c r="D104" i="17"/>
  <c r="D124" i="17"/>
  <c r="D116" i="17"/>
  <c r="D119" i="17"/>
  <c r="D30" i="17"/>
  <c r="F30" i="17" s="1"/>
  <c r="D109" i="17"/>
  <c r="D102" i="17"/>
  <c r="D16" i="17"/>
  <c r="F16" i="17" s="1"/>
  <c r="D8" i="17"/>
  <c r="F8" i="17" s="1"/>
  <c r="D105" i="17"/>
  <c r="D120" i="17"/>
  <c r="D19" i="17"/>
  <c r="F19" i="17" s="1"/>
  <c r="D121" i="17"/>
  <c r="G154" i="19"/>
  <c r="D154" i="19"/>
  <c r="A100" i="17"/>
  <c r="J537" i="19" l="1"/>
  <c r="J481" i="19"/>
  <c r="O11" i="34"/>
  <c r="J428" i="19"/>
  <c r="O11" i="37"/>
  <c r="J370" i="19"/>
  <c r="O11" i="28"/>
  <c r="J317" i="19"/>
  <c r="O11" i="27"/>
  <c r="E112" i="19"/>
  <c r="E116" i="19"/>
  <c r="H113" i="19"/>
  <c r="H116" i="19"/>
  <c r="E115" i="19"/>
  <c r="E113" i="19"/>
  <c r="G116" i="19"/>
  <c r="G113" i="19"/>
  <c r="H112" i="19"/>
  <c r="E114" i="19"/>
  <c r="G115" i="19"/>
  <c r="H111" i="19"/>
  <c r="H115" i="19"/>
  <c r="E111" i="19"/>
  <c r="G112" i="19"/>
  <c r="H114" i="19"/>
  <c r="G114" i="19"/>
  <c r="O11" i="16"/>
  <c r="G111" i="19"/>
  <c r="A119" i="17"/>
  <c r="G117" i="19" l="1"/>
  <c r="H125" i="19"/>
  <c r="E122" i="19"/>
  <c r="E124" i="19"/>
  <c r="H124" i="19"/>
  <c r="G122" i="19"/>
  <c r="H123" i="19"/>
  <c r="G123" i="19"/>
  <c r="H121" i="19"/>
  <c r="E125" i="19"/>
  <c r="G124" i="19"/>
  <c r="E121" i="19"/>
  <c r="G125" i="19"/>
  <c r="E123" i="19"/>
  <c r="H122" i="19"/>
  <c r="H117" i="19"/>
  <c r="G121" i="19"/>
  <c r="C153" i="17"/>
  <c r="G126" i="19" l="1"/>
  <c r="H126" i="19"/>
  <c r="E153" i="17"/>
  <c r="A50" i="17"/>
  <c r="E541" i="19" l="1"/>
  <c r="O12" i="38" s="1"/>
  <c r="E542" i="19"/>
  <c r="E485" i="19"/>
  <c r="E486" i="19"/>
  <c r="E432" i="19"/>
  <c r="E433" i="19"/>
  <c r="E374" i="19"/>
  <c r="E375" i="19"/>
  <c r="E322" i="19"/>
  <c r="G165" i="19"/>
  <c r="G164" i="19"/>
  <c r="G163" i="19"/>
  <c r="E194" i="19"/>
  <c r="D164" i="19"/>
  <c r="E321" i="19"/>
  <c r="D163" i="19"/>
  <c r="D165" i="19"/>
  <c r="A56" i="17"/>
  <c r="O12" i="37" l="1"/>
  <c r="E545" i="19"/>
  <c r="O12" i="27"/>
  <c r="O12" i="34"/>
  <c r="E489" i="19"/>
  <c r="O12" i="28"/>
  <c r="E436" i="19"/>
  <c r="D171" i="19"/>
  <c r="E378" i="19"/>
  <c r="D169" i="19"/>
  <c r="D170" i="19"/>
  <c r="E325" i="19"/>
  <c r="A68" i="17"/>
  <c r="E83" i="19" l="1"/>
  <c r="F83" i="19" s="1"/>
  <c r="G65" i="19"/>
  <c r="H65" i="19" s="1"/>
  <c r="E70" i="19"/>
  <c r="F70" i="19" s="1"/>
  <c r="E68" i="19"/>
  <c r="F68" i="19" s="1"/>
  <c r="G70" i="19"/>
  <c r="H70" i="19" s="1"/>
  <c r="E69" i="19"/>
  <c r="F69" i="19" s="1"/>
  <c r="G69" i="19"/>
  <c r="H69" i="19" s="1"/>
  <c r="G84" i="19"/>
  <c r="H84" i="19" s="1"/>
  <c r="G68" i="19"/>
  <c r="H68" i="19" s="1"/>
  <c r="E84" i="19"/>
  <c r="F84" i="19" s="1"/>
  <c r="E67" i="19"/>
  <c r="F67" i="19" s="1"/>
  <c r="E66" i="19"/>
  <c r="F66" i="19" s="1"/>
  <c r="G83" i="19"/>
  <c r="H83" i="19" s="1"/>
  <c r="G67" i="19"/>
  <c r="H67" i="19" s="1"/>
  <c r="E65" i="19"/>
  <c r="F65" i="19" s="1"/>
  <c r="G66" i="19"/>
  <c r="H66" i="19" s="1"/>
  <c r="E64" i="19"/>
  <c r="F64" i="19" s="1"/>
  <c r="E82" i="19"/>
  <c r="F82" i="19" s="1"/>
  <c r="G82" i="19"/>
  <c r="H82" i="19" s="1"/>
  <c r="G64" i="19"/>
  <c r="H64" i="19" s="1"/>
  <c r="C37" i="17"/>
  <c r="N10" i="17" l="1"/>
  <c r="F73" i="19"/>
  <c r="H71" i="19"/>
  <c r="H85" i="19"/>
  <c r="F87" i="19"/>
  <c r="C152" i="19"/>
  <c r="P9" i="38" s="1"/>
  <c r="B134" i="17"/>
  <c r="P9" i="34" l="1"/>
  <c r="P9" i="37"/>
  <c r="C159" i="19"/>
  <c r="P9" i="28"/>
  <c r="P9" i="27"/>
  <c r="P9" i="16"/>
  <c r="H152" i="19"/>
  <c r="I86" i="19"/>
  <c r="C154" i="17"/>
  <c r="F105" i="19" l="1"/>
  <c r="F106" i="19"/>
  <c r="A173" i="19"/>
  <c r="F104" i="19"/>
  <c r="L159" i="19"/>
  <c r="B16" i="33" s="1"/>
  <c r="C185" i="19"/>
  <c r="P19" i="16"/>
  <c r="C139" i="19"/>
  <c r="E154" i="17"/>
  <c r="C152" i="17"/>
  <c r="E185" i="19" l="1"/>
  <c r="F194" i="19"/>
  <c r="E152" i="17"/>
  <c r="C155" i="17"/>
  <c r="H185" i="19" l="1"/>
  <c r="G195" i="19" s="1"/>
  <c r="E195" i="19"/>
  <c r="E197" i="19" s="1"/>
  <c r="C156" i="17"/>
  <c r="D194" i="19"/>
  <c r="E155" i="17"/>
  <c r="A114" i="17"/>
  <c r="G194" i="19" l="1"/>
  <c r="H194" i="19" s="1"/>
  <c r="I194" i="19"/>
  <c r="H106" i="19"/>
  <c r="G105" i="19"/>
  <c r="G106" i="19"/>
  <c r="E105" i="19"/>
  <c r="E104" i="19"/>
  <c r="H105" i="19"/>
  <c r="E106" i="19"/>
  <c r="H104" i="19"/>
  <c r="E156" i="17"/>
  <c r="D197" i="19"/>
  <c r="G104" i="19"/>
  <c r="B7" i="17"/>
  <c r="G107" i="19" l="1"/>
  <c r="G134" i="19" s="1"/>
  <c r="G136" i="19" s="1"/>
  <c r="G138" i="19" s="1"/>
  <c r="H107" i="19"/>
  <c r="H11" i="17"/>
  <c r="F32" i="19"/>
  <c r="D7" i="17"/>
  <c r="F7" i="17" s="1"/>
  <c r="A7" i="17"/>
  <c r="F14" i="38" l="1"/>
  <c r="I14" i="38" s="1"/>
  <c r="F13" i="38"/>
  <c r="I13" i="38" s="1"/>
  <c r="F12" i="38"/>
  <c r="I12" i="38" s="1"/>
  <c r="F11" i="38"/>
  <c r="I11" i="38" s="1"/>
  <c r="F10" i="38"/>
  <c r="I10" i="38" s="1"/>
  <c r="H513" i="19"/>
  <c r="H512" i="19"/>
  <c r="H514" i="19"/>
  <c r="H511" i="19"/>
  <c r="D513" i="19"/>
  <c r="L513" i="19" s="1"/>
  <c r="D514" i="19"/>
  <c r="L514" i="19" s="1"/>
  <c r="D512" i="19"/>
  <c r="L512" i="19" s="1"/>
  <c r="G513" i="19"/>
  <c r="G514" i="19"/>
  <c r="G512" i="19"/>
  <c r="G511" i="19"/>
  <c r="D517" i="19"/>
  <c r="L517" i="19" s="1"/>
  <c r="D511" i="19"/>
  <c r="L511" i="19" s="1"/>
  <c r="H517" i="19"/>
  <c r="H518" i="19" s="1"/>
  <c r="E524" i="19" s="1"/>
  <c r="G517" i="19"/>
  <c r="G518" i="19" s="1"/>
  <c r="F10" i="37"/>
  <c r="I10" i="37" s="1"/>
  <c r="J5" i="19"/>
  <c r="L138" i="19"/>
  <c r="B15" i="33" s="1"/>
  <c r="H458" i="19"/>
  <c r="H459" i="19" s="1"/>
  <c r="E467" i="19" s="1"/>
  <c r="D458" i="19"/>
  <c r="L458" i="19" s="1"/>
  <c r="D461" i="19"/>
  <c r="L461" i="19" s="1"/>
  <c r="G458" i="19"/>
  <c r="G461" i="19"/>
  <c r="G462" i="19" s="1"/>
  <c r="D468" i="19" s="1"/>
  <c r="G468" i="19" s="1"/>
  <c r="H461" i="19"/>
  <c r="H462" i="19" s="1"/>
  <c r="E468" i="19" s="1"/>
  <c r="F10" i="34"/>
  <c r="I10" i="34" s="1"/>
  <c r="G405" i="19"/>
  <c r="D408" i="19"/>
  <c r="L408" i="19" s="1"/>
  <c r="H405" i="19"/>
  <c r="H406" i="19" s="1"/>
  <c r="E414" i="19" s="1"/>
  <c r="D405" i="19"/>
  <c r="L405" i="19" s="1"/>
  <c r="G408" i="19"/>
  <c r="G409" i="19" s="1"/>
  <c r="D415" i="19" s="1"/>
  <c r="G415" i="19" s="1"/>
  <c r="H408" i="19"/>
  <c r="H409" i="19" s="1"/>
  <c r="E415" i="19" s="1"/>
  <c r="L136" i="19"/>
  <c r="B24" i="33" s="1"/>
  <c r="G139" i="19"/>
  <c r="E548" i="19" s="1"/>
  <c r="H30" i="19"/>
  <c r="H28" i="19"/>
  <c r="H26" i="19"/>
  <c r="G26" i="19"/>
  <c r="H36" i="19"/>
  <c r="F18" i="16"/>
  <c r="I18" i="16" s="1"/>
  <c r="H25" i="19"/>
  <c r="H29" i="19"/>
  <c r="D35" i="19"/>
  <c r="D347" i="19"/>
  <c r="L347" i="19" s="1"/>
  <c r="D30" i="19"/>
  <c r="G30" i="19"/>
  <c r="G36" i="19"/>
  <c r="G29" i="19"/>
  <c r="D27" i="19"/>
  <c r="D29" i="19"/>
  <c r="H24" i="19"/>
  <c r="D28" i="19"/>
  <c r="G31" i="19"/>
  <c r="H37" i="19"/>
  <c r="G28" i="19"/>
  <c r="F15" i="16"/>
  <c r="I15" i="16" s="1"/>
  <c r="H31" i="19"/>
  <c r="H27" i="19"/>
  <c r="H35" i="19"/>
  <c r="G37" i="19"/>
  <c r="D37" i="19"/>
  <c r="D25" i="19"/>
  <c r="D23" i="19"/>
  <c r="D31" i="19"/>
  <c r="F14" i="16"/>
  <c r="I14" i="16" s="1"/>
  <c r="F11" i="16"/>
  <c r="I11" i="16" s="1"/>
  <c r="D297" i="19"/>
  <c r="L297" i="19" s="1"/>
  <c r="G24" i="19"/>
  <c r="H350" i="19"/>
  <c r="H351" i="19" s="1"/>
  <c r="E357" i="19" s="1"/>
  <c r="G347" i="19"/>
  <c r="F13" i="16"/>
  <c r="I13" i="16" s="1"/>
  <c r="G350" i="19"/>
  <c r="G351" i="19" s="1"/>
  <c r="D26" i="19"/>
  <c r="H297" i="19"/>
  <c r="H298" i="19" s="1"/>
  <c r="E304" i="19" s="1"/>
  <c r="D350" i="19"/>
  <c r="L350" i="19" s="1"/>
  <c r="F12" i="16"/>
  <c r="I12" i="16" s="1"/>
  <c r="H294" i="19"/>
  <c r="H295" i="19" s="1"/>
  <c r="E303" i="19" s="1"/>
  <c r="D294" i="19"/>
  <c r="L294" i="19" s="1"/>
  <c r="G294" i="19"/>
  <c r="G27" i="19"/>
  <c r="F16" i="16"/>
  <c r="I16" i="16" s="1"/>
  <c r="G25" i="19"/>
  <c r="F10" i="16"/>
  <c r="I10" i="16" s="1"/>
  <c r="D24" i="19"/>
  <c r="G297" i="19"/>
  <c r="G298" i="19" s="1"/>
  <c r="D304" i="19" s="1"/>
  <c r="G304" i="19" s="1"/>
  <c r="F17" i="16"/>
  <c r="I17" i="16" s="1"/>
  <c r="H347" i="19"/>
  <c r="H348" i="19" s="1"/>
  <c r="E356" i="19" s="1"/>
  <c r="G35" i="19"/>
  <c r="H23" i="19"/>
  <c r="F10" i="28"/>
  <c r="I10" i="28" s="1"/>
  <c r="F10" i="27"/>
  <c r="I10" i="27" s="1"/>
  <c r="L1" i="17"/>
  <c r="M11" i="17" s="1"/>
  <c r="N11" i="17" s="1"/>
  <c r="G23" i="19"/>
  <c r="D524" i="19" l="1"/>
  <c r="G524" i="19" s="1"/>
  <c r="H515" i="19"/>
  <c r="E523" i="19" s="1"/>
  <c r="H548" i="19"/>
  <c r="E492" i="19"/>
  <c r="H492" i="19" s="1"/>
  <c r="E469" i="19"/>
  <c r="H468" i="19" s="1"/>
  <c r="E416" i="19"/>
  <c r="H415" i="19" s="1"/>
  <c r="E381" i="19"/>
  <c r="H381" i="19" s="1"/>
  <c r="E439" i="19"/>
  <c r="E328" i="19"/>
  <c r="H328" i="19" s="1"/>
  <c r="O29" i="27" s="1"/>
  <c r="O29" i="16"/>
  <c r="E305" i="19"/>
  <c r="H304" i="19" s="1"/>
  <c r="G38" i="19"/>
  <c r="E358" i="19"/>
  <c r="H357" i="19" s="1"/>
  <c r="M4" i="17"/>
  <c r="N4" i="17" s="1"/>
  <c r="M6" i="17"/>
  <c r="N6" i="17" s="1"/>
  <c r="M5" i="17"/>
  <c r="N5" i="17" s="1"/>
  <c r="M7" i="17"/>
  <c r="N7" i="17" s="1"/>
  <c r="M8" i="17"/>
  <c r="N8" i="17" s="1"/>
  <c r="M3" i="17"/>
  <c r="N3" i="17" s="1"/>
  <c r="H32" i="19"/>
  <c r="H38" i="19"/>
  <c r="E52" i="19" s="1"/>
  <c r="H34" i="33" s="1"/>
  <c r="H38" i="33" s="1"/>
  <c r="I548" i="19" l="1"/>
  <c r="O29" i="38"/>
  <c r="O29" i="37"/>
  <c r="E525" i="19"/>
  <c r="H524" i="19" s="1"/>
  <c r="F88" i="19"/>
  <c r="H87" i="19" s="1"/>
  <c r="J39" i="19"/>
  <c r="I492" i="19"/>
  <c r="O29" i="28"/>
  <c r="H439" i="19"/>
  <c r="D52" i="19"/>
  <c r="G34" i="33" s="1"/>
  <c r="I34" i="33" s="1"/>
  <c r="O2" i="17"/>
  <c r="P2" i="17" s="1"/>
  <c r="E51" i="19"/>
  <c r="F35" i="33" s="1"/>
  <c r="E50" i="19"/>
  <c r="F33" i="33" s="1"/>
  <c r="O6" i="17"/>
  <c r="P6" i="17" s="1"/>
  <c r="N9" i="17"/>
  <c r="O5" i="17"/>
  <c r="P5" i="17" s="1"/>
  <c r="I381" i="19"/>
  <c r="O3" i="17"/>
  <c r="P3" i="17" s="1"/>
  <c r="O8" i="17"/>
  <c r="P8" i="17" s="1"/>
  <c r="O4" i="17"/>
  <c r="P4" i="17" s="1"/>
  <c r="I328" i="19"/>
  <c r="O7" i="17"/>
  <c r="P7" i="17" s="1"/>
  <c r="F38" i="33" l="1"/>
  <c r="G93" i="19"/>
  <c r="I439" i="19"/>
  <c r="O29" i="34"/>
  <c r="E53" i="19"/>
  <c r="H52" i="19" s="1"/>
  <c r="P9" i="17"/>
  <c r="N12" i="17" s="1"/>
  <c r="P12" i="17" l="1"/>
  <c r="I19" i="38" s="1"/>
  <c r="D357" i="19"/>
  <c r="G32" i="19" l="1"/>
  <c r="I19" i="16" s="1"/>
  <c r="O21" i="16" s="1"/>
  <c r="F171" i="19" s="1"/>
  <c r="G171" i="19" s="1"/>
  <c r="H171" i="19" s="1"/>
  <c r="G515" i="19"/>
  <c r="D523" i="19" s="1"/>
  <c r="G523" i="19" s="1"/>
  <c r="I515" i="19"/>
  <c r="J20" i="19"/>
  <c r="I348" i="19"/>
  <c r="I459" i="19"/>
  <c r="I406" i="19"/>
  <c r="J32" i="19"/>
  <c r="B22" i="29"/>
  <c r="D7" i="19" s="1"/>
  <c r="K3" i="38" s="1"/>
  <c r="G14" i="17"/>
  <c r="G459" i="19"/>
  <c r="D467" i="19" s="1"/>
  <c r="D469" i="19" s="1"/>
  <c r="H467" i="19" s="1"/>
  <c r="H469" i="19" s="1"/>
  <c r="H471" i="19" s="1"/>
  <c r="G295" i="19"/>
  <c r="D303" i="19" s="1"/>
  <c r="D305" i="19" s="1"/>
  <c r="H303" i="19" s="1"/>
  <c r="H305" i="19" s="1"/>
  <c r="H307" i="19" s="1"/>
  <c r="K24" i="27" s="1"/>
  <c r="I32" i="19"/>
  <c r="G348" i="19"/>
  <c r="D356" i="19" s="1"/>
  <c r="G356" i="19" s="1"/>
  <c r="G406" i="19"/>
  <c r="D414" i="19" s="1"/>
  <c r="G414" i="19" s="1"/>
  <c r="G416" i="19" s="1"/>
  <c r="G418" i="19" s="1"/>
  <c r="K22" i="34" s="1"/>
  <c r="I295" i="19"/>
  <c r="H17" i="29"/>
  <c r="G357" i="19"/>
  <c r="O21" i="38" l="1"/>
  <c r="G545" i="19" s="1"/>
  <c r="H545" i="19" s="1"/>
  <c r="K24" i="37"/>
  <c r="G525" i="19"/>
  <c r="G527" i="19" s="1"/>
  <c r="K22" i="38" s="1"/>
  <c r="D525" i="19"/>
  <c r="F169" i="19"/>
  <c r="G169" i="19" s="1"/>
  <c r="H169" i="19" s="1"/>
  <c r="F170" i="19"/>
  <c r="G170" i="19" s="1"/>
  <c r="H170" i="19" s="1"/>
  <c r="I19" i="28"/>
  <c r="O21" i="28" s="1"/>
  <c r="I19" i="34"/>
  <c r="O21" i="34" s="1"/>
  <c r="G436" i="19" s="1"/>
  <c r="H436" i="19" s="1"/>
  <c r="I19" i="27"/>
  <c r="O21" i="27" s="1"/>
  <c r="G325" i="19" s="1"/>
  <c r="D358" i="19"/>
  <c r="H356" i="19" s="1"/>
  <c r="H358" i="19" s="1"/>
  <c r="H360" i="19" s="1"/>
  <c r="K24" i="28" s="1"/>
  <c r="I19" i="37"/>
  <c r="O21" i="37" s="1"/>
  <c r="G489" i="19" s="1"/>
  <c r="G358" i="19"/>
  <c r="G360" i="19" s="1"/>
  <c r="K22" i="28" s="1"/>
  <c r="D416" i="19"/>
  <c r="H414" i="19" s="1"/>
  <c r="H416" i="19" s="1"/>
  <c r="H418" i="19" s="1"/>
  <c r="K24" i="34" s="1"/>
  <c r="B29" i="29"/>
  <c r="D47" i="16" s="1"/>
  <c r="G467" i="19"/>
  <c r="G469" i="19" s="1"/>
  <c r="G471" i="19" s="1"/>
  <c r="G303" i="19"/>
  <c r="G305" i="19" s="1"/>
  <c r="G307" i="19" s="1"/>
  <c r="K22" i="27" s="1"/>
  <c r="K3" i="34"/>
  <c r="K3" i="37"/>
  <c r="K3" i="28"/>
  <c r="A2" i="20"/>
  <c r="K3" i="27"/>
  <c r="A2" i="32"/>
  <c r="K3" i="16"/>
  <c r="D50" i="19"/>
  <c r="E33" i="33" s="1"/>
  <c r="F74" i="19"/>
  <c r="H73" i="19" s="1"/>
  <c r="F131" i="19"/>
  <c r="D51" i="19"/>
  <c r="E35" i="33" s="1"/>
  <c r="I35" i="33" s="1"/>
  <c r="D47" i="38" l="1"/>
  <c r="C27" i="20"/>
  <c r="K22" i="37"/>
  <c r="O22" i="37" s="1"/>
  <c r="O23" i="37" s="1"/>
  <c r="O22" i="38"/>
  <c r="O23" i="38" s="1"/>
  <c r="H523" i="19"/>
  <c r="H525" i="19" s="1"/>
  <c r="H527" i="19" s="1"/>
  <c r="K24" i="38" s="1"/>
  <c r="G378" i="19"/>
  <c r="H378" i="19" s="1"/>
  <c r="H131" i="19"/>
  <c r="H133" i="19" s="1"/>
  <c r="H134" i="19" s="1"/>
  <c r="D47" i="34"/>
  <c r="D47" i="37"/>
  <c r="D47" i="27"/>
  <c r="D47" i="28"/>
  <c r="C29" i="32"/>
  <c r="O22" i="34"/>
  <c r="O23" i="34" s="1"/>
  <c r="O22" i="28"/>
  <c r="O23" i="28" s="1"/>
  <c r="H489" i="19"/>
  <c r="O22" i="27"/>
  <c r="O23" i="27" s="1"/>
  <c r="D5" i="19"/>
  <c r="I33" i="33"/>
  <c r="G55" i="33"/>
  <c r="H55" i="33" s="1"/>
  <c r="G92" i="19"/>
  <c r="G52" i="19"/>
  <c r="G91" i="19"/>
  <c r="D53" i="19"/>
  <c r="H51" i="19" s="1"/>
  <c r="H53" i="19" s="1"/>
  <c r="G51" i="19"/>
  <c r="O25" i="34" l="1"/>
  <c r="O25" i="37"/>
  <c r="O24" i="38"/>
  <c r="O25" i="38"/>
  <c r="H136" i="19"/>
  <c r="H138" i="19" s="1"/>
  <c r="O24" i="34"/>
  <c r="O25" i="28"/>
  <c r="O24" i="28"/>
  <c r="O25" i="27"/>
  <c r="O24" i="27"/>
  <c r="O24" i="37"/>
  <c r="E55" i="33"/>
  <c r="F55" i="33" s="1"/>
  <c r="H55" i="19"/>
  <c r="L52" i="19"/>
  <c r="B23" i="33" s="1"/>
  <c r="G94" i="19"/>
  <c r="G53" i="19"/>
  <c r="H225" i="19" s="1"/>
  <c r="D526" i="19" l="1"/>
  <c r="L56" i="19"/>
  <c r="B13" i="33" s="1"/>
  <c r="G487" i="19"/>
  <c r="H487" i="19" s="1"/>
  <c r="G430" i="19"/>
  <c r="H430" i="19" s="1"/>
  <c r="G543" i="19"/>
  <c r="H543" i="19" s="1"/>
  <c r="G539" i="19"/>
  <c r="H539" i="19" s="1"/>
  <c r="G434" i="19"/>
  <c r="H434" i="19" s="1"/>
  <c r="G483" i="19"/>
  <c r="H483" i="19" s="1"/>
  <c r="D470" i="19"/>
  <c r="G372" i="19"/>
  <c r="H372" i="19" s="1"/>
  <c r="L137" i="19"/>
  <c r="B25" i="33" s="1"/>
  <c r="H139" i="19"/>
  <c r="E547" i="19" s="1"/>
  <c r="G319" i="19"/>
  <c r="H319" i="19" s="1"/>
  <c r="G376" i="19"/>
  <c r="H376" i="19" s="1"/>
  <c r="G323" i="19"/>
  <c r="D417" i="19"/>
  <c r="D359" i="19"/>
  <c r="D306" i="19"/>
  <c r="K24" i="16"/>
  <c r="L53" i="19"/>
  <c r="B22" i="33" s="1"/>
  <c r="G55" i="19"/>
  <c r="L55" i="19" s="1"/>
  <c r="H490" i="19" l="1"/>
  <c r="K26" i="37" s="1"/>
  <c r="O26" i="37" s="1"/>
  <c r="H437" i="19"/>
  <c r="K26" i="34" s="1"/>
  <c r="O26" i="34" s="1"/>
  <c r="H546" i="19"/>
  <c r="K26" i="38" s="1"/>
  <c r="O26" i="38" s="1"/>
  <c r="H379" i="19"/>
  <c r="K26" i="28" s="1"/>
  <c r="O26" i="28" s="1"/>
  <c r="H323" i="19"/>
  <c r="H326" i="19" s="1"/>
  <c r="K26" i="27" s="1"/>
  <c r="O26" i="27" s="1"/>
  <c r="H547" i="19"/>
  <c r="E491" i="19"/>
  <c r="H491" i="19" s="1"/>
  <c r="E380" i="19"/>
  <c r="H380" i="19" s="1"/>
  <c r="O27" i="28" s="1"/>
  <c r="E327" i="19"/>
  <c r="H327" i="19" s="1"/>
  <c r="O27" i="27" s="1"/>
  <c r="E438" i="19"/>
  <c r="H438" i="19" s="1"/>
  <c r="O27" i="34" s="1"/>
  <c r="O27" i="16"/>
  <c r="B12" i="33"/>
  <c r="K22" i="16"/>
  <c r="O22" i="16" s="1"/>
  <c r="O23" i="16" l="1"/>
  <c r="O28" i="34"/>
  <c r="O28" i="28"/>
  <c r="O28" i="27"/>
  <c r="I547" i="19"/>
  <c r="O27" i="38"/>
  <c r="O28" i="38" s="1"/>
  <c r="O27" i="37"/>
  <c r="O28" i="37" s="1"/>
  <c r="I491" i="19"/>
  <c r="I380" i="19"/>
  <c r="I327" i="19"/>
  <c r="I438" i="19"/>
  <c r="B57" i="19" l="1"/>
  <c r="C188" i="19"/>
  <c r="B98" i="19"/>
  <c r="B213" i="19"/>
  <c r="D37" i="33"/>
  <c r="G37" i="33" s="1"/>
  <c r="D40" i="33"/>
  <c r="G40" i="33" s="1"/>
  <c r="O24" i="16"/>
  <c r="C56" i="19" s="1"/>
  <c r="F145" i="19"/>
  <c r="E145" i="19" s="1"/>
  <c r="G145" i="19" s="1"/>
  <c r="B141" i="19"/>
  <c r="B269" i="19"/>
  <c r="B175" i="19"/>
  <c r="B240" i="19"/>
  <c r="B279" i="19"/>
  <c r="E37" i="33" l="1"/>
  <c r="I37" i="33" s="1"/>
  <c r="E40" i="33"/>
  <c r="I40" i="33" s="1"/>
  <c r="E146" i="19"/>
  <c r="F146" i="19"/>
  <c r="F148" i="19"/>
  <c r="F147" i="19" s="1"/>
  <c r="G146" i="19" l="1"/>
  <c r="G86" i="19" l="1"/>
  <c r="H86" i="19" s="1"/>
  <c r="G72" i="19"/>
  <c r="H72" i="19" s="1"/>
  <c r="H75" i="19" s="1"/>
  <c r="F91" i="19" l="1"/>
  <c r="H91" i="19" s="1"/>
  <c r="H89" i="19"/>
  <c r="F93" i="19" s="1"/>
  <c r="H93" i="19" s="1"/>
  <c r="F92" i="19" l="1"/>
  <c r="H92" i="19" s="1"/>
  <c r="H94" i="19" s="1"/>
  <c r="H95" i="19" s="1"/>
  <c r="F164" i="19"/>
  <c r="H164" i="19" s="1"/>
  <c r="F157" i="19"/>
  <c r="H157" i="19" s="1"/>
  <c r="F158" i="19"/>
  <c r="H158" i="19" s="1"/>
  <c r="F155" i="19"/>
  <c r="H155" i="19" s="1"/>
  <c r="F156" i="19"/>
  <c r="H156" i="19" s="1"/>
  <c r="L96" i="19" l="1"/>
  <c r="H97" i="19"/>
  <c r="L97" i="19" s="1"/>
  <c r="K25" i="16" l="1"/>
  <c r="O25" i="16" s="1"/>
  <c r="A97" i="19" s="1"/>
  <c r="B14" i="33"/>
  <c r="E148" i="19" l="1"/>
  <c r="F163" i="19" s="1"/>
  <c r="H163" i="19" s="1"/>
  <c r="F165" i="19"/>
  <c r="H165" i="19" s="1"/>
  <c r="G148" i="19" l="1"/>
  <c r="F154" i="19"/>
  <c r="H154" i="19" s="1"/>
  <c r="H172" i="19" s="1"/>
  <c r="C173" i="19" s="1"/>
  <c r="H173" i="19" s="1"/>
  <c r="E147" i="19"/>
  <c r="G147" i="19" s="1"/>
  <c r="D36" i="33" l="1"/>
  <c r="E36" i="33" s="1"/>
  <c r="K26" i="16"/>
  <c r="O26" i="16" s="1"/>
  <c r="D174" i="19" s="1"/>
  <c r="O28" i="16" l="1"/>
  <c r="C190" i="19" s="1"/>
  <c r="G36" i="33"/>
  <c r="G38" i="33" s="1"/>
  <c r="G39" i="33" s="1"/>
  <c r="E38" i="33"/>
  <c r="E188" i="19" l="1"/>
  <c r="E190" i="19"/>
  <c r="H190" i="19" s="1"/>
  <c r="H191" i="19" s="1"/>
  <c r="F196" i="19" s="1"/>
  <c r="F197" i="19" s="1"/>
  <c r="E211" i="19"/>
  <c r="F211" i="19" s="1"/>
  <c r="F212" i="19" s="1"/>
  <c r="E442" i="19" s="1"/>
  <c r="H442" i="19" s="1"/>
  <c r="K32" i="34" s="1"/>
  <c r="O32" i="34" s="1"/>
  <c r="I36" i="33"/>
  <c r="I38" i="33"/>
  <c r="E39" i="33"/>
  <c r="M38" i="28"/>
  <c r="M38" i="27"/>
  <c r="M37" i="34"/>
  <c r="H188" i="19" l="1"/>
  <c r="E331" i="19"/>
  <c r="H331" i="19" s="1"/>
  <c r="K32" i="27" s="1"/>
  <c r="O32" i="27" s="1"/>
  <c r="L212" i="19"/>
  <c r="B17" i="33" s="1"/>
  <c r="E551" i="19"/>
  <c r="H551" i="19" s="1"/>
  <c r="I551" i="19" s="1"/>
  <c r="K32" i="16"/>
  <c r="O32" i="16" s="1"/>
  <c r="E384" i="19"/>
  <c r="H384" i="19" s="1"/>
  <c r="K32" i="28" s="1"/>
  <c r="O32" i="28" s="1"/>
  <c r="E495" i="19"/>
  <c r="H495" i="19" s="1"/>
  <c r="K32" i="37" s="1"/>
  <c r="O32" i="37" s="1"/>
  <c r="G196" i="19"/>
  <c r="G197" i="19" s="1"/>
  <c r="H197" i="19" s="1"/>
  <c r="L198" i="19" s="1"/>
  <c r="B27" i="33" s="1"/>
  <c r="I442" i="19"/>
  <c r="K32" i="38" l="1"/>
  <c r="O32" i="38" s="1"/>
  <c r="I384" i="19"/>
  <c r="I331" i="19"/>
  <c r="I495" i="19"/>
  <c r="H199" i="19"/>
  <c r="E550" i="19" s="1"/>
  <c r="H550" i="19" s="1"/>
  <c r="I550" i="19" s="1"/>
  <c r="A142" i="17"/>
  <c r="B142" i="17"/>
  <c r="E330" i="19" l="1"/>
  <c r="H330" i="19" s="1"/>
  <c r="K31" i="27" s="1"/>
  <c r="O31" i="27" s="1"/>
  <c r="E441" i="19"/>
  <c r="H441" i="19" s="1"/>
  <c r="K31" i="34" s="1"/>
  <c r="O31" i="34" s="1"/>
  <c r="K31" i="38"/>
  <c r="O31" i="38" s="1"/>
  <c r="K31" i="16"/>
  <c r="O31" i="16" s="1"/>
  <c r="E383" i="19"/>
  <c r="H383" i="19" s="1"/>
  <c r="K31" i="28" s="1"/>
  <c r="O31" i="28" s="1"/>
  <c r="E494" i="19"/>
  <c r="H494" i="19" s="1"/>
  <c r="K31" i="37" s="1"/>
  <c r="O31" i="37" s="1"/>
  <c r="J199" i="19"/>
  <c r="L199" i="19"/>
  <c r="B19" i="33" s="1"/>
  <c r="B147" i="17"/>
  <c r="H178" i="19" s="1"/>
  <c r="H180" i="19" s="1"/>
  <c r="I441" i="19" l="1"/>
  <c r="I330" i="19"/>
  <c r="I494" i="19"/>
  <c r="I383" i="19"/>
  <c r="L179" i="19"/>
  <c r="B26" i="33" s="1"/>
  <c r="E440" i="19"/>
  <c r="D41" i="33"/>
  <c r="K30" i="16"/>
  <c r="O30" i="16" s="1"/>
  <c r="O33" i="16" s="1"/>
  <c r="E329" i="19"/>
  <c r="E493" i="19"/>
  <c r="E549" i="19"/>
  <c r="E382" i="19"/>
  <c r="H493" i="19" l="1"/>
  <c r="K30" i="37" s="1"/>
  <c r="O30" i="37" s="1"/>
  <c r="O33" i="37" s="1"/>
  <c r="H382" i="19"/>
  <c r="K30" i="28" s="1"/>
  <c r="O30" i="28" s="1"/>
  <c r="O33" i="28" s="1"/>
  <c r="H329" i="19"/>
  <c r="K30" i="27" s="1"/>
  <c r="O30" i="27" s="1"/>
  <c r="O33" i="27" s="1"/>
  <c r="D269" i="19"/>
  <c r="H216" i="19"/>
  <c r="D175" i="19"/>
  <c r="D141" i="19"/>
  <c r="D279" i="19"/>
  <c r="D57" i="19"/>
  <c r="D98" i="19"/>
  <c r="D240" i="19"/>
  <c r="D213" i="19"/>
  <c r="M37" i="16"/>
  <c r="M36" i="16"/>
  <c r="M38" i="16"/>
  <c r="H549" i="19"/>
  <c r="K30" i="38" s="1"/>
  <c r="O30" i="38" s="1"/>
  <c r="O33" i="38" s="1"/>
  <c r="M38" i="38" s="1"/>
  <c r="G41" i="33"/>
  <c r="G42" i="33" s="1"/>
  <c r="E41" i="33"/>
  <c r="H440" i="19"/>
  <c r="K30" i="34" s="1"/>
  <c r="O30" i="34" s="1"/>
  <c r="O33" i="34" s="1"/>
  <c r="M37" i="27" l="1"/>
  <c r="M36" i="27"/>
  <c r="M37" i="28"/>
  <c r="M36" i="28"/>
  <c r="M38" i="37"/>
  <c r="M37" i="37"/>
  <c r="M36" i="37"/>
  <c r="I549" i="19"/>
  <c r="M38" i="34"/>
  <c r="M36" i="34"/>
  <c r="I493" i="19"/>
  <c r="I329" i="19"/>
  <c r="H223" i="19"/>
  <c r="I41" i="33"/>
  <c r="E42" i="33"/>
  <c r="G57" i="33"/>
  <c r="G58" i="33"/>
  <c r="M36" i="38"/>
  <c r="M39" i="38" s="1"/>
  <c r="I382" i="19"/>
  <c r="M39" i="16"/>
  <c r="I440" i="19"/>
  <c r="L280" i="19" l="1"/>
  <c r="H224" i="19"/>
  <c r="G224" i="19"/>
  <c r="G227" i="19" s="1"/>
  <c r="E235" i="19" s="1"/>
  <c r="J235" i="19" s="1"/>
  <c r="M39" i="27"/>
  <c r="I43" i="27" s="1"/>
  <c r="M43" i="27" s="1"/>
  <c r="M44" i="27" s="1"/>
  <c r="M39" i="28"/>
  <c r="I43" i="28" s="1"/>
  <c r="M43" i="28" s="1"/>
  <c r="M44" i="28" s="1"/>
  <c r="M39" i="37"/>
  <c r="M39" i="34"/>
  <c r="I43" i="34" s="1"/>
  <c r="M43" i="34" s="1"/>
  <c r="M44" i="34" s="1"/>
  <c r="D44" i="33"/>
  <c r="I43" i="16"/>
  <c r="K283" i="19" s="1"/>
  <c r="E57" i="33"/>
  <c r="H57" i="33"/>
  <c r="G56" i="33"/>
  <c r="I42" i="33"/>
  <c r="I43" i="38"/>
  <c r="M43" i="38" s="1"/>
  <c r="M44" i="38" s="1"/>
  <c r="H58" i="33"/>
  <c r="E58" i="33"/>
  <c r="H233" i="19"/>
  <c r="I235" i="19" l="1"/>
  <c r="H235" i="19"/>
  <c r="G235" i="19"/>
  <c r="E237" i="19" s="1"/>
  <c r="H227" i="19"/>
  <c r="E236" i="19" s="1"/>
  <c r="M43" i="16"/>
  <c r="M44" i="16" s="1"/>
  <c r="L283" i="19"/>
  <c r="I43" i="37"/>
  <c r="M43" i="37" s="1"/>
  <c r="M44" i="37" s="1"/>
  <c r="H56" i="33"/>
  <c r="E56" i="33"/>
  <c r="F56" i="33" s="1"/>
  <c r="F57" i="33" s="1"/>
  <c r="F58" i="33" s="1"/>
  <c r="G44" i="33"/>
  <c r="G46" i="33" s="1"/>
  <c r="E44" i="33"/>
  <c r="I236" i="19" l="1"/>
  <c r="J236" i="19"/>
  <c r="I237" i="19"/>
  <c r="J237" i="19"/>
  <c r="E238" i="19"/>
  <c r="F229" i="19" s="1"/>
  <c r="J228" i="19" s="1"/>
  <c r="E46" i="33"/>
  <c r="I46" i="33" s="1"/>
  <c r="I44" i="33"/>
  <c r="G60" i="33"/>
  <c r="I238" i="19" l="1"/>
  <c r="J238" i="19"/>
  <c r="F239" i="19"/>
  <c r="E385" i="19" s="1"/>
  <c r="H385" i="19" s="1"/>
  <c r="K34" i="28" s="1"/>
  <c r="O34" i="28" s="1"/>
  <c r="O39" i="28" s="1"/>
  <c r="E60" i="33"/>
  <c r="H60" i="33"/>
  <c r="K34" i="16" l="1"/>
  <c r="O34" i="16" s="1"/>
  <c r="O39" i="16" s="1"/>
  <c r="L239" i="19"/>
  <c r="B18" i="33" s="1"/>
  <c r="H239" i="19"/>
  <c r="E552" i="19"/>
  <c r="H552" i="19" s="1"/>
  <c r="K34" i="38" s="1"/>
  <c r="O34" i="38" s="1"/>
  <c r="O39" i="38" s="1"/>
  <c r="M40" i="38" s="1"/>
  <c r="E496" i="19"/>
  <c r="H496" i="19" s="1"/>
  <c r="K34" i="37" s="1"/>
  <c r="O34" i="37" s="1"/>
  <c r="O39" i="37" s="1"/>
  <c r="O43" i="37" s="1"/>
  <c r="O44" i="37" s="1"/>
  <c r="N45" i="37" s="1"/>
  <c r="D43" i="33"/>
  <c r="E332" i="19"/>
  <c r="H332" i="19" s="1"/>
  <c r="K34" i="27" s="1"/>
  <c r="O34" i="27" s="1"/>
  <c r="O39" i="27" s="1"/>
  <c r="O43" i="27" s="1"/>
  <c r="O44" i="27" s="1"/>
  <c r="N45" i="27" s="1"/>
  <c r="E443" i="19"/>
  <c r="H443" i="19" s="1"/>
  <c r="K34" i="34" s="1"/>
  <c r="O34" i="34" s="1"/>
  <c r="O39" i="34" s="1"/>
  <c r="N40" i="34" s="1"/>
  <c r="I385" i="19"/>
  <c r="O43" i="28"/>
  <c r="O44" i="28" s="1"/>
  <c r="N45" i="28" s="1"/>
  <c r="N40" i="28"/>
  <c r="E275" i="19" l="1"/>
  <c r="Q40" i="16"/>
  <c r="E276" i="19" s="1"/>
  <c r="I496" i="19"/>
  <c r="N40" i="37"/>
  <c r="O43" i="38"/>
  <c r="O44" i="38" s="1"/>
  <c r="M45" i="38" s="1"/>
  <c r="G529" i="19" s="1"/>
  <c r="I552" i="19"/>
  <c r="O43" i="34"/>
  <c r="O44" i="34" s="1"/>
  <c r="N45" i="34" s="1"/>
  <c r="H452" i="19" s="1"/>
  <c r="G452" i="19" s="1"/>
  <c r="I443" i="19"/>
  <c r="G43" i="33"/>
  <c r="G45" i="33" s="1"/>
  <c r="G47" i="33" s="1"/>
  <c r="E43" i="33"/>
  <c r="I332" i="19"/>
  <c r="N40" i="27"/>
  <c r="O43" i="16"/>
  <c r="O44" i="16" s="1"/>
  <c r="L281" i="19"/>
  <c r="L284" i="19" s="1"/>
  <c r="L285" i="19" s="1"/>
  <c r="H341" i="19"/>
  <c r="G341" i="19" s="1"/>
  <c r="H309" i="19"/>
  <c r="H473" i="19"/>
  <c r="H505" i="19"/>
  <c r="G505" i="19" s="1"/>
  <c r="H394" i="19"/>
  <c r="G394" i="19" s="1"/>
  <c r="H362" i="19"/>
  <c r="R40" i="16" l="1"/>
  <c r="N40" i="16" s="1"/>
  <c r="H420" i="19"/>
  <c r="G561" i="19"/>
  <c r="E45" i="33"/>
  <c r="E47" i="33" s="1"/>
  <c r="G59" i="33"/>
  <c r="I43" i="33"/>
  <c r="F213" i="19"/>
  <c r="F141" i="19"/>
  <c r="F240" i="19"/>
  <c r="F98" i="19"/>
  <c r="F57" i="19"/>
  <c r="F175" i="19"/>
  <c r="Q45" i="16"/>
  <c r="F269" i="19"/>
  <c r="F279" i="19"/>
  <c r="E277" i="19"/>
  <c r="E48" i="33" l="1"/>
  <c r="E49" i="33" s="1"/>
  <c r="E278" i="19"/>
  <c r="H269" i="19"/>
  <c r="R45" i="16"/>
  <c r="N45" i="16" s="1"/>
  <c r="G272" i="19" s="1"/>
  <c r="H141" i="19"/>
  <c r="H175" i="19"/>
  <c r="H279" i="19"/>
  <c r="H213" i="19"/>
  <c r="I49" i="33"/>
  <c r="H240" i="19"/>
  <c r="H98" i="19"/>
  <c r="H57" i="19"/>
  <c r="E59" i="33"/>
  <c r="F59" i="33" s="1"/>
  <c r="F60" i="33" s="1"/>
  <c r="H59" i="33"/>
  <c r="I45" i="33"/>
  <c r="I47" i="33" s="1"/>
  <c r="G61" i="33"/>
  <c r="N18" i="20" l="1"/>
  <c r="N20" i="32" s="1"/>
  <c r="N20" i="20"/>
  <c r="H61" i="33"/>
  <c r="G62" i="33"/>
  <c r="E61" i="33"/>
  <c r="F61" i="33" s="1"/>
  <c r="E62" i="33" l="1"/>
  <c r="H62"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Andreas Kropik</author>
  </authors>
  <commentList>
    <comment ref="A2" authorId="0" shapeId="0" xr:uid="{C4BDE442-9AE8-4902-92D7-30C446F5E2C4}">
      <text>
        <r>
          <rPr>
            <sz val="8"/>
            <color indexed="81"/>
            <rFont val="Calibri"/>
            <family val="2"/>
            <scheme val="minor"/>
          </rPr>
          <t>Zur schnelleren Navigation sind Links eingefügt. Diese befinden sich in nicht gesperrten Zellen und dürfen nicht gelöscht / überschrieben werden!</t>
        </r>
        <r>
          <rPr>
            <sz val="9"/>
            <color indexed="81"/>
            <rFont val="Segoe UI"/>
            <family val="2"/>
          </rPr>
          <t xml:space="preserve">
</t>
        </r>
      </text>
    </comment>
    <comment ref="A12" authorId="0" shapeId="0" xr:uid="{95BD2578-4098-460C-9FB1-FB7ED6C952E9}">
      <text>
        <r>
          <rPr>
            <sz val="9"/>
            <color indexed="81"/>
            <rFont val="Segoe UI"/>
            <family val="2"/>
          </rPr>
          <t xml:space="preserve">Wichtig, wenn im K7-Blatt mit mehreren Löhnen kalkuliert wird. Für jeden Lohn ein eigenes K3-Blatt!
</t>
        </r>
      </text>
    </comment>
    <comment ref="A18" authorId="0" shapeId="0" xr:uid="{3168D117-9807-4C17-BE3F-6A4B499D014E}">
      <text>
        <r>
          <rPr>
            <sz val="9"/>
            <color indexed="81"/>
            <rFont val="Segoe UI"/>
            <family val="2"/>
          </rPr>
          <t>Bitte auswählen. Regie kann nachfolgend kalkuliert werden (f Regie nach unten scrollen).</t>
        </r>
      </text>
    </comment>
    <comment ref="A21" authorId="0" shapeId="0" xr:uid="{4C2FFC39-908A-42BF-B995-22B5C61A5135}">
      <text>
        <r>
          <rPr>
            <sz val="9"/>
            <color indexed="81"/>
            <rFont val="Segoe UI"/>
            <family val="2"/>
          </rPr>
          <t xml:space="preserve">Aus den Dropdown-Feldern d Beschäftigungsgruppe gem KollV wählen.
</t>
        </r>
      </text>
    </comment>
    <comment ref="E21" authorId="0" shapeId="0" xr:uid="{0693C808-C1AE-44FF-A125-7D59C525E399}">
      <text>
        <r>
          <rPr>
            <sz val="9"/>
            <color indexed="81"/>
            <rFont val="Segoe UI"/>
            <family val="2"/>
          </rPr>
          <t xml:space="preserve">Durchschnittliche Anzahl der Projektmitarbeiter angeben.
</t>
        </r>
      </text>
    </comment>
    <comment ref="A34" authorId="0" shapeId="0" xr:uid="{66B69755-74E4-4BAE-921E-FBDF34C39C6C}">
      <text>
        <r>
          <rPr>
            <sz val="9"/>
            <color indexed="81"/>
            <rFont val="Segoe UI"/>
            <family val="2"/>
          </rPr>
          <t xml:space="preserve">Allfällig vorgesehenes unprod. Personal (muss dem gleichen KollV unterliegen!) wählen.
</t>
        </r>
      </text>
    </comment>
    <comment ref="A39" authorId="0" shapeId="0" xr:uid="{0FC14A42-7C22-460C-AB33-15BA56C69BFE}">
      <text>
        <r>
          <rPr>
            <sz val="9"/>
            <color indexed="81"/>
            <rFont val="Segoe UI"/>
            <family val="2"/>
          </rPr>
          <t xml:space="preserve">Festlegen, ob unprod. P. zusätzlich zum oder aus dem Stamm der prod. Mitarbeiter (A1) stammt.
</t>
        </r>
      </text>
    </comment>
    <comment ref="A42" authorId="0" shapeId="0" xr:uid="{8D8CBD44-2F5C-42B7-9A6E-ECAAE6257CFF}">
      <text>
        <r>
          <rPr>
            <sz val="10"/>
            <color indexed="81"/>
            <rFont val="Calibri"/>
            <family val="2"/>
            <scheme val="minor"/>
          </rPr>
          <t>Für allfällige unprod. Zeiten (längere Zugangswege, kurze Arbeitszeitfenster (zB Gleissperre) udgl).</t>
        </r>
        <r>
          <rPr>
            <sz val="9"/>
            <color indexed="81"/>
            <rFont val="Segoe UI"/>
            <family val="2"/>
          </rPr>
          <t xml:space="preserve">
</t>
        </r>
      </text>
    </comment>
    <comment ref="F42" authorId="0" shapeId="0" xr:uid="{C7F5CEBC-B419-431B-9D79-3912D5E18B10}">
      <text>
        <r>
          <rPr>
            <sz val="9"/>
            <color indexed="81"/>
            <rFont val="Segoe UI"/>
            <family val="2"/>
          </rPr>
          <t>unprod. Zeit in % der bezahlten Zeit (zB: 8 Std bezahlte Stunden u 6 erlösbringende Stunden: 2/8 --&gt; 25%.</t>
        </r>
      </text>
    </comment>
    <comment ref="A44" authorId="0" shapeId="0" xr:uid="{39FF7E70-56FC-4EB0-B3C2-49AA79D8EA12}">
      <text>
        <r>
          <rPr>
            <sz val="10"/>
            <color indexed="81"/>
            <rFont val="Calibri"/>
            <family val="2"/>
            <scheme val="minor"/>
          </rPr>
          <t>Bitte den Grund / den Umstand für die unproduktive Zeit angeben.</t>
        </r>
      </text>
    </comment>
    <comment ref="C54" authorId="0" shapeId="0" xr:uid="{E0080300-4F64-45C1-90C5-0769F59DFEE9}">
      <text>
        <r>
          <rPr>
            <sz val="9"/>
            <color indexed="81"/>
            <rFont val="Segoe UI"/>
            <family val="2"/>
          </rPr>
          <t xml:space="preserve">Möglichkeit für die Anpassung der errechneten Werte.
</t>
        </r>
      </text>
    </comment>
    <comment ref="A60" authorId="0" shapeId="0" xr:uid="{51FA6DD0-119E-4983-AF78-73A5940F7D90}">
      <text>
        <r>
          <rPr>
            <sz val="9"/>
            <color indexed="81"/>
            <rFont val="Segoe UI"/>
            <family val="2"/>
          </rPr>
          <t xml:space="preserve">Aus den Dropdown-Feldern wählen. Projektgewichtung über Anzahl und Dauer bestimmen.
</t>
        </r>
      </text>
    </comment>
    <comment ref="C60" authorId="0" shapeId="0" xr:uid="{F395F31F-F647-490F-BE75-75D6443935F0}">
      <text>
        <r>
          <rPr>
            <sz val="9"/>
            <color indexed="81"/>
            <rFont val="Segoe UI"/>
            <family val="2"/>
          </rPr>
          <t>Anteil (%) des prod.Pers. Gem A1 die diese Zulage erhalten.</t>
        </r>
      </text>
    </comment>
    <comment ref="D60" authorId="0" shapeId="0" xr:uid="{977514EC-C27F-4C8B-9C7E-1A5F9B08228B}">
      <text>
        <r>
          <rPr>
            <sz val="8"/>
            <color indexed="81"/>
            <rFont val="Segoe UI"/>
            <family val="2"/>
          </rPr>
          <t>Anspruchsdauer in % der Ausführungszeit (zB 3 Monate Arbeit mit Zulage; Gesamtzeit 12 Mo. --&gt; 25%.</t>
        </r>
      </text>
    </comment>
    <comment ref="A72" authorId="0" shapeId="0" xr:uid="{74F29C41-845F-49A3-A60F-721409A42944}">
      <text>
        <r>
          <rPr>
            <sz val="9"/>
            <color indexed="81"/>
            <rFont val="Segoe UI"/>
            <family val="2"/>
          </rPr>
          <t xml:space="preserve">Wenn die Basis f d Aufzahlung in % das "Entgelt" und nicht des "KV-Entgelt" ist, KZ 2 wählen.
</t>
        </r>
      </text>
    </comment>
    <comment ref="A77" authorId="0" shapeId="0" xr:uid="{CF91B884-7E11-4057-9F9F-83A6C9DBF163}">
      <text>
        <r>
          <rPr>
            <sz val="9"/>
            <color indexed="81"/>
            <rFont val="Segoe UI"/>
            <family val="2"/>
          </rPr>
          <t xml:space="preserve">Übernahme dann sinnvoll, wenn unprod. Pers. aus dem Kreis des prod. Pers. festgelegt ist. 
</t>
        </r>
      </text>
    </comment>
    <comment ref="A78" authorId="0" shapeId="0" xr:uid="{77599E7D-DDC4-4641-8743-DE395600141A}">
      <text>
        <r>
          <rPr>
            <sz val="9"/>
            <color indexed="81"/>
            <rFont val="Segoe UI"/>
            <family val="2"/>
          </rPr>
          <t xml:space="preserve">Allfällige Zulagen f d unter A2 kalkulierte unprod. Pers. wählen.
</t>
        </r>
      </text>
    </comment>
    <comment ref="C78" authorId="0" shapeId="0" xr:uid="{845F3918-C567-4FA1-A0CA-EE2000FEF8AA}">
      <text>
        <r>
          <rPr>
            <sz val="8"/>
            <color indexed="81"/>
            <rFont val="Segoe UI"/>
            <family val="2"/>
          </rPr>
          <t>Der anzugebende %-Satz bezieht sich auf die Angabe in A2 die 100% darstellt.</t>
        </r>
      </text>
    </comment>
    <comment ref="A86" authorId="0" shapeId="0" xr:uid="{E2793934-447E-4C27-A553-C3B6B134B566}">
      <text>
        <r>
          <rPr>
            <sz val="9"/>
            <color indexed="81"/>
            <rFont val="Segoe UI"/>
            <family val="2"/>
          </rPr>
          <t xml:space="preserve">Wenn die Basis f d Aufzahlung in % das "Entgelt" und nicht des "KV-Entgelt" ist, KZ 2 wählen.
</t>
        </r>
      </text>
    </comment>
    <comment ref="A92" authorId="0" shapeId="0" xr:uid="{D51E4665-21FD-4C0C-8B29-933E4E6AC297}">
      <text>
        <r>
          <rPr>
            <sz val="9"/>
            <color indexed="81"/>
            <rFont val="Segoe UI"/>
            <family val="2"/>
          </rPr>
          <t xml:space="preserve">Wenn auch die unprod. Zeiten (A3) aufzahlungspflichtig sind, JA auswählen.
</t>
        </r>
      </text>
    </comment>
    <comment ref="A96" authorId="0" shapeId="0" xr:uid="{DECB1D9A-A5D7-4133-8BF6-226618296798}">
      <text>
        <r>
          <rPr>
            <sz val="9"/>
            <color indexed="81"/>
            <rFont val="Segoe UI"/>
            <family val="2"/>
          </rPr>
          <t xml:space="preserve">Individuelle Anpassung des Rechenergebnisses möglich.
</t>
        </r>
      </text>
    </comment>
    <comment ref="A101" authorId="0" shapeId="0" xr:uid="{192EB2A3-BBD1-4098-8476-B5C22887321E}">
      <text>
        <r>
          <rPr>
            <sz val="9"/>
            <color indexed="81"/>
            <rFont val="Segoe UI"/>
            <family val="2"/>
          </rPr>
          <t xml:space="preserve">Entschädigungen die pro Stunde zu bezahlen sind, hier aufnehmen (zB Montagezulage)
</t>
        </r>
      </text>
    </comment>
    <comment ref="D101" authorId="0" shapeId="0" xr:uid="{7FACAF4F-5754-400B-A570-D51E84618DD4}">
      <text>
        <r>
          <rPr>
            <sz val="9"/>
            <color indexed="81"/>
            <rFont val="Segoe UI"/>
            <family val="2"/>
          </rPr>
          <t xml:space="preserve">Anspruchsberechtigte angeben (Basis produktiv Beschäftigte (A1)).
</t>
        </r>
      </text>
    </comment>
    <comment ref="F101" authorId="0" shapeId="0" xr:uid="{5BD8DC0E-D29C-487F-B322-D167C1D513C5}">
      <text>
        <r>
          <rPr>
            <sz val="9"/>
            <color indexed="81"/>
            <rFont val="Segoe UI"/>
            <family val="2"/>
          </rPr>
          <t xml:space="preserve">Übernahme der Stunden von D. Sind sie f d Entschädigung unrichtig, mit %-Satz (links) ausgleichen.
</t>
        </r>
      </text>
    </comment>
    <comment ref="G101" authorId="0" shapeId="0" xr:uid="{A4C01437-D523-4932-9D7A-6CF4CA997AC2}">
      <text>
        <r>
          <rPr>
            <sz val="9"/>
            <color indexed="81"/>
            <rFont val="Segoe UI"/>
            <family val="2"/>
          </rPr>
          <t>Abgabefreiheit/-pflicht wird in den Stammdaten (Blatt QUELLDATEN) bestimmt.</t>
        </r>
      </text>
    </comment>
    <comment ref="A108" authorId="0" shapeId="0" xr:uid="{3219B1FC-398B-40C2-A51E-8BE76D69C2F7}">
      <text>
        <r>
          <rPr>
            <sz val="9"/>
            <color indexed="81"/>
            <rFont val="Segoe UI"/>
            <family val="2"/>
          </rPr>
          <t>Entschädigungen die je Tag anfallen hier aufnehmen (zB Taggeld)</t>
        </r>
      </text>
    </comment>
    <comment ref="A118" authorId="0" shapeId="0" xr:uid="{2F8E59E0-5FA9-415B-9843-4BB60C10CC80}">
      <text>
        <r>
          <rPr>
            <sz val="9"/>
            <color indexed="81"/>
            <rFont val="Segoe UI"/>
            <family val="2"/>
          </rPr>
          <t xml:space="preserve">Entschädigungen die sich auf einen längeren Zeitraum beziehen, in den Quelldaten umrechnen oder mit dem %-Satz variieren.
</t>
        </r>
      </text>
    </comment>
    <comment ref="A127" authorId="0" shapeId="0" xr:uid="{AC17942B-BB0F-4D4D-A60F-BDAC1990E6E5}">
      <text>
        <r>
          <rPr>
            <sz val="9"/>
            <color indexed="81"/>
            <rFont val="Segoe UI"/>
            <family val="2"/>
          </rPr>
          <t xml:space="preserve">Möglichkeit, weitere Entschädigungen auf Basis Stunden-Lohn (KV oder KV+AKV; siehe KZ rechts) anzugeben.
</t>
        </r>
      </text>
    </comment>
    <comment ref="C127" authorId="0" shapeId="0" xr:uid="{878B430C-B62D-4DAC-A600-488673675A24}">
      <text>
        <r>
          <rPr>
            <sz val="9"/>
            <color indexed="81"/>
            <rFont val="Segoe UI"/>
            <family val="2"/>
          </rPr>
          <t>Anzahl der vergütungspflichtigen Std pro Tag (Feld links) und die Tage/Woche
angeben.</t>
        </r>
      </text>
    </comment>
    <comment ref="D127" authorId="0" shapeId="0" xr:uid="{EAB92B82-D865-41E8-84E7-2CFBE43BC455}">
      <text>
        <r>
          <rPr>
            <sz val="9"/>
            <color indexed="81"/>
            <rFont val="Segoe UI"/>
            <family val="2"/>
          </rPr>
          <t>Wie viel % des Basissatzes ist zu pro Std zu vergüten (100% wenn voller Std-Satz zu vergüten ist.</t>
        </r>
      </text>
    </comment>
    <comment ref="E130" authorId="0" shapeId="0" xr:uid="{11D5438A-B115-4565-9882-1C36298FFAE3}">
      <text>
        <r>
          <rPr>
            <sz val="9"/>
            <color indexed="81"/>
            <rFont val="Segoe UI"/>
            <family val="2"/>
          </rPr>
          <t xml:space="preserve">Ist die Basis f d Vergütung das KV-Entgelt, dann KZ=1 oder das "Entgelt", dann KZ = 2 wählen.
</t>
        </r>
      </text>
    </comment>
    <comment ref="E135" authorId="0" shapeId="0" xr:uid="{62048026-275B-41DC-A4F3-B817932D8095}">
      <text>
        <r>
          <rPr>
            <sz val="9"/>
            <color indexed="81"/>
            <rFont val="Segoe UI"/>
            <family val="2"/>
          </rPr>
          <t>Anpassung f a) zB wegen Ausfallzeiten Schlechtwetter.</t>
        </r>
      </text>
    </comment>
    <comment ref="D136" authorId="0" shapeId="0" xr:uid="{7BAA78D4-5C13-4F61-97A3-999E6414236F}">
      <text>
        <r>
          <rPr>
            <sz val="9"/>
            <color indexed="81"/>
            <rFont val="Segoe UI"/>
            <family val="2"/>
          </rPr>
          <t xml:space="preserve">Rechenwert für unproduktiv (nach "Köpfen"). Individuelle Anpassung (+/-) möglich.
</t>
        </r>
      </text>
    </comment>
    <comment ref="A137" authorId="0" shapeId="0" xr:uid="{448AB760-A578-4E68-BE3E-F805BD2A3162}">
      <text>
        <r>
          <rPr>
            <sz val="9"/>
            <color indexed="81"/>
            <rFont val="Segoe UI"/>
            <family val="2"/>
          </rPr>
          <t xml:space="preserve">Anpassungen bzw Ausgleich zw abgabepflichtig u nicht abgabepfl. Entschädigungen.
</t>
        </r>
      </text>
    </comment>
    <comment ref="A144" authorId="0" shapeId="0" xr:uid="{09828BE4-3AB8-458B-B58D-47AC9DBE5CED}">
      <text>
        <r>
          <rPr>
            <sz val="9"/>
            <color indexed="81"/>
            <rFont val="Segoe UI"/>
            <family val="2"/>
          </rPr>
          <t xml:space="preserve">KollV regeln sehr unterschiedlich. Die Basis für die Aufzahlung wird durch die KZ 1 bis 4 festgelegt.
</t>
        </r>
      </text>
    </comment>
    <comment ref="G144" authorId="0" shapeId="0" xr:uid="{F72C3B8B-7B41-4819-8F51-0A5C3139FBBB}">
      <text>
        <r>
          <rPr>
            <sz val="8"/>
            <color indexed="81"/>
            <rFont val="Segoe UI"/>
            <family val="2"/>
          </rPr>
          <t>Notwendig, weil sich Zuschlag gem K3 auf KV-Entgelt bezieht. Größer 1,00, wenn die Basis KV plus Aufzahlungen ist.</t>
        </r>
      </text>
    </comment>
    <comment ref="H144" authorId="0" shapeId="0" xr:uid="{1166D1FC-3155-459F-95A6-2A67841996D7}">
      <text>
        <r>
          <rPr>
            <sz val="9"/>
            <color indexed="81"/>
            <rFont val="Segoe UI"/>
            <family val="2"/>
          </rPr>
          <t>Jener Faktor der im KollV festgelegt ist (Eingabe erfolgt in den Stammdaten/Quelldatei).</t>
        </r>
      </text>
    </comment>
    <comment ref="A153" authorId="0" shapeId="0" xr:uid="{6D13DCEB-749A-4835-9F75-F67E25887977}">
      <text>
        <r>
          <rPr>
            <sz val="8"/>
            <color indexed="81"/>
            <rFont val="Segoe UI"/>
            <family val="2"/>
          </rPr>
          <t>Mehrarbeits- oder Überstunden hier auswählen. Anzahl der Std pro Woche angeben. KZ f d Basis der Aufz. wählen.</t>
        </r>
        <r>
          <rPr>
            <sz val="9"/>
            <color indexed="81"/>
            <rFont val="Segoe UI"/>
            <family val="2"/>
          </rPr>
          <t xml:space="preserve">
</t>
        </r>
      </text>
    </comment>
    <comment ref="A160" authorId="0" shapeId="0" xr:uid="{E76544BF-07D6-47F5-AC78-725EEEED48DC}">
      <text>
        <r>
          <rPr>
            <sz val="8"/>
            <color indexed="81"/>
            <rFont val="Segoe UI"/>
            <family val="2"/>
          </rPr>
          <t>Verr.-Std f zB Schichtarbeit od Nachtarbeit angeben. Die Aufz. Ist gem KollV in %; Basis durch KZ festlegen.</t>
        </r>
        <r>
          <rPr>
            <sz val="9"/>
            <color indexed="81"/>
            <rFont val="Segoe UI"/>
            <family val="2"/>
          </rPr>
          <t xml:space="preserve">
</t>
        </r>
      </text>
    </comment>
    <comment ref="A166" authorId="0" shapeId="0" xr:uid="{55B7714D-04EC-4075-9E79-674B6F69500D}">
      <text>
        <r>
          <rPr>
            <sz val="8"/>
            <color indexed="81"/>
            <rFont val="Segoe UI"/>
            <family val="2"/>
          </rPr>
          <t>Verr.-Std f zB Schichtarbeit od Nachtarbeit angeben. Die Aufz. ist gem KollV in Euro.</t>
        </r>
      </text>
    </comment>
    <comment ref="A183" authorId="0" shapeId="0" xr:uid="{D4271A1E-8AB3-4B4D-BE26-0E735E3D3C53}">
      <text>
        <r>
          <rPr>
            <sz val="8"/>
            <color indexed="81"/>
            <rFont val="Segoe UI"/>
            <family val="2"/>
          </rPr>
          <t>Abminderung ist ev bei Errechnung der UPNK nach Musterkalkulation (siehe www.bauwesen.at) zweckmäßig.</t>
        </r>
      </text>
    </comment>
    <comment ref="A184" authorId="0" shapeId="0" xr:uid="{B7E06ED0-C968-43B3-8768-88E1F5454FCA}">
      <text>
        <r>
          <rPr>
            <sz val="8"/>
            <color indexed="81"/>
            <rFont val="Calibri"/>
            <family val="2"/>
            <scheme val="minor"/>
          </rPr>
          <t>Anpassung wegen projekt-
individueller Mehrarbeit? Wenn JA, erfolgt eine Abminderung der Werte gem Stammdaten (Quelldatei).</t>
        </r>
        <r>
          <rPr>
            <sz val="9"/>
            <color indexed="81"/>
            <rFont val="Segoe UI"/>
            <family val="2"/>
          </rPr>
          <t xml:space="preserve">
</t>
        </r>
      </text>
    </comment>
    <comment ref="A186" authorId="0" shapeId="0" xr:uid="{9ACFE8AF-9B82-4CB3-BF8F-4200B3DC0EA8}">
      <text>
        <r>
          <rPr>
            <sz val="9"/>
            <color indexed="81"/>
            <rFont val="Segoe UI"/>
            <family val="2"/>
          </rPr>
          <t xml:space="preserve">Anpassung der Stammdaten wegen Mehrentgelt? Je nach KollV die Anpassung nach 2a oder 2b wählen.
</t>
        </r>
      </text>
    </comment>
    <comment ref="A187" authorId="0" shapeId="0" xr:uid="{C5A4219C-8C85-4B59-8A05-B08F437E8838}">
      <text>
        <r>
          <rPr>
            <sz val="9"/>
            <color indexed="81"/>
            <rFont val="Segoe UI"/>
            <family val="2"/>
          </rPr>
          <t xml:space="preserve">Relevant für alle Bau-KollV mit Ausnahme Eisen- und Metallverarb. Gew. und  Elektroindustrie.
</t>
        </r>
      </text>
    </comment>
    <comment ref="A189" authorId="0" shapeId="0" xr:uid="{A851EED8-7E8F-41B2-8067-BEA4CA68984C}">
      <text>
        <r>
          <rPr>
            <sz val="9"/>
            <color indexed="81"/>
            <rFont val="Segoe UI"/>
            <family val="2"/>
          </rPr>
          <t>Relevant für das Eisen- und Metallverarb. Gew. und  die Elektroindustrie.</t>
        </r>
      </text>
    </comment>
    <comment ref="A201" authorId="0" shapeId="0" xr:uid="{F0021DD1-F40E-48AE-A78C-45AB28EA4937}">
      <text>
        <r>
          <rPr>
            <sz val="9"/>
            <color indexed="81"/>
            <rFont val="Segoe UI"/>
            <family val="2"/>
          </rPr>
          <t>Weitere, unter E1 und E2 noch nicht erfasste PNK.
Siehe auch Personalgemeinkosten (F).</t>
        </r>
      </text>
    </comment>
    <comment ref="F201" authorId="0" shapeId="0" xr:uid="{9EBE5A3E-AA49-43E4-B094-3346BD35CC43}">
      <text>
        <r>
          <rPr>
            <sz val="9"/>
            <color indexed="81"/>
            <rFont val="Segoe UI"/>
            <family val="2"/>
          </rPr>
          <t xml:space="preserve">Basis ist das abgabepflichtige Entgelt ohne Sonderzahlungen sowie produktive Arbeitszeit. </t>
        </r>
      </text>
    </comment>
    <comment ref="A204" authorId="0" shapeId="0" xr:uid="{8B832EC0-2023-428B-B8FF-5F973F33305F}">
      <text>
        <r>
          <rPr>
            <sz val="9"/>
            <color indexed="81"/>
            <rFont val="Segoe UI"/>
            <family val="2"/>
          </rPr>
          <t>Berechnungstool für Abgaben pro Woche in Euro (zB Wr. U-Bahn Steuer).</t>
        </r>
      </text>
    </comment>
    <comment ref="A207" authorId="0" shapeId="0" xr:uid="{9FAF9A10-3B7E-403B-87EB-BEFE38CACD46}">
      <text>
        <r>
          <rPr>
            <sz val="9"/>
            <color indexed="81"/>
            <rFont val="Segoe UI"/>
            <family val="2"/>
          </rPr>
          <t>Weil nur mit der produktiven Arbeitszeit verrechenbar; Zuschlag f Ausfall.</t>
        </r>
      </text>
    </comment>
    <comment ref="A216" authorId="0" shapeId="0" xr:uid="{81846EAD-B044-4830-958A-8B6AD0306DC1}">
      <text>
        <r>
          <rPr>
            <sz val="8"/>
            <color indexed="81"/>
            <rFont val="Segoe UI"/>
            <family val="2"/>
          </rPr>
          <t>Individuell mit Werten  aus der Kostenrechnung abstimmen. Vorgeschlagene Kostenelemente können auch wo anders berücksichtigt sein.</t>
        </r>
      </text>
    </comment>
    <comment ref="E216" authorId="0" shapeId="0" xr:uid="{9329535E-5987-417A-A817-7A97C12935A4}">
      <text>
        <r>
          <rPr>
            <sz val="8"/>
            <color indexed="81"/>
            <rFont val="Calibri"/>
            <family val="2"/>
            <scheme val="minor"/>
          </rPr>
          <t>Hinweis f d Ermittlung des %-Satzes. Basis: gesamten Personalkosten (inkl Sonderzahlungen u Abgaben).</t>
        </r>
      </text>
    </comment>
    <comment ref="A217" authorId="0" shapeId="0" xr:uid="{884EC771-2AE8-434D-9129-D2A5B76BBFCB}">
      <text>
        <r>
          <rPr>
            <sz val="9"/>
            <color indexed="81"/>
            <rFont val="Segoe UI"/>
            <family val="2"/>
          </rPr>
          <t>Werte die sich projektbezogen nicht ändern. Als Summe ODER detailliert angeben.</t>
        </r>
      </text>
    </comment>
    <comment ref="G220" authorId="0" shapeId="0" xr:uid="{8CBD09E0-C63B-4B1B-87C6-1452DF06AEDB}">
      <text>
        <r>
          <rPr>
            <sz val="8"/>
            <color indexed="81"/>
            <rFont val="Segoe UI"/>
            <family val="2"/>
          </rPr>
          <t>Kosten pro Woche in € je Arbeitnehmer eintragen. Berechnungsergebnis wird in die PGK übertragen.</t>
        </r>
        <r>
          <rPr>
            <sz val="9"/>
            <color indexed="81"/>
            <rFont val="Segoe UI"/>
            <family val="2"/>
          </rPr>
          <t xml:space="preserve">
</t>
        </r>
      </text>
    </comment>
    <comment ref="A228" authorId="0" shapeId="0" xr:uid="{515489BC-9179-4688-8A40-7BBE9D2A07A1}">
      <text>
        <r>
          <rPr>
            <sz val="9"/>
            <color indexed="81"/>
            <rFont val="Segoe UI"/>
            <family val="2"/>
          </rPr>
          <t>Werte die sich projektbezogen ändern. Als Summe ODER detailliert angeben.</t>
        </r>
      </text>
    </comment>
    <comment ref="G230" authorId="0" shapeId="0" xr:uid="{5B56F9B7-01DA-4A21-AE05-59B675296056}">
      <text>
        <r>
          <rPr>
            <sz val="9"/>
            <color indexed="81"/>
            <rFont val="Segoe UI"/>
            <family val="2"/>
          </rPr>
          <t>Kosten pro Woche für alle kalkulierten Arbeitnehmer in € eintragen.</t>
        </r>
      </text>
    </comment>
    <comment ref="A243" authorId="0" shapeId="0" xr:uid="{B2B0CF0F-2BB7-44D1-A97B-E60AB9D5FCEE}">
      <text>
        <r>
          <rPr>
            <sz val="9"/>
            <color indexed="81"/>
            <rFont val="Segoe UI"/>
            <family val="2"/>
          </rPr>
          <t>Diverse Felder sind bereits standardisiert. Bzw individuelle eingeben. IdR entweder in € od % (Basis Personalaufwand)</t>
        </r>
      </text>
    </comment>
    <comment ref="A244" authorId="0" shapeId="0" xr:uid="{5205781F-598A-4499-B409-0A090E4991DD}">
      <text>
        <r>
          <rPr>
            <sz val="9"/>
            <color indexed="81"/>
            <rFont val="Segoe UI"/>
            <family val="2"/>
          </rPr>
          <t>Umlage BGK auf die produktiven Stunden. Sie können noch einen erläuternden Text eingeben.</t>
        </r>
      </text>
    </comment>
    <comment ref="A266" authorId="0" shapeId="0" xr:uid="{2C608C48-8407-4717-A83A-5A4703F012F7}">
      <text>
        <r>
          <rPr>
            <sz val="9"/>
            <color indexed="81"/>
            <rFont val="Segoe UI"/>
            <family val="2"/>
          </rPr>
          <t>Gesamtzuschlag zuvor im K2-Blatt eintragen.</t>
        </r>
      </text>
    </comment>
    <comment ref="A293" authorId="0" shapeId="0" xr:uid="{6D6F0459-A32A-4BAE-B791-9A9661B56262}">
      <text>
        <r>
          <rPr>
            <sz val="9"/>
            <color indexed="81"/>
            <rFont val="Segoe UI"/>
            <family val="2"/>
          </rPr>
          <t>KollV-Beschäftigungs-gruppe auswählen.
(Achtung: Soll ,it "Bezeichnung" zusammen passen.</t>
        </r>
      </text>
    </comment>
    <comment ref="A296" authorId="0" shapeId="0" xr:uid="{56E4F2B6-7245-44CE-8B33-34BF4B2E8538}">
      <text>
        <r>
          <rPr>
            <sz val="9"/>
            <color indexed="81"/>
            <rFont val="Segoe UI"/>
            <family val="2"/>
          </rPr>
          <t>Wenn gem Vertragsbedingungen Aufsicht od manche Regiezeiten nicht verrechenbar sind, hier wählen.</t>
        </r>
      </text>
    </comment>
    <comment ref="E306" authorId="0" shapeId="0" xr:uid="{AB7F27B2-2528-44EB-BD7C-DD9E956395DD}">
      <text>
        <r>
          <rPr>
            <sz val="9"/>
            <color indexed="81"/>
            <rFont val="Segoe UI"/>
            <family val="2"/>
          </rPr>
          <t>Individuelle Anpassung der Rechenergebnisse möglich.</t>
        </r>
      </text>
    </comment>
    <comment ref="G311" authorId="0" shapeId="0" xr:uid="{453FF3F2-F4D0-4CCB-9BD2-539A242D3AC7}">
      <text>
        <r>
          <rPr>
            <sz val="9"/>
            <color indexed="81"/>
            <rFont val="Segoe UI"/>
            <family val="2"/>
          </rPr>
          <t>Werte werden v d Mittelpersonalpreiskalk. übernommen. Allf. Anpassung muss plausibel sein!!!</t>
        </r>
      </text>
    </comment>
    <comment ref="A314" authorId="0" shapeId="0" xr:uid="{014D2A79-3653-4D29-A917-6CEE496AEFE1}">
      <text>
        <r>
          <rPr>
            <sz val="9"/>
            <color indexed="81"/>
            <rFont val="Segoe UI"/>
            <family val="2"/>
          </rPr>
          <t>Erschwerniszulagen sind idR vor der Leistungserbringung zu vereinbaren, daher auf 0 gesetzt.</t>
        </r>
      </text>
    </comment>
    <comment ref="A315" authorId="0" shapeId="0" xr:uid="{6691D937-81DF-4A55-B7E3-40B89AE9A9C0}">
      <text>
        <r>
          <rPr>
            <sz val="9"/>
            <color indexed="81"/>
            <rFont val="Segoe UI"/>
            <family val="2"/>
          </rPr>
          <t>Möglichkeit der Kalkulation eines Arbeitszeitzuschlages. Im Standard auf 0 gesetzt.</t>
        </r>
      </text>
    </comment>
    <comment ref="A319" authorId="0" shapeId="0" xr:uid="{FCB1CD14-3332-4C1C-96A4-5BDA017DCC5D}">
      <text>
        <r>
          <rPr>
            <sz val="9"/>
            <color indexed="81"/>
            <rFont val="Segoe UI"/>
            <family val="2"/>
          </rPr>
          <t xml:space="preserve">Festlegung, worauf sich der Zuschlag bezieht. Daraus wird der weitere Berechnungsfaktor ermittelt. Siehe Punkt D).
</t>
        </r>
      </text>
    </comment>
    <comment ref="A320" authorId="0" shapeId="0" xr:uid="{5F3288BD-B252-4E98-9BE7-4C79663462C3}">
      <text>
        <r>
          <rPr>
            <sz val="9"/>
            <color indexed="81"/>
            <rFont val="Segoe UI"/>
            <family val="2"/>
          </rPr>
          <t>Für Sonntagsarbeit, Schicht etc die im KollV in % vereinbart ist.</t>
        </r>
      </text>
    </comment>
    <comment ref="A323" authorId="0" shapeId="0" xr:uid="{4162EDBC-E67C-4F2F-BA50-AB3D39E52A2A}">
      <text>
        <r>
          <rPr>
            <sz val="9"/>
            <color indexed="81"/>
            <rFont val="Segoe UI"/>
            <family val="2"/>
          </rPr>
          <t xml:space="preserve">Festlegung, worauf sich der Zuschlag bezieht. Daraus wird der weitere Berechnungsfaktor ermittelt. Siehe Punkt D).
</t>
        </r>
      </text>
    </comment>
    <comment ref="A324" authorId="0" shapeId="0" xr:uid="{58B3DF14-0226-405F-AB6C-B700E6273C0C}">
      <text>
        <r>
          <rPr>
            <sz val="9"/>
            <color indexed="81"/>
            <rFont val="Segoe UI"/>
            <family val="2"/>
          </rPr>
          <t>Für Sonntagsarbeit, Schicht etc die im KollV in Euro vereinbart ist.</t>
        </r>
      </text>
    </comment>
    <comment ref="A334" authorId="0" shapeId="0" xr:uid="{66774EF6-DE7E-4F37-A268-C4142C4A5F4C}">
      <text>
        <r>
          <rPr>
            <sz val="9"/>
            <color indexed="81"/>
            <rFont val="Segoe UI"/>
            <family val="2"/>
          </rPr>
          <t>Für Regie relevante Umlagen auswählen!</t>
        </r>
      </text>
    </comment>
    <comment ref="G364" authorId="0" shapeId="0" xr:uid="{ECC4217D-3A40-4829-9769-75AD7D77149C}">
      <text>
        <r>
          <rPr>
            <sz val="9"/>
            <color indexed="81"/>
            <rFont val="Segoe UI"/>
            <family val="2"/>
          </rPr>
          <t>Werte werden v d Mittelpersonalpreiskalk. übernommen. Allf. Anpassung muss plausibel sein!!!</t>
        </r>
      </text>
    </comment>
    <comment ref="G422" authorId="0" shapeId="0" xr:uid="{394DA482-9AF7-4685-81AF-7ED2A7830DB6}">
      <text>
        <r>
          <rPr>
            <sz val="9"/>
            <color indexed="81"/>
            <rFont val="Segoe UI"/>
            <family val="2"/>
          </rPr>
          <t>Werte werden v d Mittelpersonalpreiskalk. übernommen. Allf. Anpassung muss plausibel sein!!!</t>
        </r>
      </text>
    </comment>
    <comment ref="G475" authorId="0" shapeId="0" xr:uid="{CA008095-F116-45D9-94A3-310E0A567A87}">
      <text>
        <r>
          <rPr>
            <sz val="9"/>
            <color indexed="81"/>
            <rFont val="Segoe UI"/>
            <family val="2"/>
          </rPr>
          <t>Werte werden v d Mittelpersonalpreiskalk. übernommen. Allf. Anpassung muss plausibel sein!!!</t>
        </r>
      </text>
    </comment>
    <comment ref="A510" authorId="0" shapeId="0" xr:uid="{3744CAC6-79BE-4A40-8361-B2A6D09416AB}">
      <text>
        <r>
          <rPr>
            <b/>
            <sz val="9"/>
            <color indexed="81"/>
            <rFont val="Segoe UI"/>
            <family val="2"/>
          </rPr>
          <t>Möglichkeit der Eingabe einer "Regielohnpartie"</t>
        </r>
      </text>
    </comment>
    <comment ref="G531" authorId="0" shapeId="0" xr:uid="{E08142B7-17F2-4671-965B-90CA7FB3E2E6}">
      <text>
        <r>
          <rPr>
            <sz val="9"/>
            <color indexed="81"/>
            <rFont val="Segoe UI"/>
            <family val="2"/>
          </rPr>
          <t>Werte werden v d Mittelpersonalpreiskalk. übernommen. Allf. Anpassung muss plausibel sein!!!</t>
        </r>
      </text>
    </comment>
  </commentList>
</comments>
</file>

<file path=xl/sharedStrings.xml><?xml version="1.0" encoding="utf-8"?>
<sst xmlns="http://schemas.openxmlformats.org/spreadsheetml/2006/main" count="1655" uniqueCount="732">
  <si>
    <t>I</t>
  </si>
  <si>
    <t>Erstellt am:</t>
  </si>
  <si>
    <t>FÜR MONTAGE</t>
  </si>
  <si>
    <t>FÜR VORFERTIGUNG</t>
  </si>
  <si>
    <t>O</t>
  </si>
  <si>
    <t>P</t>
  </si>
  <si>
    <t>Q</t>
  </si>
  <si>
    <t>S</t>
  </si>
  <si>
    <t>Lohn</t>
  </si>
  <si>
    <t>X</t>
  </si>
  <si>
    <t>A</t>
  </si>
  <si>
    <t>B</t>
  </si>
  <si>
    <t>D</t>
  </si>
  <si>
    <t>E</t>
  </si>
  <si>
    <t>F</t>
  </si>
  <si>
    <t>G</t>
  </si>
  <si>
    <t>H</t>
  </si>
  <si>
    <t>J</t>
  </si>
  <si>
    <t>K</t>
  </si>
  <si>
    <t>L</t>
  </si>
  <si>
    <t>M</t>
  </si>
  <si>
    <t>abgabepfl.</t>
  </si>
  <si>
    <t xml:space="preserve"> </t>
  </si>
  <si>
    <t>Anzahl</t>
  </si>
  <si>
    <t>N</t>
  </si>
  <si>
    <t>€/Tag</t>
  </si>
  <si>
    <t>Produkt</t>
  </si>
  <si>
    <t>Bezeichnung</t>
  </si>
  <si>
    <t>Anspruchs-dauer</t>
  </si>
  <si>
    <t>Euro je Arbeitswoche</t>
  </si>
  <si>
    <t>K3</t>
  </si>
  <si>
    <t xml:space="preserve"> Personalpreis</t>
  </si>
  <si>
    <t>Projekt:</t>
  </si>
  <si>
    <t>Unternehmen (UN):</t>
  </si>
  <si>
    <t>LOHN</t>
  </si>
  <si>
    <t>GEHALT</t>
  </si>
  <si>
    <t>FÜR REGIE</t>
  </si>
  <si>
    <t>KV-Datum:</t>
  </si>
  <si>
    <t>Anteil</t>
  </si>
  <si>
    <t>gewicht. Wert</t>
  </si>
  <si>
    <t>1a</t>
  </si>
  <si>
    <t>Zuschlag</t>
  </si>
  <si>
    <t>1b</t>
  </si>
  <si>
    <t>1c</t>
  </si>
  <si>
    <t>1d</t>
  </si>
  <si>
    <t>1e</t>
  </si>
  <si>
    <t>1f</t>
  </si>
  <si>
    <t>1g</t>
  </si>
  <si>
    <t>1h</t>
  </si>
  <si>
    <t>1i</t>
  </si>
  <si>
    <t>Gewichtetes kollektivvertragliches Entgelt</t>
  </si>
  <si>
    <t>Anteil für unproduktive Zeiten</t>
  </si>
  <si>
    <t>% auf B3</t>
  </si>
  <si>
    <t>Abgabepflichtige Personalkosten</t>
  </si>
  <si>
    <t>Direkte Personalnebenkosten</t>
  </si>
  <si>
    <t>in % auf B10</t>
  </si>
  <si>
    <t>Umgelegte Personalnebenkosten</t>
  </si>
  <si>
    <t>Weitere Personalnebenkosten</t>
  </si>
  <si>
    <t>Personalkosten vor Zurechnungen</t>
  </si>
  <si>
    <t>Personalgemeinkosten</t>
  </si>
  <si>
    <t>in % auf B15</t>
  </si>
  <si>
    <t>17a</t>
  </si>
  <si>
    <t>17b</t>
  </si>
  <si>
    <t>17c</t>
  </si>
  <si>
    <t>in % auf A18</t>
  </si>
  <si>
    <t>in % auf B18</t>
  </si>
  <si>
    <t>Gesamtzuschlag gemäß Formblatt K2</t>
  </si>
  <si>
    <t>Mittellohn - Mittelgehalt - Regielohn - Regiegehalt - Preis</t>
  </si>
  <si>
    <t>Summe</t>
  </si>
  <si>
    <t>Summen</t>
  </si>
  <si>
    <t>Bezeichnung bzw Betriebsmittelnummer:</t>
  </si>
  <si>
    <t>Zuschlagsträger</t>
  </si>
  <si>
    <t>Basis</t>
  </si>
  <si>
    <t>Basis für Finan- zierungs-kosten</t>
  </si>
  <si>
    <t>Zuschlag für Finanzierungs-kosten</t>
  </si>
  <si>
    <t>Basis für Wagnis und Gewinn</t>
  </si>
  <si>
    <t>Zuschlag für Wagnis</t>
  </si>
  <si>
    <t>Zuschlag für Gewinn</t>
  </si>
  <si>
    <t>%-Wert</t>
  </si>
  <si>
    <t>%-Satz</t>
  </si>
  <si>
    <t>Alle Werte Basis:</t>
  </si>
  <si>
    <t>Arbeitszeitzuschläge</t>
  </si>
  <si>
    <t>Faktor</t>
  </si>
  <si>
    <t>Prozent</t>
  </si>
  <si>
    <t>Kosten pro Woche</t>
  </si>
  <si>
    <t>Anteil d Arbeit-nehmer</t>
  </si>
  <si>
    <t>in €</t>
  </si>
  <si>
    <t>Zuschlag%</t>
  </si>
  <si>
    <t>AKV in €</t>
  </si>
  <si>
    <t>KV</t>
  </si>
  <si>
    <t>AKV</t>
  </si>
  <si>
    <t>Kalkulationsdatum:</t>
  </si>
  <si>
    <t>Produktives Personal / Zeiten</t>
  </si>
  <si>
    <t>Unproduktives Personal / Zeiten</t>
  </si>
  <si>
    <t>Umlage</t>
  </si>
  <si>
    <t>Wert</t>
  </si>
  <si>
    <t>produktiv:</t>
  </si>
  <si>
    <t>unprod.:</t>
  </si>
  <si>
    <t>Beitragsfrei maximal</t>
  </si>
  <si>
    <t>Betrag pro Tag</t>
  </si>
  <si>
    <t>Betrag pro Woche</t>
  </si>
  <si>
    <t>SV-frei</t>
  </si>
  <si>
    <t>SV-pflichtig</t>
  </si>
  <si>
    <t>€/Woche</t>
  </si>
  <si>
    <t>Dienstreisevergütungen/Tag</t>
  </si>
  <si>
    <t>Zwischensumme</t>
  </si>
  <si>
    <t>Kosten pro Std bei</t>
  </si>
  <si>
    <t>Stunden pro Woche</t>
  </si>
  <si>
    <t>unprod.</t>
  </si>
  <si>
    <t>Umlagen</t>
  </si>
  <si>
    <t>% auf B5</t>
  </si>
  <si>
    <t>Titel</t>
  </si>
  <si>
    <t>€/Wo</t>
  </si>
  <si>
    <t>in €/STD</t>
  </si>
  <si>
    <t>Umlage von Kosten für:</t>
  </si>
  <si>
    <t>in %</t>
  </si>
  <si>
    <t>Gruppe</t>
  </si>
  <si>
    <t>SUMMEN</t>
  </si>
  <si>
    <t>K2  Gesamtzuschläge</t>
  </si>
  <si>
    <t>Preisbasis gem. Angebotsunterlagen</t>
  </si>
  <si>
    <t>Gesamtzuschlag auf</t>
  </si>
  <si>
    <t>Basis für GGK</t>
  </si>
  <si>
    <t>Zuschlag für Geschäftsge-meinkosten (GGK)</t>
  </si>
  <si>
    <t>Ergebnis (Preis)</t>
  </si>
  <si>
    <t>%-Wert = 100%</t>
  </si>
  <si>
    <t>Fertigungsgemeinkosten</t>
  </si>
  <si>
    <t>Anpassung</t>
  </si>
  <si>
    <t>KV Datum:</t>
  </si>
  <si>
    <t xml:space="preserve">   für:</t>
  </si>
  <si>
    <t/>
  </si>
  <si>
    <t xml:space="preserve">Regiepreis pro Stunde für </t>
  </si>
  <si>
    <t>gem KollV</t>
  </si>
  <si>
    <t>Dienstreisevergütungen/Woche</t>
  </si>
  <si>
    <t>abgabefrei</t>
  </si>
  <si>
    <t>abgabe-pflichtig</t>
  </si>
  <si>
    <t>Hinzurechnung Ausfallzeiten</t>
  </si>
  <si>
    <t>Zurechnungen (Umlagen) in K3 Spalte A</t>
  </si>
  <si>
    <t>Abgabepflichtige Aufwandsentschädigungen</t>
  </si>
  <si>
    <t>Nicht abgabepflichtige Personalkosten</t>
  </si>
  <si>
    <t>Umlage in €/Std bzw U% x B15</t>
  </si>
  <si>
    <t>Umlage in % (U%) auf B15</t>
  </si>
  <si>
    <r>
      <rPr>
        <sz val="9"/>
        <rFont val="Calibri"/>
        <family val="2"/>
      </rPr>
      <t>∑</t>
    </r>
    <r>
      <rPr>
        <i/>
        <sz val="9"/>
        <rFont val="Calibri"/>
        <family val="2"/>
        <scheme val="minor"/>
      </rPr>
      <t xml:space="preserve"> B10 bis B14</t>
    </r>
  </si>
  <si>
    <t>KV-Gruppe u. Bezeichnung</t>
  </si>
  <si>
    <t>KV-Entgelt</t>
  </si>
  <si>
    <t>Arbeitszeit gem KV (Std/Woche):</t>
  </si>
  <si>
    <t>Außerkollektivvertragliches Entgelt</t>
  </si>
  <si>
    <t>Kosten je Woche</t>
  </si>
  <si>
    <t>in €/Std</t>
  </si>
  <si>
    <t>auf Entgelt</t>
  </si>
  <si>
    <t>pro Tag</t>
  </si>
  <si>
    <t>Stammdaten Kollektivvertrag</t>
  </si>
  <si>
    <r>
      <t>AKV</t>
    </r>
    <r>
      <rPr>
        <vertAlign val="superscript"/>
        <sz val="10"/>
        <rFont val="Calibri"/>
        <family val="2"/>
        <scheme val="minor"/>
      </rPr>
      <t>1</t>
    </r>
    <r>
      <rPr>
        <sz val="12"/>
        <rFont val="Calibri"/>
        <family val="2"/>
        <scheme val="minor"/>
      </rPr>
      <t xml:space="preserve"> in % v KV</t>
    </r>
  </si>
  <si>
    <t xml:space="preserve">Hinweis: Zeitentschädigung für Fahrten in Std-Löhne werden im Projekt eingebenen. </t>
  </si>
  <si>
    <t>Mehrarbeitsfaktor (MAF)</t>
  </si>
  <si>
    <t xml:space="preserve">Werte gem K3: </t>
  </si>
  <si>
    <t>Werte gem Stammdaten</t>
  </si>
  <si>
    <t>Mehrlohnfaktor (MLF)</t>
  </si>
  <si>
    <t>Aufteilung in die Kategorien:</t>
  </si>
  <si>
    <t>Stammdaten</t>
  </si>
  <si>
    <t>Arbeitszeit (1,00 Regiestunde)</t>
  </si>
  <si>
    <t>Umlagen soweit auch auf Regie (K3 Zeilen 17i)</t>
  </si>
  <si>
    <t>GZ auf Umlage (wie in Personalpreiskalkulation); K3 Spalte A, Zeile 20</t>
  </si>
  <si>
    <t>Standard-werte</t>
  </si>
  <si>
    <t>Rechen-werte für K3 Regie</t>
  </si>
  <si>
    <t>K3 Zeile 8: Arbeitszeitzuschlag</t>
  </si>
  <si>
    <t>K3 Zeile 12: Direkte Personalnebenkosten</t>
  </si>
  <si>
    <t>K3 Zeile 14: Weitere Personalnebenkosten</t>
  </si>
  <si>
    <t>K3 Zeile 16: Personalgemeinkosten</t>
  </si>
  <si>
    <t>Rechenwert</t>
  </si>
  <si>
    <r>
      <t xml:space="preserve">Gesamtzuschlag Regie </t>
    </r>
    <r>
      <rPr>
        <sz val="11"/>
        <rFont val="Calibri"/>
        <family val="2"/>
        <scheme val="minor"/>
      </rPr>
      <t>(in K2 Blatt berechnen)</t>
    </r>
    <r>
      <rPr>
        <b/>
        <sz val="11"/>
        <rFont val="Calibri"/>
        <family val="2"/>
        <scheme val="minor"/>
      </rPr>
      <t>; K3 Spalte B, Zeile 20</t>
    </r>
  </si>
  <si>
    <t>Allgemeine Projektdaten</t>
  </si>
  <si>
    <t>Berechnung</t>
  </si>
  <si>
    <t>KV-Entgelt unproduktiv</t>
  </si>
  <si>
    <t>KV-Entgelt produktiv</t>
  </si>
  <si>
    <t>KV pro Std gewichtet</t>
  </si>
  <si>
    <t>AKV pro Std gewichtet</t>
  </si>
  <si>
    <t>K3 Zeile 4</t>
  </si>
  <si>
    <t>K3 Zeile 6</t>
  </si>
  <si>
    <t>Basis = KV</t>
  </si>
  <si>
    <t>K3 Zeile 8</t>
  </si>
  <si>
    <t>Entschädigungen/Std</t>
  </si>
  <si>
    <t>€/Std</t>
  </si>
  <si>
    <t>Betrag pro Stunde</t>
  </si>
  <si>
    <t>Zahl der Std/Wo</t>
  </si>
  <si>
    <t>Kollektivvertrag (KV):</t>
  </si>
  <si>
    <t>Rechenwert in K3</t>
  </si>
  <si>
    <t xml:space="preserve">KV-Normalarbeitszeit </t>
  </si>
  <si>
    <t>Verrech-nungsstd. pro Woche</t>
  </si>
  <si>
    <t>Zuschlag für unproduktive Zeiten</t>
  </si>
  <si>
    <t>%</t>
  </si>
  <si>
    <t>1) Faktor (fixer Erhöhungsfaktor gem KollV auf die Basis für</t>
  </si>
  <si>
    <t>Dienstreisevergütungen und Entschädigungen (für K3 Zeilen 9 und 11)</t>
  </si>
  <si>
    <t>Erschwerniszulagen gem KV (für K3 Zeile 7)</t>
  </si>
  <si>
    <t>Arbeitszeitzuschläge (für K3 Zeile 8)</t>
  </si>
  <si>
    <t>DPNK Summe</t>
  </si>
  <si>
    <t>Normalarbeitszeit gem KollV</t>
  </si>
  <si>
    <t>Wert für weitere Berechnung</t>
  </si>
  <si>
    <t>Anteil in Prozent</t>
  </si>
  <si>
    <t>Summe Zulagen in €</t>
  </si>
  <si>
    <t>% f AKV</t>
  </si>
  <si>
    <t>Umlage-%</t>
  </si>
  <si>
    <t>% der prod. Mitarbeiter erhalten</t>
  </si>
  <si>
    <t>A) Arbeitnehmerstruktur</t>
  </si>
  <si>
    <t>D) Arbeitszeit und Lage der Arbeitszeit</t>
  </si>
  <si>
    <t>E) Personalnebenkosten (Direkte / Umgelegte / Weitere)</t>
  </si>
  <si>
    <t>E3) Weitere Personalnebenkosten (K3 Zeile 14)</t>
  </si>
  <si>
    <t>F) Personalgemeinkosten</t>
  </si>
  <si>
    <t>H) Gesamtzuschlag gem K2</t>
  </si>
  <si>
    <t>Unprod. Personal (Zeiten) zusätzlich zum (KZ = 1) oder vom (KZ = 0) prod. Personal?</t>
  </si>
  <si>
    <t>Personalkosten gesamt</t>
  </si>
  <si>
    <t>Personalpreis gesamt</t>
  </si>
  <si>
    <t xml:space="preserve">   Erhöhungsfaktor gem KollV</t>
  </si>
  <si>
    <t>Zulagen</t>
  </si>
  <si>
    <t>Zwischensumme C1 (Kosten pro Woche)</t>
  </si>
  <si>
    <t>Zwischensumme C2 (Kosten pro Woche)</t>
  </si>
  <si>
    <t>Zwischensumme C3 (Kosten pro Woche)</t>
  </si>
  <si>
    <t>Zwischensumme C4 (Kosten pro Woche)</t>
  </si>
  <si>
    <t>A2) Unproduktives Personal</t>
  </si>
  <si>
    <t>Unproduktives Personal</t>
  </si>
  <si>
    <t>A4) Ermittlung der Zuschläge</t>
  </si>
  <si>
    <t xml:space="preserve"> Berech-nung:</t>
  </si>
  <si>
    <t>(Anm.: Basis siehe A4)</t>
  </si>
  <si>
    <t>Summe (Kosten pro Woche)</t>
  </si>
  <si>
    <r>
      <rPr>
        <b/>
        <sz val="11"/>
        <rFont val="Calibri"/>
        <family val="2"/>
      </rPr>
      <t>∑</t>
    </r>
    <r>
      <rPr>
        <b/>
        <sz val="12.1"/>
        <rFont val="Calibri"/>
        <family val="2"/>
      </rPr>
      <t xml:space="preserve"> </t>
    </r>
    <r>
      <rPr>
        <b/>
        <sz val="11"/>
        <rFont val="Calibri"/>
        <family val="2"/>
        <scheme val="minor"/>
      </rPr>
      <t>Gesamtarbeitszeit</t>
    </r>
  </si>
  <si>
    <t>Basisfaktor</t>
  </si>
  <si>
    <t>Faktor 2</t>
  </si>
  <si>
    <t>Faktor 2 (gem KollV)</t>
  </si>
  <si>
    <t>F) Summe Personalgemeinkosten (K3 Zeile 16)</t>
  </si>
  <si>
    <t>Kenn-zeichen (KZ) setzen</t>
  </si>
  <si>
    <t>Individuelle Anpassung (+/- %-Punkte)</t>
  </si>
  <si>
    <t>Bauleitungskosten (Umlage personeller BGK)</t>
  </si>
  <si>
    <r>
      <t xml:space="preserve">eigene Ein-gabe </t>
    </r>
    <r>
      <rPr>
        <sz val="9"/>
        <rFont val="Calibri"/>
        <family val="2"/>
        <scheme val="minor"/>
      </rPr>
      <t>(über-schreibt Standard)</t>
    </r>
  </si>
  <si>
    <t>Individuelle Anpassung:</t>
  </si>
  <si>
    <t>Kalkulationswerte:</t>
  </si>
  <si>
    <r>
      <rPr>
        <i/>
        <sz val="10"/>
        <rFont val="Calibri"/>
        <family val="2"/>
      </rPr>
      <t xml:space="preserve">[Ø AKV </t>
    </r>
    <r>
      <rPr>
        <i/>
        <sz val="10"/>
        <rFont val="Calibri"/>
        <family val="2"/>
        <scheme val="minor"/>
      </rPr>
      <t>aus MLP-Kalk.:</t>
    </r>
  </si>
  <si>
    <t>R1) Beschäftigungsgruppe gem KV</t>
  </si>
  <si>
    <t>R2) Zuschläge für:</t>
  </si>
  <si>
    <t>Preisbasis gem Angebotsunterlagen</t>
  </si>
  <si>
    <t>a) Zuschlag für unproduktives Personal und Zeiten</t>
  </si>
  <si>
    <t>Individuelle Anpassung (+/- %-Punkte):</t>
  </si>
  <si>
    <t>B2) Summe Aufzahlungen für Erschwernisse in % für unproduktives Personal</t>
  </si>
  <si>
    <t>B3) Berechnung</t>
  </si>
  <si>
    <t>Aufzahlungen für Erschwernisse in produktiven Zeiten</t>
  </si>
  <si>
    <t>Aufzahlungen für Erschwernisse f unprod. Personal</t>
  </si>
  <si>
    <t>C5) Berechnung</t>
  </si>
  <si>
    <t xml:space="preserve">D1) Zusätzliche Arbeitsstunden </t>
  </si>
  <si>
    <t>Mehrarbeits-, Überstunden</t>
  </si>
  <si>
    <t>KV-Entgelt inkl. unproduktiver Zeiten</t>
  </si>
  <si>
    <t>Regiestunde</t>
  </si>
  <si>
    <t>Personalkosten gesamt (Regie)</t>
  </si>
  <si>
    <t>Unproduktive Zeiten</t>
  </si>
  <si>
    <r>
      <t>Gesamtkosten pro Woche (∑</t>
    </r>
    <r>
      <rPr>
        <sz val="12.1"/>
        <rFont val="Calibri"/>
        <family val="2"/>
      </rPr>
      <t xml:space="preserve"> C1 bis C4)</t>
    </r>
    <r>
      <rPr>
        <sz val="11"/>
        <rFont val="Calibri"/>
        <family val="2"/>
      </rPr>
      <t>:</t>
    </r>
  </si>
  <si>
    <t>Personalpreis ges. (Regie)</t>
  </si>
  <si>
    <t>UPNK 0</t>
  </si>
  <si>
    <t>UPNK 1</t>
  </si>
  <si>
    <t>UPNK 2</t>
  </si>
  <si>
    <t>UPNK 3</t>
  </si>
  <si>
    <t>1) AKV: Außer-(Über-)kollektivvertragliches Entgelt; betriebliche Durchschnittswerte</t>
  </si>
  <si>
    <t>Umlagen (K3 Zeilen 17i)</t>
  </si>
  <si>
    <t xml:space="preserve">    (kennt der KollV keine, 1,0 oder leer)</t>
  </si>
  <si>
    <t>Stammdaten Personalnebenkosten</t>
  </si>
  <si>
    <t>Gehalt</t>
  </si>
  <si>
    <t>Montage</t>
  </si>
  <si>
    <t>Projektkalkulation K3-Blatt ÖNORM B 2061:2020</t>
  </si>
  <si>
    <t>Vorfertigung</t>
  </si>
  <si>
    <t>-</t>
  </si>
  <si>
    <t>Gz UN:</t>
  </si>
  <si>
    <t>Gz AG:</t>
  </si>
  <si>
    <t xml:space="preserve">Version: </t>
  </si>
  <si>
    <t>(Umrechnung KV in Rechenwert)</t>
  </si>
  <si>
    <t xml:space="preserve">    die Berechnung der Kosten der Stunde</t>
  </si>
  <si>
    <t>C</t>
  </si>
  <si>
    <t>%-Satz auf C</t>
  </si>
  <si>
    <t>CxD/100</t>
  </si>
  <si>
    <t>C+E</t>
  </si>
  <si>
    <t>%-Satz auf F</t>
  </si>
  <si>
    <t>FxG/100</t>
  </si>
  <si>
    <t>F+H</t>
  </si>
  <si>
    <t>%-Satz auf I</t>
  </si>
  <si>
    <t>IxJ/100</t>
  </si>
  <si>
    <t>I+K</t>
  </si>
  <si>
    <t>%-Satz auf L</t>
  </si>
  <si>
    <t>LxM/100</t>
  </si>
  <si>
    <t>LxO/100</t>
  </si>
  <si>
    <t>L+N+P</t>
  </si>
  <si>
    <t>Q-100</t>
  </si>
  <si>
    <t>Wert gem KollV</t>
  </si>
  <si>
    <r>
      <t xml:space="preserve">Zuschläge in % </t>
    </r>
    <r>
      <rPr>
        <b/>
        <sz val="11"/>
        <rFont val="Calibri"/>
        <family val="2"/>
        <scheme val="minor"/>
      </rPr>
      <t>für Mehrarb. u Ü-Std.</t>
    </r>
  </si>
  <si>
    <r>
      <t>Faktor</t>
    </r>
    <r>
      <rPr>
        <b/>
        <vertAlign val="superscript"/>
        <sz val="10"/>
        <rFont val="Calibri"/>
        <family val="2"/>
        <scheme val="minor"/>
      </rPr>
      <t>1</t>
    </r>
  </si>
  <si>
    <r>
      <t xml:space="preserve">Zuschläge in % </t>
    </r>
    <r>
      <rPr>
        <b/>
        <sz val="11"/>
        <rFont val="Calibri"/>
        <family val="2"/>
        <scheme val="minor"/>
      </rPr>
      <t>f Lage d Arb.zeit</t>
    </r>
  </si>
  <si>
    <t>Wert gem Stammdaten</t>
  </si>
  <si>
    <t>Für:</t>
  </si>
  <si>
    <t>KollV-Datum:</t>
  </si>
  <si>
    <t>SV Daten vom:</t>
  </si>
  <si>
    <t>.xlsx</t>
  </si>
  <si>
    <t>R</t>
  </si>
  <si>
    <t xml:space="preserve"> = B</t>
  </si>
  <si>
    <t>K3 Zeile 9</t>
  </si>
  <si>
    <t>K3 Zeile 11</t>
  </si>
  <si>
    <t>Basis für die Aufzahlung ist:</t>
  </si>
  <si>
    <r>
      <t>∑</t>
    </r>
    <r>
      <rPr>
        <i/>
        <sz val="9"/>
        <rFont val="Calibri"/>
        <family val="2"/>
        <scheme val="minor"/>
      </rPr>
      <t xml:space="preserve"> B3 und B4</t>
    </r>
  </si>
  <si>
    <r>
      <rPr>
        <sz val="9"/>
        <rFont val="Calibri"/>
        <family val="2"/>
      </rPr>
      <t>∑</t>
    </r>
    <r>
      <rPr>
        <i/>
        <sz val="9"/>
        <rFont val="Calibri"/>
        <family val="2"/>
        <scheme val="minor"/>
      </rPr>
      <t xml:space="preserve"> B3 und B4</t>
    </r>
  </si>
  <si>
    <r>
      <rPr>
        <sz val="9"/>
        <rFont val="Calibri"/>
        <family val="2"/>
      </rPr>
      <t>∑</t>
    </r>
    <r>
      <rPr>
        <i/>
        <sz val="9"/>
        <rFont val="Calibri"/>
        <family val="2"/>
        <scheme val="minor"/>
      </rPr>
      <t xml:space="preserve"> B5 bis B9</t>
    </r>
  </si>
  <si>
    <r>
      <t>∑</t>
    </r>
    <r>
      <rPr>
        <i/>
        <sz val="9"/>
        <rFont val="Calibri"/>
        <family val="2"/>
        <scheme val="minor"/>
      </rPr>
      <t xml:space="preserve"> B5 bis B9</t>
    </r>
  </si>
  <si>
    <r>
      <t>∑</t>
    </r>
    <r>
      <rPr>
        <i/>
        <sz val="9"/>
        <rFont val="Calibri"/>
        <family val="2"/>
        <scheme val="minor"/>
      </rPr>
      <t xml:space="preserve"> B10 bis B14</t>
    </r>
  </si>
  <si>
    <r>
      <rPr>
        <sz val="9"/>
        <rFont val="Calibri"/>
        <family val="2"/>
        <scheme val="minor"/>
      </rPr>
      <t xml:space="preserve">∑ </t>
    </r>
    <r>
      <rPr>
        <i/>
        <sz val="9"/>
        <rFont val="Calibri"/>
        <family val="2"/>
        <scheme val="minor"/>
      </rPr>
      <t>A18 u B18</t>
    </r>
  </si>
  <si>
    <r>
      <rPr>
        <sz val="9"/>
        <rFont val="Calibri"/>
        <family val="2"/>
        <scheme val="minor"/>
      </rPr>
      <t xml:space="preserve">∑ </t>
    </r>
    <r>
      <rPr>
        <i/>
        <sz val="9"/>
        <rFont val="Calibri"/>
        <family val="2"/>
        <scheme val="minor"/>
      </rPr>
      <t>A21 u B21</t>
    </r>
  </si>
  <si>
    <r>
      <rPr>
        <sz val="9"/>
        <rFont val="Calibri"/>
        <family val="2"/>
      </rPr>
      <t xml:space="preserve">∑ </t>
    </r>
    <r>
      <rPr>
        <i/>
        <sz val="9"/>
        <rFont val="Calibri"/>
        <family val="2"/>
        <scheme val="minor"/>
      </rPr>
      <t xml:space="preserve">A18 u A20 bzw </t>
    </r>
    <r>
      <rPr>
        <sz val="9"/>
        <rFont val="Calibri"/>
        <family val="2"/>
      </rPr>
      <t xml:space="preserve">∑ </t>
    </r>
    <r>
      <rPr>
        <i/>
        <sz val="9"/>
        <rFont val="Calibri"/>
        <family val="2"/>
        <scheme val="minor"/>
      </rPr>
      <t>B18 u B20</t>
    </r>
  </si>
  <si>
    <r>
      <t xml:space="preserve">Preise </t>
    </r>
    <r>
      <rPr>
        <sz val="10"/>
        <rFont val="Calibri"/>
        <family val="2"/>
        <scheme val="minor"/>
      </rPr>
      <t>(Umlagen Spalte A bzw Personal Spalte B)</t>
    </r>
  </si>
  <si>
    <r>
      <t xml:space="preserve">Kosten </t>
    </r>
    <r>
      <rPr>
        <sz val="10"/>
        <rFont val="Calibri"/>
        <family val="2"/>
        <scheme val="minor"/>
      </rPr>
      <t>(Umlagen Spalte A bzw Personal Spalte B)</t>
    </r>
  </si>
  <si>
    <t>Proj:</t>
  </si>
  <si>
    <r>
      <rPr>
        <sz val="9"/>
        <rFont val="Calibri"/>
        <family val="2"/>
      </rPr>
      <t>∑</t>
    </r>
    <r>
      <rPr>
        <i/>
        <sz val="9"/>
        <rFont val="Calibri"/>
        <family val="2"/>
        <scheme val="minor"/>
      </rPr>
      <t xml:space="preserve"> A17i bzw </t>
    </r>
    <r>
      <rPr>
        <sz val="9"/>
        <rFont val="Calibri"/>
        <family val="2"/>
      </rPr>
      <t>∑</t>
    </r>
    <r>
      <rPr>
        <i/>
        <sz val="10.8"/>
        <rFont val="Calibri"/>
        <family val="2"/>
      </rPr>
      <t xml:space="preserve"> </t>
    </r>
    <r>
      <rPr>
        <i/>
        <sz val="9"/>
        <rFont val="Calibri"/>
        <family val="2"/>
        <scheme val="minor"/>
      </rPr>
      <t>B15 und B16</t>
    </r>
  </si>
  <si>
    <t>Kollektivvertrag:</t>
  </si>
  <si>
    <t>UPNK0 (von Mehrarbeit und Mehrlohn unabhängig)</t>
  </si>
  <si>
    <t>UPNK1 (nur von Mehrarbeit abhängig)</t>
  </si>
  <si>
    <t>UPNK2 (nur vom Mehrlohn abhängig)</t>
  </si>
  <si>
    <t>UPNK3 (von Mehrlohn und Mehrarbeit abhängig)</t>
  </si>
  <si>
    <t>Ja</t>
  </si>
  <si>
    <t>Nein</t>
  </si>
  <si>
    <t>Aufzahlung auch auf unproduktive Zeiten (A3)?</t>
  </si>
  <si>
    <t>Basis?</t>
  </si>
  <si>
    <t>1. Abminderung wg. Mehrarbeit auf Stammdaten UPNK berücksichtigen?</t>
  </si>
  <si>
    <t>2. Abminderung wg. Mehrentgelt auf Stammdaten UPNK berücksichtigen?</t>
  </si>
  <si>
    <t>Mehrarbeitsfaktor =</t>
  </si>
  <si>
    <t xml:space="preserve">Mehrlohnfaktor = </t>
  </si>
  <si>
    <t>Abgabepfl. Personalkosten (K3 Z 10) pro Woche</t>
  </si>
  <si>
    <t>G) Kostenumlagen (für K3 Zeile 17)</t>
  </si>
  <si>
    <t>auf Personalkosten (K3 Spalte B) gem K2</t>
  </si>
  <si>
    <r>
      <t>Gesamtzuschlag gem K2</t>
    </r>
    <r>
      <rPr>
        <sz val="11"/>
        <rFont val="Calibri"/>
        <family val="2"/>
        <scheme val="minor"/>
      </rPr>
      <t xml:space="preserve"> (im Blatt K2 eingeben)</t>
    </r>
  </si>
  <si>
    <t>bzw</t>
  </si>
  <si>
    <t>B1) Summe Aufzahlungen für Erschwernisse in % für produktives Personal</t>
  </si>
  <si>
    <t>C) Dienstreisevergütungen und Entschädigungen (für produktives Personal)</t>
  </si>
  <si>
    <t>KV inkl upZ</t>
  </si>
  <si>
    <t>Vor Zurech.</t>
  </si>
  <si>
    <t>Preis o Uml.</t>
  </si>
  <si>
    <t>Preis m Uml.</t>
  </si>
  <si>
    <t>Aufsicht (wenn nicht gesondert vergütungsfähig) od unproduktive, nicht verrechenbare Zeiten</t>
  </si>
  <si>
    <t>Berechnung:</t>
  </si>
  <si>
    <t>Aufzahlung</t>
  </si>
  <si>
    <t>K3 Zeile 7: Erschwerniszulagen</t>
  </si>
  <si>
    <t>Achtung: Wenn die Bezeichnungen der Stammdatenfelder geändert werden, müssen im Blatt "Projekt" die Drop-Downfelder neu ausgewählt werden!!</t>
  </si>
  <si>
    <r>
      <t xml:space="preserve">Zuschläge </t>
    </r>
    <r>
      <rPr>
        <b/>
        <sz val="11"/>
        <rFont val="Calibri"/>
        <family val="2"/>
        <scheme val="minor"/>
      </rPr>
      <t>f d Lage der Arb.zeit</t>
    </r>
  </si>
  <si>
    <t>€-Betrag/Std</t>
  </si>
  <si>
    <t>Dateiname:</t>
  </si>
  <si>
    <t>Blattname:</t>
  </si>
  <si>
    <t>Höhe der Abgabe (Euro pro Woche)</t>
  </si>
  <si>
    <t>K3 Zeile 9: Abgabepfl. Aufwandsentschädigungen</t>
  </si>
  <si>
    <t>K3 Zeile 13: Umgelegte Personalnebenkosten</t>
  </si>
  <si>
    <t>Projektindi-viduell über-schreibbar</t>
  </si>
  <si>
    <t>Übernahme der Stammdaten aus:</t>
  </si>
  <si>
    <t>Auswahl und Sortierung der Umlagen für K3 (Maximal drei möglich!)</t>
  </si>
  <si>
    <t>Basis:</t>
  </si>
  <si>
    <t xml:space="preserve">  für:</t>
  </si>
  <si>
    <t xml:space="preserve">  Erhöhungsfaktor gem KollV</t>
  </si>
  <si>
    <t xml:space="preserve"> für:</t>
  </si>
  <si>
    <t>K3 Zeile 11: Nicht abgabepfl. Personalkosten</t>
  </si>
  <si>
    <t xml:space="preserve">Baustellengemeinkosten </t>
  </si>
  <si>
    <t>Kleiner 65</t>
  </si>
  <si>
    <t>Größer 122</t>
  </si>
  <si>
    <t>nicht 90 - 97</t>
  </si>
  <si>
    <t>Noch</t>
  </si>
  <si>
    <t>Bezeichnung (Firma) Zeile 1:</t>
  </si>
  <si>
    <t>Bezeichnung (Firma) Zeile 2:</t>
  </si>
  <si>
    <t>Wichtige Hinweise</t>
  </si>
  <si>
    <t>Umzulegen</t>
  </si>
  <si>
    <t xml:space="preserve"> Basis</t>
  </si>
  <si>
    <t>Laufzeit der Lizenz bis:</t>
  </si>
  <si>
    <t>Allf. Updates finden Sie unter:</t>
  </si>
  <si>
    <t>Zur Nutzung auch neuerer Versionen, geben Sie genau die oben stehenden Eintragungen ein!</t>
  </si>
  <si>
    <t>Bestellung / Anforderung Code:</t>
  </si>
  <si>
    <t>Vorliegende Version:</t>
  </si>
  <si>
    <t>Personalkosten ohne Umlagen</t>
  </si>
  <si>
    <t>Personalkosten mit Umlage</t>
  </si>
  <si>
    <t>Personalpreis ohne Umlagen</t>
  </si>
  <si>
    <t>Personalpreis mit Umlagen</t>
  </si>
  <si>
    <t>auf Umlagen (K3 Spalte A) gem K2</t>
  </si>
  <si>
    <t>Runden?</t>
  </si>
  <si>
    <t>Im Feld "Unternehmer" der K-Blätter erscheint:</t>
  </si>
  <si>
    <t>Zeile 1:</t>
  </si>
  <si>
    <t>Zeile 2:</t>
  </si>
  <si>
    <t>Zeile 3:</t>
  </si>
  <si>
    <t>K2a  Zuschläge für …</t>
  </si>
  <si>
    <t>Neue Basis</t>
  </si>
  <si>
    <t>kumulierende Zuschläge</t>
  </si>
  <si>
    <t>Ergebnis für den Übertrag in das K2-Blatt Spalte D</t>
  </si>
  <si>
    <t>%-Satz auf 100%</t>
  </si>
  <si>
    <t>LxQ/100</t>
  </si>
  <si>
    <t>E+H+K+N+P+R</t>
  </si>
  <si>
    <t>Zuschläge auf Basis 100%</t>
  </si>
  <si>
    <r>
      <t xml:space="preserve">Basis
</t>
    </r>
    <r>
      <rPr>
        <i/>
        <sz val="10"/>
        <color theme="1"/>
        <rFont val="Calibri"/>
        <family val="2"/>
        <scheme val="minor"/>
      </rPr>
      <t>(= 100%)</t>
    </r>
  </si>
  <si>
    <t>Zuschlag für:</t>
  </si>
  <si>
    <t>Hinweise siehe unten!</t>
  </si>
  <si>
    <t>Versionen</t>
  </si>
  <si>
    <t>Ihre Lizenznummer (Code):</t>
  </si>
  <si>
    <t>Anleitung siehe:</t>
  </si>
  <si>
    <t>Sie verwenden eine Konzern-, Filial- bzw Beraterlizenz und können Zeile 2 und 3 (Angabe des Unternehmens im Kopf der K-Blätter) frei bezeichnen:</t>
  </si>
  <si>
    <t>a4</t>
  </si>
  <si>
    <t>b4</t>
  </si>
  <si>
    <t>KollV f 4</t>
  </si>
  <si>
    <t>a5</t>
  </si>
  <si>
    <t>b5</t>
  </si>
  <si>
    <t>KollV f 5</t>
  </si>
  <si>
    <t>Endgültiges OK?</t>
  </si>
  <si>
    <r>
      <t xml:space="preserve">Diverse Warnhinweise bei fehlenden Eingaben
</t>
    </r>
    <r>
      <rPr>
        <i/>
        <sz val="9"/>
        <rFont val="Calibri"/>
        <family val="2"/>
        <scheme val="minor"/>
      </rPr>
      <t>(Bitte überzeugen Sie sich, welche Quelldaten zur Übernahme in die Stammdaten ausgewählt sind (Blatt Stammdaten - rechts oben). Lesen Sie die Kurzbeschreibung im Blatt "Lizenz u lies mich".)</t>
    </r>
  </si>
  <si>
    <t>Kommerzielle Verwendung A4</t>
  </si>
  <si>
    <t>Kommerzielle Verwendung A5</t>
  </si>
  <si>
    <t>Tx: Stammdaten</t>
  </si>
  <si>
    <t>Richtig</t>
  </si>
  <si>
    <t>Tx : Projekt</t>
  </si>
  <si>
    <t>KollV</t>
  </si>
  <si>
    <t>Tx: K-Blatt</t>
  </si>
  <si>
    <t>Code richtig</t>
  </si>
  <si>
    <t>Code Falsch</t>
  </si>
  <si>
    <t>r004</t>
  </si>
  <si>
    <t>r005</t>
  </si>
  <si>
    <t>f004</t>
  </si>
  <si>
    <t>f005</t>
  </si>
  <si>
    <t>Abfrage falsche Endung</t>
  </si>
  <si>
    <t>Ersatz richtige Endung</t>
  </si>
  <si>
    <t>Datum</t>
  </si>
  <si>
    <t>h023</t>
  </si>
  <si>
    <t>Code:</t>
  </si>
  <si>
    <t>Verband (&gt;1):</t>
  </si>
  <si>
    <t>KollV-Tx1</t>
  </si>
  <si>
    <t>KollV-Tx2</t>
  </si>
  <si>
    <t>KollV-Tx3</t>
  </si>
  <si>
    <t>KollV-Tx4</t>
  </si>
  <si>
    <t>KollV-Tx5</t>
  </si>
  <si>
    <t>Facharbeiter</t>
  </si>
  <si>
    <t>Bauhilf</t>
  </si>
  <si>
    <t>Feuer</t>
  </si>
  <si>
    <t>KollV-Tx6</t>
  </si>
  <si>
    <t>Bauarbeiter</t>
  </si>
  <si>
    <t>Vier-1</t>
  </si>
  <si>
    <t>Fünf-1</t>
  </si>
  <si>
    <t>Vier-2</t>
  </si>
  <si>
    <t>Vier-3</t>
  </si>
  <si>
    <t>Vier-4</t>
  </si>
  <si>
    <t>Vier-5</t>
  </si>
  <si>
    <t>Vier-6</t>
  </si>
  <si>
    <t>Fünf-2</t>
  </si>
  <si>
    <t>Fünf-3</t>
  </si>
  <si>
    <t>Fünf-4</t>
  </si>
  <si>
    <t>Fünf-5</t>
  </si>
  <si>
    <t>Fünf-6</t>
  </si>
  <si>
    <t>KollV Zeit</t>
  </si>
  <si>
    <t>KollV-Zeit</t>
  </si>
  <si>
    <t>Faktor:</t>
  </si>
  <si>
    <t>Summe1</t>
  </si>
  <si>
    <t>Summe2 (_PrüfKV)</t>
  </si>
  <si>
    <t>Vier-7</t>
  </si>
  <si>
    <t>Fünf-7</t>
  </si>
  <si>
    <t>Schorn</t>
  </si>
  <si>
    <t>Rohrleger</t>
  </si>
  <si>
    <t>Arbeitszeit (+5 / -10)</t>
  </si>
  <si>
    <t>Sie nutzen eine generelle Verbandslizenz, rufen aber offenbar einen nicht zutreffenden KollV als Stammdaten aus der Quelldatei ab. Möglicherweise verwenden Sie auch nur nicht vorgesehene Bezeichnungen der KV-Beschäftigungsgruppen. Bitte verwenden Sie die vom Verband zur Verfügung gestellte Quelldatei mit allen KV-Gruppen.</t>
  </si>
  <si>
    <t>Baugewerbe</t>
  </si>
  <si>
    <t>Text in KV Bezeichnung</t>
  </si>
  <si>
    <t>Text in KV-Gruppen</t>
  </si>
  <si>
    <t>Übernahme der Daten aus:</t>
  </si>
  <si>
    <t>Blatt:</t>
  </si>
  <si>
    <t>1) Ist die Partiezusammenstellung plausibel?</t>
  </si>
  <si>
    <t>3) Ist der aktuelle, zum Zeitpunkt des Endes der Angebotsfrist, KollV der Kalkulation zugrunde gelegt?</t>
  </si>
  <si>
    <t>2) Ist der richtige und zutreffende KollV ausgewählt und verwendet?</t>
  </si>
  <si>
    <t>4) Sind alle Erschwerniszulagen die bei der Projektabwicklung anfallen werden anteilig berücksichtigt?</t>
  </si>
  <si>
    <t>5) Sind die DIREKTEN PERSONALNEBENKOSTEN in zutreffender Höhe erfasst?</t>
  </si>
  <si>
    <t>Kalkulationsreport (K3-Blatt Kontrolle)</t>
  </si>
  <si>
    <t>Vor Abgabe des K3-Blattes ist jedenfalls das K3-Blatt noch individuell zu kontrollieren!</t>
  </si>
  <si>
    <t>6) Folgende Werte bitte gegebenenfalls prüfen (sind die unteren Zeilen leer, sind keine Auffälligkeiten erkannt):</t>
  </si>
  <si>
    <t>Standardmäßig bitte folgendes prüfen:</t>
  </si>
  <si>
    <t>Regiepersonalpreis 4</t>
  </si>
  <si>
    <t>Regiepersonalpreis 3</t>
  </si>
  <si>
    <t>Regiepersonalpreis 2</t>
  </si>
  <si>
    <t>Regiepersonalpreis 1</t>
  </si>
  <si>
    <t>Ihre Notizen:</t>
  </si>
  <si>
    <t>Hier können Sie ihre Anmerkungen eintragen …</t>
  </si>
  <si>
    <t>Ihre Notizen</t>
  </si>
  <si>
    <t>KollV f Bauindustrie und Baugewerbe (Arbeiter)</t>
  </si>
  <si>
    <t>KollV-Abfrage</t>
  </si>
  <si>
    <t>n204</t>
  </si>
  <si>
    <t>Basis für die weiteren Zuschläge</t>
  </si>
  <si>
    <t>Zuschlag für (auf 100%):</t>
  </si>
  <si>
    <t>Zuschlagsträger 
(wird vom K2-Blatt übertragen)</t>
  </si>
  <si>
    <t>Basis
(= 100%)</t>
  </si>
  <si>
    <t>Ergebnis:
% auf KV-Entgelt</t>
  </si>
  <si>
    <t>Kennzeichen</t>
  </si>
  <si>
    <t>Produktives Personal</t>
  </si>
  <si>
    <t>B) Aufzahlung für Erschwernisse (Zulagen)</t>
  </si>
  <si>
    <t xml:space="preserve">   Personalverrechnung, -management</t>
  </si>
  <si>
    <t xml:space="preserve">   Ausrüstung mit EDV, Software udgl.</t>
  </si>
  <si>
    <t xml:space="preserve">  Firmenfahrzeuge und Betrieb</t>
  </si>
  <si>
    <t xml:space="preserve">  Werkzeug, Kleingerüst u -gerät, Messinstrumente</t>
  </si>
  <si>
    <t xml:space="preserve">  Allgemeine Umlage für Neben-(Klein-)Material</t>
  </si>
  <si>
    <t xml:space="preserve">  Erhöhte Arbeitssicherheit (besondere PSA)</t>
  </si>
  <si>
    <t xml:space="preserve">  Sonstige allgemeine Baustellenkosten</t>
  </si>
  <si>
    <t>a) Summe unternehmensbezogene Personalgemeinkosten</t>
  </si>
  <si>
    <t>b) Summe projektbezogene Personalgemeinkosten</t>
  </si>
  <si>
    <t>Oder im Detail:</t>
  </si>
  <si>
    <t>Weitere Kostenumlagen für:</t>
  </si>
  <si>
    <r>
      <rPr>
        <i/>
        <sz val="10"/>
        <rFont val="Calibri"/>
        <family val="2"/>
      </rPr>
      <t xml:space="preserve">Ø AKV in % </t>
    </r>
    <r>
      <rPr>
        <i/>
        <sz val="10"/>
        <rFont val="Calibri"/>
        <family val="2"/>
        <scheme val="minor"/>
      </rPr>
      <t>aus Personalpreis-Kalkulation:</t>
    </r>
  </si>
  <si>
    <r>
      <t xml:space="preserve">   </t>
    </r>
    <r>
      <rPr>
        <b/>
        <sz val="11"/>
        <rFont val="Calibri"/>
        <family val="2"/>
        <scheme val="minor"/>
      </rPr>
      <t>a)</t>
    </r>
    <r>
      <rPr>
        <sz val="11"/>
        <rFont val="Calibri"/>
        <family val="2"/>
        <scheme val="minor"/>
      </rPr>
      <t xml:space="preserve"> als Mehrarbeitsstunde? </t>
    </r>
    <r>
      <rPr>
        <i/>
        <sz val="11"/>
        <rFont val="Calibri"/>
        <family val="2"/>
        <scheme val="minor"/>
      </rPr>
      <t>(Ja: KZ=1; Nein: KZ=0)</t>
    </r>
  </si>
  <si>
    <r>
      <t xml:space="preserve">  </t>
    </r>
    <r>
      <rPr>
        <b/>
        <sz val="11"/>
        <rFont val="Calibri"/>
        <family val="2"/>
        <scheme val="minor"/>
      </rPr>
      <t xml:space="preserve">b) </t>
    </r>
    <r>
      <rPr>
        <sz val="11"/>
        <rFont val="Calibri"/>
        <family val="2"/>
        <scheme val="minor"/>
      </rPr>
      <t xml:space="preserve">als Verrechnungsstunde (%)? </t>
    </r>
    <r>
      <rPr>
        <i/>
        <sz val="11"/>
        <rFont val="Calibri"/>
        <family val="2"/>
        <scheme val="minor"/>
      </rPr>
      <t>(Ja: KZ=1, Nein: 0)</t>
    </r>
  </si>
  <si>
    <r>
      <t xml:space="preserve"> </t>
    </r>
    <r>
      <rPr>
        <b/>
        <sz val="11"/>
        <rFont val="Calibri"/>
        <family val="2"/>
        <scheme val="minor"/>
      </rPr>
      <t xml:space="preserve">c) </t>
    </r>
    <r>
      <rPr>
        <sz val="11"/>
        <rFont val="Calibri"/>
        <family val="2"/>
        <scheme val="minor"/>
      </rPr>
      <t xml:space="preserve">als Verrechnungsstunde (€)? </t>
    </r>
    <r>
      <rPr>
        <i/>
        <sz val="11"/>
        <rFont val="Calibri"/>
        <family val="2"/>
        <scheme val="minor"/>
      </rPr>
      <t>(Ja: KZ=1, Nein:0)</t>
    </r>
  </si>
  <si>
    <r>
      <t xml:space="preserve">  Basis ist? Siehe Pkt D u wähle </t>
    </r>
    <r>
      <rPr>
        <b/>
        <sz val="11"/>
        <color theme="5" tint="-0.249977111117893"/>
        <rFont val="Calibri"/>
        <family val="2"/>
        <scheme val="minor"/>
      </rPr>
      <t>KZ 1</t>
    </r>
    <r>
      <rPr>
        <sz val="11"/>
        <rFont val="Calibri"/>
        <family val="2"/>
        <scheme val="minor"/>
      </rPr>
      <t xml:space="preserve"> bis </t>
    </r>
    <r>
      <rPr>
        <b/>
        <sz val="11"/>
        <color theme="5" tint="-0.249977111117893"/>
        <rFont val="Calibri"/>
        <family val="2"/>
        <scheme val="minor"/>
      </rPr>
      <t>4</t>
    </r>
  </si>
  <si>
    <t xml:space="preserve">Bitte die Bezeichnungen für die Freischaltung (Zeile 1, Zeile 2 und Code) genau eingeben (Groß- und Kleinbuchstaben, Leer- und Sonderzeichen beachten)!
</t>
  </si>
  <si>
    <t>% der Mit-arbeiter mit Anspruch</t>
  </si>
  <si>
    <t>Anspruch für … Tage/Wo</t>
  </si>
  <si>
    <t xml:space="preserve"> pro Woche</t>
  </si>
  <si>
    <t>Anzahl der Stunden pro Woche</t>
  </si>
  <si>
    <t>Aufzahlung für die Stunde in €</t>
  </si>
  <si>
    <t>Aufzahlung für die Stunde in %</t>
  </si>
  <si>
    <r>
      <t xml:space="preserve">E1) Direkte Personalnebenkosten </t>
    </r>
    <r>
      <rPr>
        <i/>
        <sz val="11"/>
        <rFont val="Calibri"/>
        <family val="2"/>
        <scheme val="minor"/>
      </rPr>
      <t>(DPNK, K3 Zeile 12)</t>
    </r>
  </si>
  <si>
    <t xml:space="preserve">   2b.  "Mehrentgelt" sind nur die Arbeitszeitzuschläge?</t>
  </si>
  <si>
    <r>
      <t xml:space="preserve">E2) Umgelegte Personalnebenkosten </t>
    </r>
    <r>
      <rPr>
        <i/>
        <sz val="11"/>
        <rFont val="Calibri"/>
        <family val="2"/>
        <scheme val="minor"/>
      </rPr>
      <t>(K3 Zeile 13)</t>
    </r>
  </si>
  <si>
    <t>Lizenziert für:</t>
  </si>
  <si>
    <r>
      <rPr>
        <b/>
        <sz val="12"/>
        <color rgb="FFFF0000"/>
        <rFont val="Calibri"/>
        <family val="2"/>
        <scheme val="minor"/>
      </rPr>
      <t xml:space="preserve">Version 2.3.0 (18.08.2020): </t>
    </r>
    <r>
      <rPr>
        <sz val="12"/>
        <rFont val="Calibri"/>
        <family val="2"/>
        <scheme val="minor"/>
      </rPr>
      <t>Behebung diverser Tippfehler und sprachliche Überarbeitung.</t>
    </r>
  </si>
  <si>
    <t>H184</t>
  </si>
  <si>
    <t>x441</t>
  </si>
  <si>
    <t xml:space="preserve">  Arbeitskleidung, Arbeitssicherheit udgl.</t>
  </si>
  <si>
    <t>Für die Dauer der im Blatt LIZENZ U LIES MICH angegebenen Laufzeit haben die Bundesinnung Bau und die Landesinnungen Bau die Nutzung des K3-Kalkulationstools für ihre Mitgliedsbetriebe erworben. Eine kommerzielle Nutzung dieser Lizenz ist ausschließlich  Mitgliedsbetrieben dieser Verbände gestattet!</t>
  </si>
  <si>
    <t>Eine kommerzielle Verwendung dieses Ausdrucks ist ausschließlich Mitgliedsbetrieben der Bundesinnung bzw der Landesinnungen Bau gestattet.</t>
  </si>
  <si>
    <t xml:space="preserve">Quelldatei (Datei aus der die Stammdaten (grüner Reiter) dieser Datei gespeist werden)
Allgemeine, immer wieder verwendete Daten, werden in der Quelldatei abgelegt. Ausgeliefert mit dem Dateinamen K3_QuelleJJJJ (JJJJ steht für das aktuelle Jahr; zur Zeit 2020). Der Dateiname kann geändert werden (keine Sonder- oder Leerzeichen). Im ersten Blatt werden die Direkten Personalnebenkosten eingegeben (Empfehlung: Dateiname enthält den Stand der DPNK; vorliegend 2020). In den weiteren Blättern finden sich die Stammdaten einiger Kollektivverträge. Diese Blätter lassen sich beliebig kopieren oder löschen und der Blattname lässt sich ändern. Sie können mehrere Tabellenblätter anlegen (Name ohne Leer- und Sonderzeichen mit Ausnahme "_"!). 
Für einige Branchen finden sich bereits Tabellenblätter mit wesentlichen Eintragungen (da auch unternehmensspezifische Werte verwendet werden, bitte anpassen: zB Überzahlung oder Kosten der wöchentlichen Heimfahrt). Empfehlung: Löschen Sie die Blätter mit den nicht benötigten Kollektivverträgen (Mauszeiger auf den Dateiblattreiter bewegen und rechte Maustaste drücken). Ändert sich zB der KollV, kopieren Sie das Blatt mit den Daten des alten KollV und ändern die Stammdaten. Nennen Sie das neue Blatt dann zB: Baugewerbe_2021.
</t>
  </si>
  <si>
    <r>
      <rPr>
        <b/>
        <sz val="12"/>
        <rFont val="Calibri"/>
        <family val="2"/>
        <scheme val="minor"/>
      </rPr>
      <t>Projekt bearbeiten (gelber Reiter)</t>
    </r>
    <r>
      <rPr>
        <sz val="12"/>
        <rFont val="Calibri"/>
        <family val="2"/>
        <scheme val="minor"/>
      </rPr>
      <t xml:space="preserve">
Gehen Sie auf den gelben Reiter "Projekt" und befüllen Sie die ausfüllbaren Felder. Arbeiten Sie die Tabelle von oben nach unten durch. Vergessen Sie nicht, sich zunächst mit den Quelldaten zu verbinden (im Blatt Stammdaten, rechts oben). Anderenfalls erhalten Sie Fehlermeldungen.
Viele Felder sind mit Kommentaren versehen, bei unplausiblen Eingaben erfolgt eine Warnung. Bei unmöglichen Eingaben erfolgt ein Stopp, verbunden mit der Aufforderung einen zutreffenden Wert einzugeben. Rechts von der Tabelle erscheinen in roter Schrift zT Warnhinweise, wenn unschlüssige Eingaben vorliegen. Gegebenenfalls erscheint erst dann ein Endwert (Personalpreis) bis alle Eingaben vollständig vorgenommen sind. 
Die Daten für den Gesamtzuschlag geben Sie im Blatt "K2" (grauer Reiter) ein. Jene Zeilen die Sie im "Blatt K2" befüllen, können Sie auch im Blatt "Projekt" auswählen. Sie können im Rahmen der vorliegenden Kalkulation theoretisch sechs GZ verarbeiten (für den Mittelpersonalpreis, für Regie1 bis Regie 4 und für die Umlagen (K3 Spalte A).  
Fachliche Informationen zur Kalkulation finden Sie im Buch </t>
    </r>
    <r>
      <rPr>
        <b/>
        <i/>
        <sz val="12"/>
        <rFont val="Calibri"/>
        <family val="2"/>
        <scheme val="minor"/>
      </rPr>
      <t>Kropik: Baukalkulation, Kostenrechnung und ÖNORM B 2061</t>
    </r>
    <r>
      <rPr>
        <sz val="12"/>
        <rFont val="Calibri"/>
        <family val="2"/>
        <scheme val="minor"/>
      </rPr>
      <t>.</t>
    </r>
  </si>
  <si>
    <r>
      <rPr>
        <b/>
        <sz val="12"/>
        <color rgb="FFFF0000"/>
        <rFont val="Calibri"/>
        <family val="2"/>
        <scheme val="minor"/>
      </rPr>
      <t>Version 2.1 (2.5.2020)</t>
    </r>
    <r>
      <rPr>
        <sz val="12"/>
        <rFont val="Calibri"/>
        <family val="2"/>
        <scheme val="minor"/>
      </rPr>
      <t xml:space="preserve">
Es ist der </t>
    </r>
    <r>
      <rPr>
        <sz val="12"/>
        <color rgb="FFFF0000"/>
        <rFont val="Calibri"/>
        <family val="2"/>
        <scheme val="minor"/>
      </rPr>
      <t>Bezug einer Konzern-, Filial- bzw Beraterlizenz</t>
    </r>
    <r>
      <rPr>
        <sz val="12"/>
        <rFont val="Calibri"/>
        <family val="2"/>
        <scheme val="minor"/>
      </rPr>
      <t xml:space="preserve"> möglich. Bei Vorliegen dieser Lizenz ist in den K-Blättern  nur die erste Zeile fixiert, die zweite und dritte Zeile kann jeweils beliebig variiert werden (im Blatt Projekt).
In der </t>
    </r>
    <r>
      <rPr>
        <sz val="12"/>
        <color rgb="FFFF0000"/>
        <rFont val="Calibri"/>
        <family val="2"/>
        <scheme val="minor"/>
      </rPr>
      <t>Regiekalkulation</t>
    </r>
    <r>
      <rPr>
        <sz val="12"/>
        <rFont val="Calibri"/>
        <family val="2"/>
        <scheme val="minor"/>
      </rPr>
      <t xml:space="preserve"> werden die </t>
    </r>
    <r>
      <rPr>
        <sz val="12"/>
        <color rgb="FFFF0000"/>
        <rFont val="Calibri"/>
        <family val="2"/>
        <scheme val="minor"/>
      </rPr>
      <t>umgelegten Personalkosten</t>
    </r>
    <r>
      <rPr>
        <sz val="12"/>
        <rFont val="Calibri"/>
        <family val="2"/>
        <scheme val="minor"/>
      </rPr>
      <t xml:space="preserve"> aus der vorherigen Mittelpersonalpreiskalkulation übernommen. Der errechnete Wert für die UPNK kann individuell noch angepasst werden. Bislang wurde der unangepasste Wert, ab Ver 2.1 wird der angepasste Wert in die Regiekalkulation übernommen.
Der angeführte Verweis auf die Zeilennummern des K3-Blatts für abgabepflichtige und nicht abgabepflichtige Personalkosten ist im Blatt Projekt  richtig gestellt.
Werden in den Stammdaten (grüner Reiter) die aus der Quelldatei übernommenen Werte noch individuell geändert, erscheint im Blatt Projekt mit einem roten X eine Warnung.
Allgemeiner Hinweis: Ein rotes </t>
    </r>
    <r>
      <rPr>
        <b/>
        <sz val="14"/>
        <color rgb="FFFF0000"/>
        <rFont val="Calibri"/>
        <family val="2"/>
        <scheme val="minor"/>
      </rPr>
      <t>X</t>
    </r>
    <r>
      <rPr>
        <sz val="12"/>
        <rFont val="Calibri"/>
        <family val="2"/>
        <scheme val="minor"/>
      </rPr>
      <t xml:space="preserve"> am rechten Farbrahmen der Kalkulation (Blatt Projekt) zeigt an, dass eine individuelle Eingabe das Rechenergebnis verändert. 
Das K2-Blatt sieht in Spalte D einen Zuschlag für ... vor. Dieser kann mehrere Komponenten beinhalten. Die Berechnung des Zuschlags für Zeile D des K2-Blattes erfolgt im K2a-Blatt.</t>
    </r>
  </si>
  <si>
    <t xml:space="preserve">   2a. "Mehrentgelt" ist Differenz zw abgabepfl. PK zu KV-Entgelt?</t>
  </si>
  <si>
    <r>
      <t xml:space="preserve">Projektbezeichnung:
</t>
    </r>
    <r>
      <rPr>
        <i/>
        <sz val="10"/>
        <rFont val="Calibri"/>
        <family val="2"/>
        <scheme val="minor"/>
      </rPr>
      <t>(erscheint im Kopf der K-Blätter)</t>
    </r>
  </si>
  <si>
    <r>
      <t xml:space="preserve">Kalkuliert wird:
</t>
    </r>
    <r>
      <rPr>
        <i/>
        <sz val="10"/>
        <rFont val="Calibri"/>
        <family val="2"/>
        <scheme val="minor"/>
      </rPr>
      <t>(bitte auswählen)</t>
    </r>
  </si>
  <si>
    <t>Daher durchschnittliche Baustellenbesetzung:</t>
  </si>
  <si>
    <t>Kalkulationswerte für K3-Blatt:</t>
  </si>
  <si>
    <r>
      <t xml:space="preserve">B1) Zulagen für produktiv tätiges Personal
</t>
    </r>
    <r>
      <rPr>
        <i/>
        <sz val="9"/>
        <rFont val="Calibri"/>
        <family val="2"/>
        <scheme val="minor"/>
      </rPr>
      <t>(Durchschnittsbetrachtung)</t>
    </r>
  </si>
  <si>
    <t>Zulagen in EURO (€)</t>
  </si>
  <si>
    <t>Zulagen in Prozent (%)</t>
  </si>
  <si>
    <t>in € gem KollV</t>
  </si>
  <si>
    <t>in %  gem KollV</t>
  </si>
  <si>
    <r>
      <t xml:space="preserve">C1) Entschädigungen in Euro (€) pro Stunde
</t>
    </r>
    <r>
      <rPr>
        <sz val="11"/>
        <rFont val="Calibri"/>
        <family val="2"/>
        <scheme val="minor"/>
      </rPr>
      <t>(zB Montagezulage)</t>
    </r>
  </si>
  <si>
    <r>
      <t xml:space="preserve">C3) Dienstreisevergütungen in Euro pro Woche                                                     </t>
    </r>
    <r>
      <rPr>
        <sz val="11"/>
        <rFont val="Calibri"/>
        <family val="2"/>
        <scheme val="minor"/>
      </rPr>
      <t>(zB Heimfahrten)</t>
    </r>
  </si>
  <si>
    <r>
      <t>Stundenlohn-Basis ist KV-Entgelt (</t>
    </r>
    <r>
      <rPr>
        <b/>
        <sz val="11"/>
        <color theme="5" tint="-0.249977111117893"/>
        <rFont val="Calibri"/>
        <family val="2"/>
        <scheme val="minor"/>
      </rPr>
      <t>KZ=1</t>
    </r>
    <r>
      <rPr>
        <sz val="11"/>
        <rFont val="Calibri"/>
        <family val="2"/>
        <scheme val="minor"/>
      </rPr>
      <t>) oder KV + AKV (</t>
    </r>
    <r>
      <rPr>
        <b/>
        <sz val="11"/>
        <color theme="5" tint="-0.249977111117893"/>
        <rFont val="Calibri"/>
        <family val="2"/>
        <scheme val="minor"/>
      </rPr>
      <t>KZ = 2</t>
    </r>
    <r>
      <rPr>
        <sz val="11"/>
        <rFont val="Calibri"/>
        <family val="2"/>
        <scheme val="minor"/>
      </rPr>
      <t>)</t>
    </r>
  </si>
  <si>
    <r>
      <t>% von Sundenlohn-Basis (</t>
    </r>
    <r>
      <rPr>
        <sz val="10"/>
        <rFont val="Calibri"/>
        <family val="2"/>
        <scheme val="minor"/>
      </rPr>
      <t>gemäß Feld rechts)</t>
    </r>
  </si>
  <si>
    <t>Basis ist</t>
  </si>
  <si>
    <t>b)  Zu- od Abschlag auf abgabefrei /-pflichtig (€/Wo)</t>
  </si>
  <si>
    <r>
      <t xml:space="preserve">Stunden pro Woche </t>
    </r>
    <r>
      <rPr>
        <sz val="11"/>
        <rFont val="Calibri"/>
        <family val="2"/>
        <scheme val="minor"/>
      </rPr>
      <t>(gem Pkt D)</t>
    </r>
  </si>
  <si>
    <r>
      <t xml:space="preserve">1) KV-Entgelt x Faktor gem KollV: </t>
    </r>
    <r>
      <rPr>
        <b/>
        <i/>
        <sz val="11"/>
        <color theme="5" tint="-0.249977111117893"/>
        <rFont val="Calibri"/>
        <family val="2"/>
        <scheme val="minor"/>
      </rPr>
      <t>KZ = 1</t>
    </r>
  </si>
  <si>
    <r>
      <t xml:space="preserve">2) (KV- + AKV-Entgelt) x Faktor gem KollV: </t>
    </r>
    <r>
      <rPr>
        <b/>
        <i/>
        <sz val="11"/>
        <color theme="5" tint="-0.249977111117893"/>
        <rFont val="Calibri"/>
        <family val="2"/>
        <scheme val="minor"/>
      </rPr>
      <t>KZ = 2</t>
    </r>
  </si>
  <si>
    <r>
      <t xml:space="preserve">3) (KV + AKV + Zulagen) x Faktor gem KV: </t>
    </r>
    <r>
      <rPr>
        <b/>
        <i/>
        <sz val="11"/>
        <color theme="5" tint="-0.249977111117893"/>
        <rFont val="Calibri"/>
        <family val="2"/>
        <scheme val="minor"/>
      </rPr>
      <t>KZ = 3</t>
    </r>
  </si>
  <si>
    <r>
      <t xml:space="preserve">4) (KV + AKV + Zulagen) x 1,00: </t>
    </r>
    <r>
      <rPr>
        <b/>
        <i/>
        <sz val="11"/>
        <color theme="5" tint="-0.249977111117893"/>
        <rFont val="Calibri"/>
        <family val="2"/>
        <scheme val="minor"/>
      </rPr>
      <t>KZ = 4</t>
    </r>
  </si>
  <si>
    <t>D2) Verrechnungsstunden mit Aufzahlung in %</t>
  </si>
  <si>
    <t>D3) Verrechnungsstunden mit Aufzahlung in Euro</t>
  </si>
  <si>
    <r>
      <rPr>
        <b/>
        <sz val="11"/>
        <rFont val="Calibri"/>
        <family val="2"/>
        <scheme val="minor"/>
      </rPr>
      <t>E1) Direkte Personalnebenkosten</t>
    </r>
    <r>
      <rPr>
        <sz val="11"/>
        <rFont val="Calibri"/>
        <family val="2"/>
        <scheme val="minor"/>
      </rPr>
      <t xml:space="preserve"> (gem Stammdaten)</t>
    </r>
  </si>
  <si>
    <r>
      <t xml:space="preserve">Parameter für die ggf notwendige </t>
    </r>
    <r>
      <rPr>
        <b/>
        <sz val="11"/>
        <rFont val="Calibri"/>
        <family val="2"/>
        <scheme val="minor"/>
      </rPr>
      <t>Anpassung der UPNK</t>
    </r>
  </si>
  <si>
    <t>Errechnung der angepassten UPNK</t>
  </si>
  <si>
    <t>Berechnung f Abgabe in €/Woche:</t>
  </si>
  <si>
    <t>BGK in € (Hinweis: ohne GZ):</t>
  </si>
  <si>
    <t>Kalkulierte Anz. der produktiven Std.:</t>
  </si>
  <si>
    <t>Zusammenfassung der oben aktivierten Umlagen</t>
  </si>
  <si>
    <t>Durchschnittliche kalkulierte "Regiebesetzung":</t>
  </si>
  <si>
    <t>MSE-Zuschläge</t>
  </si>
  <si>
    <t>Sondererstattungen pflichtig</t>
  </si>
  <si>
    <t>Sondererstattungen frei</t>
  </si>
  <si>
    <t>unproduktive Zeiten</t>
  </si>
  <si>
    <t>Personalnebenkosten</t>
  </si>
  <si>
    <t>Personalkosten vor Zurechnung</t>
  </si>
  <si>
    <t>GZ auf Personalkosten</t>
  </si>
  <si>
    <t>GZ auf Umlagen</t>
  </si>
  <si>
    <t>Gesamtsumme</t>
  </si>
  <si>
    <t>Kalkulierte Anzahl prod. Pers.</t>
  </si>
  <si>
    <t>KV / AKV-Entgelt produktiv</t>
  </si>
  <si>
    <t>KV / AKV-Entgelt unproduktiv</t>
  </si>
  <si>
    <t>poduktives Personal</t>
  </si>
  <si>
    <t>unproduktives Personal</t>
  </si>
  <si>
    <t>Entgelt pro Stunde pflichtig</t>
  </si>
  <si>
    <t>Summe Entgelt pro Stunde</t>
  </si>
  <si>
    <t>Deckung Personalgemeinkosten</t>
  </si>
  <si>
    <t>Umlagen ohne GZ</t>
  </si>
  <si>
    <t>Gesamtzuschlag</t>
  </si>
  <si>
    <t>Kontrollrechnung; gem K3.Blatt:</t>
  </si>
  <si>
    <t>pro Partiestunde</t>
  </si>
  <si>
    <t>KV-Entgelt produktiv Tätige</t>
  </si>
  <si>
    <t>Weitere Personalkosten produktiv</t>
  </si>
  <si>
    <t>Auswertung</t>
  </si>
  <si>
    <t>Zusammenstellung der Kostenbestandteile</t>
  </si>
  <si>
    <t>pro produktivem Mitarbeiter u Stunde</t>
  </si>
  <si>
    <t>A1) Produktives Personal</t>
  </si>
  <si>
    <r>
      <t>A3) Unproduktive Zeiten</t>
    </r>
    <r>
      <rPr>
        <sz val="11"/>
        <rFont val="Calibri"/>
        <family val="2"/>
        <scheme val="minor"/>
      </rPr>
      <t xml:space="preserve"> (upZ) des produktiven Personals</t>
    </r>
  </si>
  <si>
    <r>
      <t>Summe</t>
    </r>
    <r>
      <rPr>
        <sz val="11"/>
        <rFont val="Calibri"/>
        <family val="2"/>
        <scheme val="minor"/>
      </rPr>
      <t xml:space="preserve"> (Kosten/Woche)</t>
    </r>
  </si>
  <si>
    <r>
      <t xml:space="preserve">E2) Umgelegte Personalnebenkosten </t>
    </r>
    <r>
      <rPr>
        <sz val="11"/>
        <rFont val="Calibri"/>
        <family val="2"/>
        <scheme val="minor"/>
      </rPr>
      <t>(gem Stammdaten)</t>
    </r>
  </si>
  <si>
    <r>
      <rPr>
        <b/>
        <sz val="12"/>
        <color rgb="FFFF0000"/>
        <rFont val="Calibri"/>
        <family val="2"/>
        <scheme val="minor"/>
      </rPr>
      <t xml:space="preserve">Version 2.2.0 (14.8.2020): </t>
    </r>
    <r>
      <rPr>
        <sz val="12"/>
        <rFont val="Calibri"/>
        <family val="2"/>
        <scheme val="minor"/>
      </rPr>
      <t xml:space="preserve">
Diese Version kann auch ohne Eingabe von Lizenzdaten für </t>
    </r>
    <r>
      <rPr>
        <b/>
        <sz val="12"/>
        <rFont val="Calibri"/>
        <family val="2"/>
        <scheme val="minor"/>
      </rPr>
      <t>Testzwecke</t>
    </r>
    <r>
      <rPr>
        <sz val="12"/>
        <rFont val="Calibri"/>
        <family val="2"/>
        <scheme val="minor"/>
      </rPr>
      <t xml:space="preserve"> verwendet werden (Achtung Aufrundung und Ausblendungen (Schwärzung) in den K-Blättern).
</t>
    </r>
    <r>
      <rPr>
        <b/>
        <sz val="12"/>
        <rFont val="Calibri"/>
        <family val="2"/>
        <scheme val="minor"/>
      </rPr>
      <t>Änderungen</t>
    </r>
    <r>
      <rPr>
        <sz val="12"/>
        <rFont val="Calibri"/>
        <family val="2"/>
        <scheme val="minor"/>
      </rPr>
      <t xml:space="preserve">: Der Ausgleich bzw die Anpassung bei den (nicht) abgabepflichtigen Entgeltbestandteilen erfolgt nun in Euro (statt in %). Das ist übersichtlicher. 
Behoben ist ein geringfügiger Verknüpfungsfehler bei den "weiteren Personalnebenkosten", Teil Kosten pro Woche (zB U-Bahn Steuer). 
Die Spaltenbreite der Formulare lässt sich anpassen. Diverse kleine Details (zB Kommentare) sind verbessert.
Diese Version enthält weiters Adaptierungen um sie für eine Verwendung mit einer </t>
    </r>
    <r>
      <rPr>
        <b/>
        <sz val="12"/>
        <color rgb="FFFF0000"/>
        <rFont val="Calibri"/>
        <family val="2"/>
        <scheme val="minor"/>
      </rPr>
      <t>Universallizenzierung</t>
    </r>
    <r>
      <rPr>
        <sz val="12"/>
        <color rgb="FFFF0000"/>
        <rFont val="Calibri"/>
        <family val="2"/>
        <scheme val="minor"/>
      </rPr>
      <t xml:space="preserve"> eines Verbandes</t>
    </r>
    <r>
      <rPr>
        <sz val="12"/>
        <rFont val="Calibri"/>
        <family val="2"/>
        <scheme val="minor"/>
      </rPr>
      <t xml:space="preserve"> verwenden zu können. Mitglieder dieses Verbandes dürfen das Kalkulationstool i</t>
    </r>
    <r>
      <rPr>
        <sz val="12"/>
        <color rgb="FFFF0000"/>
        <rFont val="Calibri"/>
        <family val="2"/>
        <scheme val="minor"/>
      </rPr>
      <t xml:space="preserve">n Verbindung mit dem der Branche zugehörigen Kollektivvertrag </t>
    </r>
    <r>
      <rPr>
        <sz val="12"/>
        <rFont val="Calibri"/>
        <family val="2"/>
        <scheme val="minor"/>
      </rPr>
      <t xml:space="preserve">nutzen. Die Verwendung der mitgelieferten und zugehörigen Quelldatei ist daher empfehlenswert. Nach zeitlichem Ablauf der Verbandslizenzierung ist die weitere Verwendung mit individuellen Zugangsdaten (Lizenzierung) ohne  Einschränkungen weiterhin möglich.
Die </t>
    </r>
    <r>
      <rPr>
        <b/>
        <sz val="12"/>
        <color rgb="FFFF0000"/>
        <rFont val="Calibri"/>
        <family val="2"/>
        <scheme val="minor"/>
      </rPr>
      <t>Bundesinnung Bau (Landesinnungen  Bau)</t>
    </r>
    <r>
      <rPr>
        <sz val="12"/>
        <rFont val="Calibri"/>
        <family val="2"/>
        <scheme val="minor"/>
      </rPr>
      <t xml:space="preserve"> hat eine Lizenz für ihre Mitgliedsbetriebe erworben. Die Lizenz benötigt die Version 2.2.0 oder später erscheinende höhere Versionen.</t>
    </r>
  </si>
  <si>
    <t>Aktivierungscode "qwert99"</t>
  </si>
  <si>
    <t>siehe K2a-Blatt</t>
  </si>
  <si>
    <r>
      <rPr>
        <b/>
        <sz val="12"/>
        <rFont val="Calibri"/>
        <family val="2"/>
        <scheme val="minor"/>
      </rPr>
      <t>Allgemeine Information</t>
    </r>
    <r>
      <rPr>
        <sz val="12"/>
        <rFont val="Calibri"/>
        <family val="2"/>
        <scheme val="minor"/>
      </rPr>
      <t xml:space="preserve">
</t>
    </r>
    <r>
      <rPr>
        <b/>
        <sz val="12"/>
        <rFont val="Calibri"/>
        <family val="2"/>
        <scheme val="minor"/>
      </rPr>
      <t xml:space="preserve">Diese Datei </t>
    </r>
    <r>
      <rPr>
        <sz val="12"/>
        <rFont val="Calibri"/>
        <family val="2"/>
        <scheme val="minor"/>
      </rPr>
      <t xml:space="preserve">ist die </t>
    </r>
    <r>
      <rPr>
        <b/>
        <sz val="12"/>
        <rFont val="Calibri"/>
        <family val="2"/>
        <scheme val="minor"/>
      </rPr>
      <t xml:space="preserve">Hauptdatei - </t>
    </r>
    <r>
      <rPr>
        <sz val="12"/>
        <rFont val="Calibri"/>
        <family val="2"/>
        <scheme val="minor"/>
      </rPr>
      <t>das</t>
    </r>
    <r>
      <rPr>
        <b/>
        <sz val="12"/>
        <rFont val="Calibri"/>
        <family val="2"/>
        <scheme val="minor"/>
      </rPr>
      <t xml:space="preserve"> eigentliche Kalkulationstool - </t>
    </r>
    <r>
      <rPr>
        <sz val="12"/>
        <rFont val="Calibri"/>
        <family val="2"/>
        <scheme val="minor"/>
      </rPr>
      <t xml:space="preserve">(ausgeliefert mit dem Dateinamen: </t>
    </r>
    <r>
      <rPr>
        <b/>
        <i/>
        <sz val="12"/>
        <rFont val="Calibri"/>
        <family val="2"/>
        <scheme val="minor"/>
      </rPr>
      <t xml:space="preserve">K3_Kalk_nnn; </t>
    </r>
    <r>
      <rPr>
        <i/>
        <sz val="12"/>
        <rFont val="Calibri"/>
        <family val="2"/>
        <scheme val="minor"/>
      </rPr>
      <t>nnn steht für die Bezeichnung der Branche, für die bereits eine Grundkalkulation vorliegt</t>
    </r>
    <r>
      <rPr>
        <sz val="12"/>
        <rFont val="Calibri"/>
        <family val="2"/>
        <scheme val="minor"/>
      </rPr>
      <t>). Sie können die Datei beliebig oft kopieren bzw umbenennen (zB nach Ihren Projekten). Sie können die Kalkulationsdatei auch mit den Stammdaten anderer Branchen, als den beispielhaft vorkalkulierten verwenden.
Um ungewollte Eingriffe zu verhindern sind die Blätter und die Struktur der Arbeitsmappe geschützt und daher nicht veränderbar.</t>
    </r>
    <r>
      <rPr>
        <b/>
        <sz val="12"/>
        <rFont val="Calibri"/>
        <family val="2"/>
        <scheme val="minor"/>
      </rPr>
      <t xml:space="preserve"> 
Grau hinterlegte Felder</t>
    </r>
    <r>
      <rPr>
        <sz val="12"/>
        <rFont val="Calibri"/>
        <family val="2"/>
        <scheme val="minor"/>
      </rPr>
      <t xml:space="preserve"> sind Eingabefelder. Im Wesentlichen handelt es sich um Drop-Down-Felder, um Felder zur Eingabe projektspezifischer Anteile bzw Ansätze  bzw um das Setzen von Kennzeichen. Rot hinterlegte Kennzeichenfelder deuten darauf hin, dass die Wahl des KZ vom KollV abhängt (etwa ob als Basis einer Aufzahlung das KV-Entgelt oder KV + AKV-Entgelt heranzuziehen ist).
Sie können alle Tabellen ausdrucken.
 Im </t>
    </r>
    <r>
      <rPr>
        <b/>
        <sz val="12"/>
        <rFont val="Calibri"/>
        <family val="2"/>
        <scheme val="minor"/>
      </rPr>
      <t>Blatt "Projekt" (gelber Reiter)</t>
    </r>
    <r>
      <rPr>
        <sz val="12"/>
        <rFont val="Calibri"/>
        <family val="2"/>
        <scheme val="minor"/>
      </rPr>
      <t xml:space="preserve"> erfolgen die Berechnungsschritte. Grau hinterlegte Felder sind Eingabefelder. In den restlichen Feldern werden Ihnen Zwischenergebnisse angezeigt. Diese werden in die K3-Blätter übertragen. Sie können einen Mittelpersonalpreis (K3 2020 MLP) und vier Regiepreise (K3 Regie1 bis K3 Regie4) generieren.
Sie greifen auf </t>
    </r>
    <r>
      <rPr>
        <b/>
        <sz val="12"/>
        <rFont val="Calibri"/>
        <family val="2"/>
        <scheme val="minor"/>
      </rPr>
      <t>Stammdaten</t>
    </r>
    <r>
      <rPr>
        <sz val="12"/>
        <rFont val="Calibri"/>
        <family val="2"/>
        <scheme val="minor"/>
      </rPr>
      <t xml:space="preserve"> zurück (Kollektivvertrag, Sozialversicherungswerte aber auch eigene Werte). Diese sind im Blatt "Stammdaten" (grüner Reiter) dargestellt. Die Daten werden von einer </t>
    </r>
    <r>
      <rPr>
        <b/>
        <sz val="12"/>
        <rFont val="Calibri"/>
        <family val="2"/>
        <scheme val="minor"/>
      </rPr>
      <t>Quelldatei</t>
    </r>
    <r>
      <rPr>
        <sz val="12"/>
        <rFont val="Calibri"/>
        <family val="2"/>
        <scheme val="minor"/>
      </rPr>
      <t xml:space="preserve"> (Dateiname zB </t>
    </r>
    <r>
      <rPr>
        <i/>
        <sz val="12"/>
        <rFont val="Calibri"/>
        <family val="2"/>
        <scheme val="minor"/>
      </rPr>
      <t>K3_Quelle2020</t>
    </r>
    <r>
      <rPr>
        <sz val="12"/>
        <rFont val="Calibri"/>
        <family val="2"/>
        <scheme val="minor"/>
      </rPr>
      <t xml:space="preserve">) übernommen. Name der Quelldatei und Tabellenblatt, welches Sie aus dieser Datei verwenden wollen, müssen Sie im Blatt "Stammdaten" rechts oben festlegen. Die </t>
    </r>
    <r>
      <rPr>
        <b/>
        <sz val="12"/>
        <rFont val="Calibri"/>
        <family val="2"/>
        <scheme val="minor"/>
      </rPr>
      <t xml:space="preserve">Quelldatei MUSS für die Verwendung des Kalklationstools geöffnet </t>
    </r>
    <r>
      <rPr>
        <sz val="12"/>
        <rFont val="Calibri"/>
        <family val="2"/>
        <scheme val="minor"/>
      </rPr>
      <t>sein!</t>
    </r>
  </si>
  <si>
    <r>
      <rPr>
        <b/>
        <sz val="12"/>
        <color rgb="FFFF0000"/>
        <rFont val="Calibri"/>
        <family val="2"/>
        <scheme val="minor"/>
      </rPr>
      <t xml:space="preserve">Version 2.4.0 (24.08.2020): </t>
    </r>
    <r>
      <rPr>
        <sz val="12"/>
        <rFont val="Calibri"/>
        <family val="2"/>
        <scheme val="minor"/>
      </rPr>
      <t>Überarbeitung der Bezeichmungen im Blatt "Projekt". Statistische Auswertung des Personalpreises im Blatt "Report".</t>
    </r>
  </si>
  <si>
    <r>
      <rPr>
        <b/>
        <sz val="12"/>
        <color rgb="FFFF0000"/>
        <rFont val="Calibri"/>
        <family val="2"/>
        <scheme val="minor"/>
      </rPr>
      <t>Version 2.5.0 (12.10.2020):</t>
    </r>
    <r>
      <rPr>
        <sz val="12"/>
        <rFont val="Calibri"/>
        <family val="2"/>
        <scheme val="minor"/>
      </rPr>
      <t xml:space="preserve"> Fehlerkorrektur beim Übertrag der unteren 3 Zeilen der KV-Beschäftigungsgruppen gem Blatt "Projekt" in das K3-Blatt. Sind nicht mehr als 7 Beschäftigungsgruppen angelegt worden, war dieser Fehler in den Versionen bis 2.4 unbedeutend!
Die nicht in das K3-Blatt ordnungsgemäß verknüpfte Zeilen sind nachfolgend rot dargestellt.</t>
    </r>
  </si>
  <si>
    <t>Alle Kostenarten</t>
  </si>
  <si>
    <t>Verrechnungsstd. pro Tag</t>
  </si>
  <si>
    <t>Anspruch für Tage pro Woche</t>
  </si>
  <si>
    <t>Betrag in €/Woche und Mitarbeiter:</t>
  </si>
  <si>
    <t>...% der Mitarbeiter erhalten</t>
  </si>
  <si>
    <t>Anpassung (+/-)</t>
  </si>
  <si>
    <t>www.bauwesen.at/k3</t>
  </si>
  <si>
    <r>
      <t>Basis f Zulage in % ist KV-Entgelt (</t>
    </r>
    <r>
      <rPr>
        <b/>
        <sz val="11"/>
        <color theme="9" tint="-0.249977111117893"/>
        <rFont val="Calibri"/>
        <family val="2"/>
        <scheme val="minor"/>
      </rPr>
      <t>KZ=1</t>
    </r>
    <r>
      <rPr>
        <b/>
        <sz val="11"/>
        <color theme="5" tint="-0.249977111117893"/>
        <rFont val="Calibri"/>
        <family val="2"/>
        <scheme val="minor"/>
      </rPr>
      <t xml:space="preserve">) od </t>
    </r>
    <r>
      <rPr>
        <sz val="11"/>
        <rFont val="Calibri"/>
        <family val="2"/>
        <scheme val="minor"/>
      </rPr>
      <t>KV+AKV-Entg. (</t>
    </r>
    <r>
      <rPr>
        <b/>
        <sz val="11"/>
        <color theme="9" tint="-0.249977111117893"/>
        <rFont val="Calibri"/>
        <family val="2"/>
        <scheme val="minor"/>
      </rPr>
      <t>KZ=2</t>
    </r>
    <r>
      <rPr>
        <sz val="11"/>
        <rFont val="Calibri"/>
        <family val="2"/>
        <scheme val="minor"/>
      </rPr>
      <t>):</t>
    </r>
  </si>
  <si>
    <r>
      <t>Unproduktives Personal zusätzlich zum (</t>
    </r>
    <r>
      <rPr>
        <b/>
        <sz val="11"/>
        <color theme="0" tint="-0.499984740745262"/>
        <rFont val="Calibri"/>
        <family val="2"/>
        <scheme val="minor"/>
      </rPr>
      <t>KZ = 1</t>
    </r>
    <r>
      <rPr>
        <sz val="11"/>
        <rFont val="Calibri"/>
        <family val="2"/>
        <scheme val="minor"/>
      </rPr>
      <t>) oder vom (</t>
    </r>
    <r>
      <rPr>
        <b/>
        <sz val="11"/>
        <color theme="0" tint="-0.499984740745262"/>
        <rFont val="Calibri"/>
        <family val="2"/>
        <scheme val="minor"/>
      </rPr>
      <t>KZ = 0</t>
    </r>
    <r>
      <rPr>
        <sz val="11"/>
        <rFont val="Calibri"/>
        <family val="2"/>
        <scheme val="minor"/>
      </rPr>
      <t>) prod. Personal?</t>
    </r>
  </si>
  <si>
    <r>
      <t>gewichtet</t>
    </r>
    <r>
      <rPr>
        <sz val="8"/>
        <rFont val="Calibri"/>
        <family val="2"/>
        <scheme val="minor"/>
      </rPr>
      <t xml:space="preserve"> (nach Spalte A u B)</t>
    </r>
  </si>
  <si>
    <t>Anteil der Arbeit-nehmer (%)</t>
  </si>
  <si>
    <t>Anspruchs-dauer (in %)</t>
  </si>
  <si>
    <t>% v Personalko. (K3-Zeile 15)</t>
  </si>
  <si>
    <r>
      <t xml:space="preserve">Wenn Sie eine Lizenz </t>
    </r>
    <r>
      <rPr>
        <b/>
        <sz val="12"/>
        <rFont val="Calibri"/>
        <family val="2"/>
        <scheme val="minor"/>
      </rPr>
      <t>erwerben</t>
    </r>
    <r>
      <rPr>
        <sz val="12"/>
        <rFont val="Calibri"/>
        <family val="2"/>
        <scheme val="minor"/>
      </rPr>
      <t xml:space="preserve"> oder eine bestehende</t>
    </r>
    <r>
      <rPr>
        <b/>
        <sz val="12"/>
        <rFont val="Calibri"/>
        <family val="2"/>
        <scheme val="minor"/>
      </rPr>
      <t xml:space="preserve"> Lizenz verlängern</t>
    </r>
    <r>
      <rPr>
        <sz val="12"/>
        <rFont val="Calibri"/>
        <family val="2"/>
        <scheme val="minor"/>
      </rPr>
      <t xml:space="preserve"> möchten:</t>
    </r>
  </si>
  <si>
    <r>
      <t>upZ</t>
    </r>
    <r>
      <rPr>
        <sz val="8"/>
        <rFont val="Calibri"/>
        <family val="2"/>
        <scheme val="minor"/>
      </rPr>
      <t xml:space="preserve"> (in % der bezahlten Zeit)</t>
    </r>
  </si>
  <si>
    <t>Aufschlag auf die erlös-bringende Zeit</t>
  </si>
  <si>
    <t>unprod. "Köpfe"</t>
  </si>
  <si>
    <t>% f unprod. Zeiten</t>
  </si>
  <si>
    <t>C4) Wegzeitvergütung außerhalb der Arbeitszeit</t>
  </si>
  <si>
    <r>
      <t xml:space="preserve">C4a) </t>
    </r>
    <r>
      <rPr>
        <sz val="11"/>
        <rFont val="Calibri"/>
        <family val="2"/>
        <scheme val="minor"/>
      </rPr>
      <t>Basis Stundenlohn</t>
    </r>
  </si>
  <si>
    <r>
      <t xml:space="preserve">C4b) </t>
    </r>
    <r>
      <rPr>
        <sz val="11"/>
        <rFont val="Calibri"/>
        <family val="2"/>
        <scheme val="minor"/>
      </rPr>
      <t>Sonstiges</t>
    </r>
  </si>
  <si>
    <t xml:space="preserve">    Unproduktive Zeiten (A2 und A3):</t>
  </si>
  <si>
    <r>
      <t xml:space="preserve">KZ für die Basis der Aufzahlung </t>
    </r>
    <r>
      <rPr>
        <sz val="9"/>
        <rFont val="Calibri"/>
        <family val="2"/>
        <scheme val="minor"/>
      </rPr>
      <t xml:space="preserve">(KZ = </t>
    </r>
    <r>
      <rPr>
        <i/>
        <sz val="9"/>
        <rFont val="Calibri"/>
        <family val="2"/>
        <scheme val="minor"/>
      </rPr>
      <t>1, 2,3 od 4)</t>
    </r>
  </si>
  <si>
    <t>KZ für die Basis der Aufzahlung</t>
  </si>
  <si>
    <t>Basis: KV-Entgelt produktiv</t>
  </si>
  <si>
    <r>
      <t xml:space="preserve">Umrech-nung </t>
    </r>
    <r>
      <rPr>
        <i/>
        <sz val="9"/>
        <rFont val="Calibri"/>
        <family val="2"/>
        <scheme val="minor"/>
      </rPr>
      <t>(in % vom KV-Entgelt)</t>
    </r>
  </si>
  <si>
    <t>Individuelle Anpassung (+/- %):</t>
  </si>
  <si>
    <t>Bezugsgröße:</t>
  </si>
  <si>
    <t>Personalgemeinkosten (PGK)</t>
  </si>
  <si>
    <t>daher PGK</t>
  </si>
  <si>
    <t>Anzeigen?</t>
  </si>
  <si>
    <r>
      <t xml:space="preserve">b) Kosten </t>
    </r>
    <r>
      <rPr>
        <b/>
        <sz val="9"/>
        <rFont val="Calibri"/>
        <family val="2"/>
        <scheme val="minor"/>
      </rPr>
      <t>je Woche</t>
    </r>
    <r>
      <rPr>
        <sz val="9"/>
        <rFont val="Calibri"/>
        <family val="2"/>
        <scheme val="minor"/>
      </rPr>
      <t xml:space="preserve"> gesamt:</t>
    </r>
  </si>
  <si>
    <r>
      <t>Basis</t>
    </r>
    <r>
      <rPr>
        <vertAlign val="superscript"/>
        <sz val="9"/>
        <rFont val="Calibri"/>
        <family val="2"/>
        <scheme val="minor"/>
      </rPr>
      <t>2)</t>
    </r>
  </si>
  <si>
    <t>Deckungsbeitrag:</t>
  </si>
  <si>
    <t>Bitte besuchen Sie für aktuelle Informationen regelmäßig:</t>
  </si>
  <si>
    <t xml:space="preserve">Standardmäßig ist f alle Berechnungen "Genauigkeit wie angezeigt" eingestellt. In EXL kann im Menüpunkt "Datei" (links oben) und weiter  "Optionen" und danach im Blatt "Erweitert", ziemlich weit unten, "Genauigkeit wie angezeigt" ausgeschaltet werden. </t>
  </si>
  <si>
    <r>
      <t xml:space="preserve">Sie verwenden eine von der Bundesinnung Bau für einen befristeten Zeitraum (bis 30.9.2021) zur Verfügung gestellte Lizenz. Die kommerzielle Verwendung dieser Lizenz ist </t>
    </r>
    <r>
      <rPr>
        <b/>
        <sz val="12"/>
        <color theme="0"/>
        <rFont val="Calibri"/>
        <family val="2"/>
        <scheme val="minor"/>
      </rPr>
      <t>ausschließlich</t>
    </r>
    <r>
      <rPr>
        <sz val="12"/>
        <color theme="0"/>
        <rFont val="Calibri"/>
        <family val="2"/>
        <scheme val="minor"/>
      </rPr>
      <t xml:space="preserve"> Mitgliedsbetrieben der Bundesinnung Bau / der Landesinnungen Bau unter der Verwendung des KollV für das Baugewerbe gestattet. Sie können Ihren Firmennamen in den nachfolgenden Zeilen eintragen:</t>
    </r>
  </si>
  <si>
    <r>
      <t xml:space="preserve">Sie verwenden eine von der Bundesinnung Bau für einen befristeten Zeitraum (bis 30.9.2022) zur Verfügung gestellte Lizenz. Die kommerzielle Verwendung dieser Lizenz ist </t>
    </r>
    <r>
      <rPr>
        <b/>
        <sz val="12"/>
        <color theme="0"/>
        <rFont val="Calibri"/>
        <family val="2"/>
        <scheme val="minor"/>
      </rPr>
      <t>ausschließlich</t>
    </r>
    <r>
      <rPr>
        <sz val="12"/>
        <color theme="0"/>
        <rFont val="Calibri"/>
        <family val="2"/>
        <scheme val="minor"/>
      </rPr>
      <t xml:space="preserve"> Mitgliedsbetrieben der Bundesinnung Bau / der Landesinnungen Bau unter der Verwendung des KollV für das Baugewerbe gestattet. Sie können Ihren Firmennamen in den nachfolgenden Zeilen eintragen:</t>
    </r>
  </si>
  <si>
    <t>Regiepartie</t>
  </si>
  <si>
    <t>Anz.</t>
  </si>
  <si>
    <t>Gesamt</t>
  </si>
  <si>
    <t>Gesamtes kollektivvertragliches Entgelt</t>
  </si>
  <si>
    <t>Personalkosten gesamt (Regie): Durchschnitt / gesamte Partie</t>
  </si>
  <si>
    <t>Regiepersonalpreis 5 - "Regiepartie"</t>
  </si>
  <si>
    <t>Regielpartie:</t>
  </si>
  <si>
    <t>Personalpreis gesamt (Regie): Durchschnitt / gesamte Partie</t>
  </si>
  <si>
    <t>1) Hinweis: Basis ist die Wochenarbeitszeit mal Personalkosten vor Zurechnung.</t>
  </si>
  <si>
    <t>2) Hinweis: Basis ist die Wochenarbeitszeit mal Personalkosten vor Zurechnung und Anzahl produktives Personal.</t>
  </si>
  <si>
    <t xml:space="preserve">Bezeichnung (Produktionsfaktor-Nr.): </t>
  </si>
  <si>
    <t>Zum K2-Blatt</t>
  </si>
  <si>
    <t>Zuschlag für… (Übertrag aus K2a)</t>
  </si>
  <si>
    <t>%-Satz (Übertrag K2-Blatt)</t>
  </si>
  <si>
    <r>
      <t xml:space="preserve">Die nachfolgenden vier Kalkulationen (Regie 1 bis 4) stehen für die </t>
    </r>
    <r>
      <rPr>
        <b/>
        <sz val="11"/>
        <rFont val="Calibri"/>
        <family val="2"/>
        <scheme val="minor"/>
      </rPr>
      <t xml:space="preserve">Kalkulation von Regielöhne und -gehälter </t>
    </r>
    <r>
      <rPr>
        <sz val="11"/>
        <rFont val="Calibri"/>
        <family val="2"/>
        <scheme val="minor"/>
      </rPr>
      <t xml:space="preserve">(je nach Eingabe in der Mittelpersonalpreiskalkulation) zur Verfügung. Die 5 Kalkulation ist für eine </t>
    </r>
    <r>
      <rPr>
        <b/>
        <sz val="11"/>
        <rFont val="Calibri"/>
        <family val="2"/>
        <scheme val="minor"/>
      </rPr>
      <t>Regiepartie</t>
    </r>
    <r>
      <rPr>
        <sz val="11"/>
        <rFont val="Calibri"/>
        <family val="2"/>
        <scheme val="minor"/>
      </rPr>
      <t xml:space="preserve"> gedacht. Vorteilhaft ist es zunächst die Mittelpersonalpreiskalkulation zu erstellen und danach die Regiekalkulation. Sie greift auf die in der Mittelpersonalpreiskalkulation ermittelten Werte zurück (die selbstverständlich änderbar sind). Unter R2 a) bis c) können auch besondere Arbeitszeiten (zB Überstunde in Regie) erfasst werden. Die Rahmenfarben korrespondieren mit den Farben der K3-Tabellenblätter.</t>
    </r>
  </si>
  <si>
    <t>Zuschlag auf KV-Lohn:</t>
  </si>
  <si>
    <r>
      <rPr>
        <b/>
        <sz val="9"/>
        <rFont val="Calibri"/>
        <family val="2"/>
        <scheme val="minor"/>
      </rPr>
      <t xml:space="preserve">Quicklinks: </t>
    </r>
    <r>
      <rPr>
        <sz val="8"/>
        <rFont val="Calibri"/>
        <family val="2"/>
        <scheme val="minor"/>
      </rPr>
      <t>(Achtung: nicht überschreiben!)</t>
    </r>
  </si>
  <si>
    <t>A) Arbeitnehmer....................................</t>
  </si>
  <si>
    <t>B) Erschwernisse..................................</t>
  </si>
  <si>
    <t>C) Reisevergütungen........................</t>
  </si>
  <si>
    <t>D) Arbeitszeit.............................</t>
  </si>
  <si>
    <t>E) Personalnebenkosten………………………..</t>
  </si>
  <si>
    <t>F) - H) Zurechnungen………………………….</t>
  </si>
  <si>
    <t>Regie1………………..</t>
  </si>
  <si>
    <t>Regie2……………………</t>
  </si>
  <si>
    <t>Regie3………………..</t>
  </si>
  <si>
    <t>Regie4………………</t>
  </si>
  <si>
    <t>R5-Partie………………..</t>
  </si>
  <si>
    <t>Mittellohnpreis</t>
  </si>
  <si>
    <t>LG 2 Qualifizierter Facharbeiter</t>
  </si>
  <si>
    <t>LG 5 Qualifizierter Arbeitnehmer</t>
  </si>
  <si>
    <t>I) Ergebnisdarstellung und fakultatives Runden</t>
  </si>
  <si>
    <t>Regiepartie - Monteur + Helfer</t>
  </si>
  <si>
    <t>Test 1</t>
  </si>
  <si>
    <t>Test 2</t>
  </si>
  <si>
    <t>Überstunde 50%</t>
  </si>
  <si>
    <t>Regie Qual. FA (50%-Überstunde)</t>
  </si>
  <si>
    <t>Regie Qual. AN (50% Überstunde)</t>
  </si>
  <si>
    <t>Regie Qual. AN</t>
  </si>
  <si>
    <t>© Univ.-Prof. A. Kropik
www.bauwesen.at/k3</t>
  </si>
  <si>
    <t>© Univ.-Prof. A. Kropik
www.bauwesen.at/k3</t>
  </si>
  <si>
    <t>Hilfestellung bei der Justierung des GZ. Aktueller Personalpreis gesamt (K3):</t>
  </si>
  <si>
    <r>
      <rPr>
        <b/>
        <sz val="12"/>
        <color rgb="FFFF0000"/>
        <rFont val="Calibri"/>
        <family val="2"/>
        <scheme val="minor"/>
      </rPr>
      <t xml:space="preserve">Version 2.6.3 (25.10.2021): </t>
    </r>
    <r>
      <rPr>
        <sz val="12"/>
        <rFont val="Calibri"/>
        <family val="2"/>
        <scheme val="minor"/>
      </rPr>
      <t xml:space="preserve">Automatisierung der Berechnung von C4 (Wegzeitvergütung) im Blatt "Projekt". Diverse geringe Korrekturen. In F </t>
    </r>
    <r>
      <rPr>
        <b/>
        <sz val="12"/>
        <rFont val="Calibri"/>
        <family val="2"/>
        <scheme val="minor"/>
      </rPr>
      <t>(Personalgemeinkosten) ist ein Hilfsrechner</t>
    </r>
    <r>
      <rPr>
        <sz val="12"/>
        <rFont val="Calibri"/>
        <family val="2"/>
        <scheme val="minor"/>
      </rPr>
      <t xml:space="preserve"> integriert. Damit lassen sich Prozentsätze leicht bestimmen die dann in der Berechnung weitere Verwendung finden können. Das 5 Regieblatt (neu) ist für die </t>
    </r>
    <r>
      <rPr>
        <b/>
        <sz val="12"/>
        <rFont val="Calibri"/>
        <family val="2"/>
        <scheme val="minor"/>
      </rPr>
      <t>Kalkulatione einer Regiepartie</t>
    </r>
    <r>
      <rPr>
        <sz val="12"/>
        <rFont val="Calibri"/>
        <family val="2"/>
        <scheme val="minor"/>
      </rPr>
      <t xml:space="preserve"> vorgesehen. Ergänzungen bei den Kommentaren. Gesamtzuschlag und Personalgemeinkosten sind mit </t>
    </r>
    <r>
      <rPr>
        <b/>
        <sz val="12"/>
        <rFont val="Calibri"/>
        <family val="2"/>
        <scheme val="minor"/>
      </rPr>
      <t>3 Stellen nach dem Komma</t>
    </r>
    <r>
      <rPr>
        <sz val="12"/>
        <rFont val="Calibri"/>
        <family val="2"/>
        <scheme val="minor"/>
      </rPr>
      <t xml:space="preserve"> angegeben (damit lässt sich das Kalkulationsergebnis centgenau justieren). Bei den </t>
    </r>
    <r>
      <rPr>
        <b/>
        <sz val="12"/>
        <rFont val="Calibri"/>
        <family val="2"/>
        <scheme val="minor"/>
      </rPr>
      <t>K2-Blättern lassen sich die Spaltenbreiten</t>
    </r>
    <r>
      <rPr>
        <sz val="12"/>
        <rFont val="Calibri"/>
        <family val="2"/>
        <scheme val="minor"/>
      </rPr>
      <t xml:space="preserve"> verändern. Bei Regiekalkulation 4 ist ein Verknüpfungsfehler bei R2 c) behoben (Rückgriff auf ein unzutreffendes K3 Regieblatt). Weiters sind Links zu den einzelnen Kapiteln innerhalb des Blattes 'Projekt' geschaffen. </t>
    </r>
  </si>
  <si>
    <t>Vers. 3.0</t>
  </si>
  <si>
    <t>(3.0: 10.12.2021)</t>
  </si>
  <si>
    <t>Kosten für</t>
  </si>
  <si>
    <t>- Umlagen</t>
  </si>
  <si>
    <t>- Personal</t>
  </si>
  <si>
    <t>Personalpreis</t>
  </si>
  <si>
    <t>Zusammenstellung Personalpreis K3:</t>
  </si>
  <si>
    <t>Hilfestellung für die Justierung des GZ:</t>
  </si>
  <si>
    <t>Personalpreis (K3):</t>
  </si>
  <si>
    <t>GZ gem K2:</t>
  </si>
  <si>
    <t>Kalkulierte Wochenarbeitszeit:</t>
  </si>
  <si>
    <t>Festpreise</t>
  </si>
  <si>
    <t>vertragl. Abzüge</t>
  </si>
  <si>
    <t>B2) Zulagen für produktives Personal</t>
  </si>
  <si>
    <t>B2a) Zulagen wie beim produktivem Personal, daher übernehmen?</t>
  </si>
  <si>
    <t>I.1) Ergebnis im K3-Blatt auch in €/Minute anzeigen?</t>
  </si>
  <si>
    <t>I.2) K3-Blätter mit %-Angaben anzeigen?</t>
  </si>
  <si>
    <t>I. 3) Runden</t>
  </si>
  <si>
    <r>
      <rPr>
        <b/>
        <sz val="12"/>
        <color rgb="FFFF0000"/>
        <rFont val="Calibri"/>
        <family val="2"/>
        <scheme val="minor"/>
      </rPr>
      <t>Version 3.0 (10.12.2021):</t>
    </r>
    <r>
      <rPr>
        <sz val="12"/>
        <rFont val="Calibri"/>
        <family val="2"/>
        <scheme val="minor"/>
      </rPr>
      <t xml:space="preserve"> Möglichkeit, den Mittellohnpreis auch </t>
    </r>
    <r>
      <rPr>
        <b/>
        <sz val="12"/>
        <rFont val="Calibri"/>
        <family val="2"/>
        <scheme val="minor"/>
      </rPr>
      <t>in € pro Minute</t>
    </r>
    <r>
      <rPr>
        <sz val="12"/>
        <rFont val="Calibri"/>
        <family val="2"/>
        <scheme val="minor"/>
      </rPr>
      <t xml:space="preserve"> anzugeben. Weiters besteht auch die Möglichkeit die im Orignal-K3-Blatt der ÖNORM nicht vorgesehene %-Angaben auszublenden. (Kennzeichen im Blatt "Projekt" setzen. 
Bei den </t>
    </r>
    <r>
      <rPr>
        <b/>
        <sz val="12"/>
        <rFont val="Calibri"/>
        <family val="2"/>
        <scheme val="minor"/>
      </rPr>
      <t>Regiekalkulationen</t>
    </r>
    <r>
      <rPr>
        <sz val="12"/>
        <rFont val="Calibri"/>
        <family val="2"/>
        <scheme val="minor"/>
      </rPr>
      <t xml:space="preserve"> ist auch der jeweilige </t>
    </r>
    <r>
      <rPr>
        <b/>
        <sz val="12"/>
        <rFont val="Calibri"/>
        <family val="2"/>
        <scheme val="minor"/>
      </rPr>
      <t>Aufschlag in %</t>
    </r>
    <r>
      <rPr>
        <sz val="12"/>
        <rFont val="Calibri"/>
        <family val="2"/>
        <scheme val="minor"/>
      </rPr>
      <t xml:space="preserve"> auf den KV-Lohn angegeben (eine oft im Angebotsformular verlangte Angabe). 
Diverse kleinere Verbesserungen. 
In der letzten Zeile der K3-Blätter  ist das mittlere Feld als Eingabefeld freigegeben. Damit kann (im EXL-Menü mit Einfügen --&gt; Illustration --&gt; Bilder) ein </t>
    </r>
    <r>
      <rPr>
        <b/>
        <sz val="12"/>
        <rFont val="Calibri"/>
        <family val="2"/>
        <scheme val="minor"/>
      </rPr>
      <t>LOGO</t>
    </r>
    <r>
      <rPr>
        <sz val="12"/>
        <rFont val="Calibri"/>
        <family val="2"/>
        <scheme val="minor"/>
      </rPr>
      <t xml:space="preserve"> in das K-Blatt eingefügt werden.</t>
    </r>
  </si>
  <si>
    <t>© Univ.-Prof. A. Kropik
bauwesen.at/k3</t>
  </si>
  <si>
    <t>Sonntagszuschlag (Basis=Lohn)</t>
  </si>
  <si>
    <t>Nachtarbeiteit, 22-6 Uhr</t>
  </si>
  <si>
    <t>Schichtzulage (2. Schicht)</t>
  </si>
  <si>
    <t>a) Kosten/Wo u Arbeitnehmer:</t>
  </si>
  <si>
    <t>a1)</t>
  </si>
  <si>
    <t>a2)</t>
  </si>
  <si>
    <r>
      <t>Basis</t>
    </r>
    <r>
      <rPr>
        <vertAlign val="superscript"/>
        <sz val="9"/>
        <rFont val="Calibri"/>
        <family val="2"/>
        <scheme val="minor"/>
      </rPr>
      <t>1)</t>
    </r>
    <r>
      <rPr>
        <sz val="9"/>
        <rFont val="Calibri"/>
        <family val="2"/>
        <scheme val="minor"/>
      </rPr>
      <t>:</t>
    </r>
  </si>
  <si>
    <t>Unproduktiv:</t>
  </si>
  <si>
    <t>Erbringung besonderer Nebenleistungen</t>
  </si>
  <si>
    <t>von a1):</t>
  </si>
  <si>
    <t>von a2):</t>
  </si>
  <si>
    <t>von b1):</t>
  </si>
  <si>
    <t>von b2):</t>
  </si>
  <si>
    <t>b1)</t>
  </si>
  <si>
    <t>b2)</t>
  </si>
  <si>
    <t>Rechner für die Ermittlung projektbezogener PGK - Übertrag in a1) bis b2)</t>
  </si>
  <si>
    <r>
      <rPr>
        <b/>
        <sz val="11"/>
        <rFont val="Calibri"/>
        <family val="2"/>
        <scheme val="minor"/>
      </rPr>
      <t xml:space="preserve">Unternehmer:
</t>
    </r>
    <r>
      <rPr>
        <i/>
        <sz val="9"/>
        <rFont val="Calibri"/>
        <family val="2"/>
        <scheme val="minor"/>
      </rPr>
      <t>(Diese allgemeinen Angaben
 erscheinen im Kopf der K-Blätter)</t>
    </r>
  </si>
  <si>
    <t>Wr. U-Bahn Steuer</t>
  </si>
  <si>
    <r>
      <t xml:space="preserve">C2) Dienstreisevergütungen in Euro pro Tag
</t>
    </r>
    <r>
      <rPr>
        <sz val="11"/>
        <rFont val="Calibri"/>
        <family val="2"/>
        <scheme val="minor"/>
      </rPr>
      <t>(zB Taggeld, Entfernungszulage odgl)</t>
    </r>
  </si>
  <si>
    <r>
      <t>Basis für %-Zulage (KV-Entgelt (</t>
    </r>
    <r>
      <rPr>
        <b/>
        <sz val="11"/>
        <color rgb="FFEF9A8F"/>
        <rFont val="Calibri"/>
        <family val="2"/>
        <scheme val="minor"/>
      </rPr>
      <t>KZ=1</t>
    </r>
    <r>
      <rPr>
        <sz val="11"/>
        <rFont val="Calibri"/>
        <family val="2"/>
        <scheme val="minor"/>
      </rPr>
      <t>) / KV+AKV-E. (</t>
    </r>
    <r>
      <rPr>
        <b/>
        <sz val="11"/>
        <color rgb="FFEF9A8F"/>
        <rFont val="Calibri"/>
        <family val="2"/>
        <scheme val="minor"/>
      </rPr>
      <t>KZ=2</t>
    </r>
    <r>
      <rPr>
        <sz val="11"/>
        <rFont val="Calibri"/>
        <family val="2"/>
        <scheme val="minor"/>
      </rPr>
      <t>)):</t>
    </r>
  </si>
  <si>
    <t>Schmutzzulage</t>
  </si>
  <si>
    <t>Gz-Uxx</t>
  </si>
  <si>
    <t>AG-NNN</t>
  </si>
  <si>
    <t>Musterprojekt Malerhandbuch 2022</t>
  </si>
  <si>
    <t>Facharbeiter mit LAB (&gt;3.J)</t>
  </si>
  <si>
    <t>Helfer</t>
  </si>
  <si>
    <t>Aufsichtszulage 10%</t>
  </si>
  <si>
    <t>Zulage 10%</t>
  </si>
  <si>
    <t>Taggeld (&gt; 3 Std; tägl. Rückreise)</t>
  </si>
  <si>
    <t>Mehrarbeit 50%</t>
  </si>
  <si>
    <t>Fahrtkosten (Mannschaftsbus+Fahrer)</t>
  </si>
  <si>
    <t>Diverses projektspezifisches Kleinmaterial</t>
  </si>
  <si>
    <t>Maler_22</t>
  </si>
  <si>
    <r>
      <rPr>
        <sz val="11"/>
        <rFont val="Calibri"/>
        <family val="2"/>
      </rPr>
      <t>∑</t>
    </r>
    <r>
      <rPr>
        <sz val="11"/>
        <rFont val="Calibri"/>
        <family val="2"/>
        <scheme val="minor"/>
      </rPr>
      <t>KV/Std</t>
    </r>
  </si>
  <si>
    <r>
      <rPr>
        <sz val="11"/>
        <rFont val="Calibri"/>
        <family val="2"/>
      </rPr>
      <t>∑</t>
    </r>
    <r>
      <rPr>
        <sz val="11"/>
        <rFont val="Calibri"/>
        <family val="2"/>
        <scheme val="minor"/>
      </rPr>
      <t>AKV/Std</t>
    </r>
  </si>
  <si>
    <t>Musterkalkulation</t>
  </si>
  <si>
    <t>Malerhandbuch 2022</t>
  </si>
  <si>
    <t>044r057d263t319A940y227</t>
  </si>
  <si>
    <t>K3_Quelle_Malerhandbuch</t>
  </si>
  <si>
    <t>Regie Facharbeiter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</si>
</sst>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44" formatCode="_-&quot;€&quot;\ * #,##0.00_-;\-&quot;€&quot;\ * #,##0.00_-;_-&quot;€&quot;\ * &quot;-&quot;??_-;_-@_-"/>
    <numFmt numFmtId="43" formatCode="_-* #,##0.00_-;\-* #,##0.00_-;_-* &quot;-&quot;??_-;_-@_-"/>
    <numFmt numFmtId="164" formatCode="\$#,##0\ ;\(\$#,##0\)"/>
    <numFmt numFmtId="165" formatCode="0.0%"/>
    <numFmt numFmtId="166" formatCode="_-* #,##0.00\ [$€]_-;\-* #,##0.00\ [$€]_-;_-* &quot;-&quot;??\ [$€]_-;_-@_-"/>
    <numFmt numFmtId="167" formatCode="_-[$€-C07]\ * #,##0.00_-;\-[$€-C07]\ * #,##0.00_-;_-[$€-C07]\ * &quot;-&quot;??_-;_-@_-"/>
    <numFmt numFmtId="168" formatCode="_-[$€-C07]\ * #,##0_-;\-[$€-C07]\ * #,##0_-;_-[$€-C07]\ * &quot;-&quot;??_-;_-@_-"/>
    <numFmt numFmtId="169" formatCode="0.0000"/>
    <numFmt numFmtId="170" formatCode="dd\.mm\.yyyy;@"/>
    <numFmt numFmtId="171" formatCode="#,##0.000"/>
    <numFmt numFmtId="172" formatCode="0.00&quot; €/Std&quot;"/>
    <numFmt numFmtId="173" formatCode="0.0&quot; Std/Wo&quot;"/>
    <numFmt numFmtId="174" formatCode="_-[$€-C07]\ * #,##0.000_-;\-[$€-C07]\ * #,##0.000_-;_-[$€-C07]\ * &quot;-&quot;??_-;_-@_-"/>
    <numFmt numFmtId="175" formatCode="_-&quot;€&quot;\ * #,##0.000_-;\-&quot;€&quot;\ * #,##0.000_-;_-&quot;€&quot;\ * &quot;-&quot;??_-;_-@_-"/>
    <numFmt numFmtId="176" formatCode="0.000"/>
    <numFmt numFmtId="177" formatCode="0.000000"/>
    <numFmt numFmtId="178" formatCode="#,##0.0000"/>
    <numFmt numFmtId="179" formatCode="&quot;KZ = &quot;0"/>
    <numFmt numFmtId="180" formatCode="#,##0&quot; Std&quot;"/>
    <numFmt numFmtId="181" formatCode="0&quot; Tage gültig&quot;"/>
    <numFmt numFmtId="182" formatCode="0;\-0;;@"/>
    <numFmt numFmtId="183" formatCode="0.00;\-0.00;;@"/>
    <numFmt numFmtId="184" formatCode="_-* #,##0\ [$€-407]_-;\-* #,##0\ [$€-407]_-;_-* &quot;-&quot;??\ [$€-407]_-;_-@_-"/>
    <numFmt numFmtId="185" formatCode="_-* #,##0.00\ [$€-407]_-;\-* #,##0.00\ [$€-407]_-;_-* &quot;-&quot;??\ [$€-407]_-;_-@_-"/>
    <numFmt numFmtId="186" formatCode="0&quot; Tage&quot;"/>
    <numFmt numFmtId="187" formatCode="0.000%"/>
    <numFmt numFmtId="188" formatCode="#,##0.0&quot; d/Wo&quot;"/>
    <numFmt numFmtId="189" formatCode="#,##0.00&quot; Std&quot;"/>
    <numFmt numFmtId="190" formatCode="0.0&quot; Std/Tag&quot;"/>
    <numFmt numFmtId="191" formatCode="#,##0.00&quot; €/Std&quot;"/>
    <numFmt numFmtId="192" formatCode="#,##0.000&quot; €/Min&quot;"/>
  </numFmts>
  <fonts count="126" x14ac:knownFonts="1">
    <font>
      <sz val="12"/>
      <name val="Arial"/>
    </font>
    <font>
      <sz val="11"/>
      <color theme="1"/>
      <name val="Calibri"/>
      <family val="2"/>
      <scheme val="minor"/>
    </font>
    <font>
      <sz val="11"/>
      <color theme="1"/>
      <name val="Calibri"/>
      <family val="2"/>
      <scheme val="minor"/>
    </font>
    <font>
      <b/>
      <sz val="18"/>
      <name val="Arial"/>
      <family val="2"/>
    </font>
    <font>
      <b/>
      <sz val="12"/>
      <name val="Arial"/>
      <family val="2"/>
    </font>
    <font>
      <sz val="10"/>
      <name val="Arial"/>
      <family val="2"/>
    </font>
    <font>
      <sz val="11"/>
      <name val="Arial"/>
      <family val="2"/>
    </font>
    <font>
      <sz val="10"/>
      <name val="Arial"/>
      <family val="2"/>
    </font>
    <font>
      <sz val="12"/>
      <name val="Arial"/>
      <family val="2"/>
    </font>
    <font>
      <b/>
      <sz val="14"/>
      <color theme="1"/>
      <name val="Calibri"/>
      <family val="2"/>
      <scheme val="minor"/>
    </font>
    <font>
      <b/>
      <sz val="10"/>
      <color theme="1"/>
      <name val="Calibri"/>
      <family val="2"/>
      <scheme val="minor"/>
    </font>
    <font>
      <sz val="10"/>
      <color theme="1"/>
      <name val="Calibri"/>
      <family val="2"/>
      <scheme val="minor"/>
    </font>
    <font>
      <b/>
      <sz val="10"/>
      <color theme="1"/>
      <name val="Calibri"/>
      <family val="2"/>
    </font>
    <font>
      <i/>
      <sz val="10"/>
      <color theme="1"/>
      <name val="Calibri"/>
      <family val="2"/>
      <scheme val="minor"/>
    </font>
    <font>
      <sz val="10"/>
      <name val="Calibri"/>
      <family val="2"/>
      <scheme val="minor"/>
    </font>
    <font>
      <b/>
      <sz val="10"/>
      <name val="Calibri"/>
      <family val="2"/>
      <scheme val="minor"/>
    </font>
    <font>
      <i/>
      <sz val="10"/>
      <name val="Calibri"/>
      <family val="2"/>
      <scheme val="minor"/>
    </font>
    <font>
      <i/>
      <sz val="10"/>
      <color theme="4"/>
      <name val="Calibri"/>
      <family val="2"/>
      <scheme val="minor"/>
    </font>
    <font>
      <i/>
      <sz val="10"/>
      <color theme="3"/>
      <name val="Calibri"/>
      <family val="2"/>
      <scheme val="minor"/>
    </font>
    <font>
      <sz val="8"/>
      <color theme="1"/>
      <name val="Calibri"/>
      <family val="2"/>
      <scheme val="minor"/>
    </font>
    <font>
      <sz val="12"/>
      <name val="Calibri"/>
      <family val="2"/>
      <scheme val="minor"/>
    </font>
    <font>
      <i/>
      <sz val="9"/>
      <color theme="1"/>
      <name val="Calibri"/>
      <family val="2"/>
      <scheme val="minor"/>
    </font>
    <font>
      <i/>
      <sz val="9"/>
      <name val="Calibri"/>
      <family val="2"/>
      <scheme val="minor"/>
    </font>
    <font>
      <sz val="11"/>
      <name val="Calibri"/>
      <family val="2"/>
      <scheme val="minor"/>
    </font>
    <font>
      <i/>
      <sz val="10"/>
      <color theme="3" tint="0.39997558519241921"/>
      <name val="Calibri"/>
      <family val="2"/>
      <scheme val="minor"/>
    </font>
    <font>
      <b/>
      <sz val="12"/>
      <name val="Calibri"/>
      <family val="2"/>
      <scheme val="minor"/>
    </font>
    <font>
      <sz val="12"/>
      <color rgb="FFFF0000"/>
      <name val="Calibri"/>
      <family val="2"/>
      <scheme val="minor"/>
    </font>
    <font>
      <b/>
      <sz val="11"/>
      <name val="Calibri"/>
      <family val="2"/>
      <scheme val="minor"/>
    </font>
    <font>
      <b/>
      <i/>
      <sz val="10"/>
      <color theme="4"/>
      <name val="Calibri"/>
      <family val="2"/>
      <scheme val="minor"/>
    </font>
    <font>
      <b/>
      <sz val="16"/>
      <name val="Calibri"/>
      <family val="2"/>
      <scheme val="minor"/>
    </font>
    <font>
      <i/>
      <sz val="10"/>
      <color rgb="FF0070C0"/>
      <name val="Calibri"/>
      <family val="2"/>
      <scheme val="minor"/>
    </font>
    <font>
      <b/>
      <i/>
      <sz val="10"/>
      <color rgb="FF0070C0"/>
      <name val="Calibri"/>
      <family val="2"/>
      <scheme val="minor"/>
    </font>
    <font>
      <sz val="12"/>
      <color rgb="FF0070C0"/>
      <name val="Arial"/>
      <family val="2"/>
    </font>
    <font>
      <sz val="10"/>
      <color rgb="FF0070C0"/>
      <name val="Calibri"/>
      <family val="2"/>
      <scheme val="minor"/>
    </font>
    <font>
      <i/>
      <sz val="11"/>
      <name val="Calibri"/>
      <family val="2"/>
      <scheme val="minor"/>
    </font>
    <font>
      <sz val="9"/>
      <name val="Calibri"/>
      <family val="2"/>
    </font>
    <font>
      <sz val="12"/>
      <name val="Arial"/>
      <family val="2"/>
    </font>
    <font>
      <b/>
      <sz val="11"/>
      <color theme="1"/>
      <name val="Calibri"/>
      <family val="2"/>
      <scheme val="minor"/>
    </font>
    <font>
      <vertAlign val="superscript"/>
      <sz val="10"/>
      <name val="Calibri"/>
      <family val="2"/>
      <scheme val="minor"/>
    </font>
    <font>
      <sz val="11"/>
      <name val="Calibri"/>
      <family val="2"/>
    </font>
    <font>
      <sz val="11"/>
      <color rgb="FFFF0000"/>
      <name val="Calibri"/>
      <family val="2"/>
      <scheme val="minor"/>
    </font>
    <font>
      <sz val="11"/>
      <color theme="1" tint="0.499984740745262"/>
      <name val="Calibri"/>
      <family val="2"/>
      <scheme val="minor"/>
    </font>
    <font>
      <i/>
      <sz val="11"/>
      <color rgb="FFFF0000"/>
      <name val="Calibri"/>
      <family val="2"/>
      <scheme val="minor"/>
    </font>
    <font>
      <b/>
      <sz val="10"/>
      <color rgb="FFFF0000"/>
      <name val="Calibri"/>
      <family val="2"/>
      <scheme val="minor"/>
    </font>
    <font>
      <b/>
      <i/>
      <sz val="11"/>
      <color rgb="FFFF0000"/>
      <name val="Calibri"/>
      <family val="2"/>
      <scheme val="minor"/>
    </font>
    <font>
      <i/>
      <sz val="10"/>
      <color theme="4" tint="-0.249977111117893"/>
      <name val="Calibri"/>
      <family val="2"/>
      <scheme val="minor"/>
    </font>
    <font>
      <b/>
      <i/>
      <sz val="10"/>
      <color theme="4" tint="-0.249977111117893"/>
      <name val="Calibri"/>
      <family val="2"/>
      <scheme val="minor"/>
    </font>
    <font>
      <sz val="10"/>
      <color theme="4" tint="-0.249977111117893"/>
      <name val="Calibri"/>
      <family val="2"/>
      <scheme val="minor"/>
    </font>
    <font>
      <sz val="12"/>
      <color theme="4" tint="-0.249977111117893"/>
      <name val="Arial"/>
      <family val="2"/>
    </font>
    <font>
      <b/>
      <i/>
      <sz val="10"/>
      <name val="Calibri"/>
      <family val="2"/>
      <scheme val="minor"/>
    </font>
    <font>
      <b/>
      <sz val="11"/>
      <name val="Calibri"/>
      <family val="2"/>
    </font>
    <font>
      <b/>
      <sz val="12.1"/>
      <name val="Calibri"/>
      <family val="2"/>
    </font>
    <font>
      <sz val="12.1"/>
      <name val="Calibri"/>
      <family val="2"/>
    </font>
    <font>
      <i/>
      <sz val="10"/>
      <name val="Calibri"/>
      <family val="2"/>
    </font>
    <font>
      <sz val="9"/>
      <name val="Calibri"/>
      <family val="2"/>
      <scheme val="minor"/>
    </font>
    <font>
      <sz val="11"/>
      <color theme="0" tint="-0.499984740745262"/>
      <name val="Calibri"/>
      <family val="2"/>
      <scheme val="minor"/>
    </font>
    <font>
      <sz val="10"/>
      <color theme="1"/>
      <name val="Calibri"/>
      <family val="2"/>
    </font>
    <font>
      <u/>
      <sz val="12"/>
      <color theme="10"/>
      <name val="Arial"/>
      <family val="2"/>
    </font>
    <font>
      <u/>
      <sz val="11"/>
      <color theme="10"/>
      <name val="Calibri"/>
      <family val="2"/>
      <scheme val="minor"/>
    </font>
    <font>
      <sz val="9"/>
      <color theme="1"/>
      <name val="Calibri"/>
      <family val="2"/>
      <scheme val="minor"/>
    </font>
    <font>
      <u/>
      <sz val="9"/>
      <color theme="10"/>
      <name val="Calibri"/>
      <family val="2"/>
      <scheme val="minor"/>
    </font>
    <font>
      <sz val="12"/>
      <color theme="1"/>
      <name val="Calibri"/>
      <family val="2"/>
      <scheme val="minor"/>
    </font>
    <font>
      <b/>
      <vertAlign val="superscript"/>
      <sz val="10"/>
      <name val="Calibri"/>
      <family val="2"/>
      <scheme val="minor"/>
    </font>
    <font>
      <b/>
      <sz val="9"/>
      <color theme="1"/>
      <name val="Calibri"/>
      <family val="2"/>
      <scheme val="minor"/>
    </font>
    <font>
      <i/>
      <sz val="10.8"/>
      <name val="Calibri"/>
      <family val="2"/>
    </font>
    <font>
      <b/>
      <sz val="14"/>
      <color rgb="FFFF0000"/>
      <name val="Calibri"/>
      <family val="2"/>
      <scheme val="minor"/>
    </font>
    <font>
      <b/>
      <sz val="12"/>
      <color rgb="FFFF0000"/>
      <name val="Calibri"/>
      <family val="2"/>
      <scheme val="minor"/>
    </font>
    <font>
      <i/>
      <sz val="9"/>
      <color theme="4" tint="-0.249977111117893"/>
      <name val="Calibri"/>
      <family val="2"/>
      <scheme val="minor"/>
    </font>
    <font>
      <sz val="11"/>
      <color theme="0"/>
      <name val="Calibri"/>
      <family val="2"/>
      <scheme val="minor"/>
    </font>
    <font>
      <b/>
      <sz val="16"/>
      <color rgb="FFFF0000"/>
      <name val="Calibri"/>
      <family val="2"/>
      <scheme val="minor"/>
    </font>
    <font>
      <i/>
      <sz val="12"/>
      <color theme="0"/>
      <name val="Calibri"/>
      <family val="2"/>
      <scheme val="minor"/>
    </font>
    <font>
      <i/>
      <sz val="11"/>
      <color theme="0"/>
      <name val="Calibri"/>
      <family val="2"/>
      <scheme val="minor"/>
    </font>
    <font>
      <b/>
      <sz val="14"/>
      <name val="Calibri"/>
      <family val="2"/>
      <scheme val="minor"/>
    </font>
    <font>
      <sz val="9"/>
      <color indexed="81"/>
      <name val="Segoe UI"/>
      <family val="2"/>
    </font>
    <font>
      <sz val="8"/>
      <color indexed="81"/>
      <name val="Segoe UI"/>
      <family val="2"/>
    </font>
    <font>
      <b/>
      <sz val="18"/>
      <color rgb="FFFF0000"/>
      <name val="Calibri"/>
      <family val="2"/>
      <scheme val="minor"/>
    </font>
    <font>
      <sz val="12"/>
      <color theme="0"/>
      <name val="Calibri"/>
      <family val="2"/>
      <scheme val="minor"/>
    </font>
    <font>
      <b/>
      <i/>
      <sz val="11"/>
      <name val="Calibri"/>
      <family val="2"/>
      <scheme val="minor"/>
    </font>
    <font>
      <b/>
      <i/>
      <sz val="12"/>
      <name val="Calibri"/>
      <family val="2"/>
      <scheme val="minor"/>
    </font>
    <font>
      <b/>
      <sz val="12"/>
      <color rgb="FFC00000"/>
      <name val="Calibri"/>
      <family val="2"/>
      <scheme val="minor"/>
    </font>
    <font>
      <i/>
      <sz val="12"/>
      <name val="Calibri"/>
      <family val="2"/>
      <scheme val="minor"/>
    </font>
    <font>
      <i/>
      <sz val="8"/>
      <color rgb="FF0070C0"/>
      <name val="Calibri"/>
      <family val="2"/>
      <scheme val="minor"/>
    </font>
    <font>
      <b/>
      <i/>
      <sz val="10"/>
      <color theme="1"/>
      <name val="Calibri"/>
      <family val="2"/>
      <scheme val="minor"/>
    </font>
    <font>
      <b/>
      <sz val="8"/>
      <color rgb="FFFF0000"/>
      <name val="Calibri"/>
      <family val="2"/>
      <scheme val="minor"/>
    </font>
    <font>
      <sz val="10"/>
      <color rgb="FFFF0000"/>
      <name val="Calibri"/>
      <family val="2"/>
      <scheme val="minor"/>
    </font>
    <font>
      <b/>
      <sz val="11"/>
      <color rgb="FFFF0000"/>
      <name val="Calibri"/>
      <family val="2"/>
      <scheme val="minor"/>
    </font>
    <font>
      <sz val="9"/>
      <color rgb="FFFF0000"/>
      <name val="Calibri"/>
      <family val="2"/>
      <scheme val="minor"/>
    </font>
    <font>
      <b/>
      <sz val="10"/>
      <color theme="0"/>
      <name val="Calibri"/>
      <family val="2"/>
      <scheme val="minor"/>
    </font>
    <font>
      <b/>
      <sz val="16"/>
      <color theme="0"/>
      <name val="Calibri"/>
      <family val="2"/>
      <scheme val="minor"/>
    </font>
    <font>
      <b/>
      <i/>
      <sz val="11"/>
      <color theme="5" tint="-0.249977111117893"/>
      <name val="Calibri"/>
      <family val="2"/>
      <scheme val="minor"/>
    </font>
    <font>
      <b/>
      <sz val="11"/>
      <color theme="5" tint="-0.249977111117893"/>
      <name val="Calibri"/>
      <family val="2"/>
      <scheme val="minor"/>
    </font>
    <font>
      <sz val="12"/>
      <color theme="3" tint="-0.249977111117893"/>
      <name val="Calibri"/>
      <family val="2"/>
      <scheme val="minor"/>
    </font>
    <font>
      <sz val="11"/>
      <color theme="3" tint="-0.249977111117893"/>
      <name val="Calibri"/>
      <family val="2"/>
      <scheme val="minor"/>
    </font>
    <font>
      <sz val="8"/>
      <name val="Calibri"/>
      <family val="2"/>
      <scheme val="minor"/>
    </font>
    <font>
      <b/>
      <sz val="11"/>
      <color theme="9" tint="-0.249977111117893"/>
      <name val="Calibri"/>
      <family val="2"/>
      <scheme val="minor"/>
    </font>
    <font>
      <b/>
      <sz val="11"/>
      <color theme="0" tint="-0.499984740745262"/>
      <name val="Calibri"/>
      <family val="2"/>
      <scheme val="minor"/>
    </font>
    <font>
      <i/>
      <sz val="9"/>
      <color theme="0" tint="-0.499984740745262"/>
      <name val="Calibri"/>
      <family val="2"/>
      <scheme val="minor"/>
    </font>
    <font>
      <b/>
      <sz val="9"/>
      <name val="Calibri"/>
      <family val="2"/>
      <scheme val="minor"/>
    </font>
    <font>
      <sz val="10"/>
      <color indexed="81"/>
      <name val="Calibri"/>
      <family val="2"/>
      <scheme val="minor"/>
    </font>
    <font>
      <sz val="9"/>
      <color theme="0" tint="-0.499984740745262"/>
      <name val="Calibri"/>
      <family val="2"/>
      <scheme val="minor"/>
    </font>
    <font>
      <i/>
      <sz val="11"/>
      <color theme="0" tint="-0.499984740745262"/>
      <name val="Calibri"/>
      <family val="2"/>
      <scheme val="minor"/>
    </font>
    <font>
      <sz val="8"/>
      <color indexed="81"/>
      <name val="Calibri"/>
      <family val="2"/>
      <scheme val="minor"/>
    </font>
    <font>
      <vertAlign val="superscript"/>
      <sz val="9"/>
      <name val="Calibri"/>
      <family val="2"/>
      <scheme val="minor"/>
    </font>
    <font>
      <b/>
      <sz val="8"/>
      <name val="Calibri"/>
      <family val="2"/>
      <scheme val="minor"/>
    </font>
    <font>
      <sz val="8"/>
      <color theme="0" tint="-0.499984740745262"/>
      <name val="Arial Narrow"/>
      <family val="2"/>
    </font>
    <font>
      <b/>
      <sz val="12"/>
      <color theme="0"/>
      <name val="Calibri"/>
      <family val="2"/>
      <scheme val="minor"/>
    </font>
    <font>
      <b/>
      <sz val="9"/>
      <color indexed="81"/>
      <name val="Segoe UI"/>
      <family val="2"/>
    </font>
    <font>
      <sz val="8"/>
      <color rgb="FFFF0000"/>
      <name val="Calibri"/>
      <family val="2"/>
      <scheme val="minor"/>
    </font>
    <font>
      <sz val="8"/>
      <color theme="0" tint="-0.499984740745262"/>
      <name val="Calibri"/>
      <family val="2"/>
      <scheme val="minor"/>
    </font>
    <font>
      <b/>
      <sz val="18"/>
      <name val="Calibri"/>
      <family val="2"/>
      <scheme val="minor"/>
    </font>
    <font>
      <u/>
      <sz val="10"/>
      <color theme="10"/>
      <name val="Calibri"/>
      <family val="2"/>
      <scheme val="minor"/>
    </font>
    <font>
      <u/>
      <sz val="8"/>
      <color theme="10"/>
      <name val="Arial"/>
      <family val="2"/>
    </font>
    <font>
      <b/>
      <sz val="9"/>
      <color rgb="FFFF0000"/>
      <name val="Calibri"/>
      <family val="2"/>
      <scheme val="minor"/>
    </font>
    <font>
      <i/>
      <sz val="8"/>
      <name val="Calibri"/>
      <family val="2"/>
      <scheme val="minor"/>
    </font>
    <font>
      <b/>
      <i/>
      <sz val="10"/>
      <color theme="0"/>
      <name val="Calibri"/>
      <family val="2"/>
      <scheme val="minor"/>
    </font>
    <font>
      <sz val="12"/>
      <color theme="0"/>
      <name val="Arial"/>
      <family val="2"/>
    </font>
    <font>
      <sz val="10"/>
      <color theme="0"/>
      <name val="Calibri"/>
      <family val="2"/>
      <scheme val="minor"/>
    </font>
    <font>
      <i/>
      <sz val="8"/>
      <color theme="0"/>
      <name val="Calibri"/>
      <family val="2"/>
      <scheme val="minor"/>
    </font>
    <font>
      <i/>
      <sz val="9"/>
      <color theme="2" tint="-0.749992370372631"/>
      <name val="Calibri"/>
      <family val="2"/>
      <scheme val="minor"/>
    </font>
    <font>
      <i/>
      <sz val="10"/>
      <color theme="2" tint="-0.749992370372631"/>
      <name val="Calibri"/>
      <family val="2"/>
      <scheme val="minor"/>
    </font>
    <font>
      <b/>
      <i/>
      <sz val="10"/>
      <color theme="0" tint="-0.499984740745262"/>
      <name val="Calibri"/>
      <family val="2"/>
      <scheme val="minor"/>
    </font>
    <font>
      <sz val="9"/>
      <color theme="0"/>
      <name val="Calibri"/>
      <family val="2"/>
      <scheme val="minor"/>
    </font>
    <font>
      <i/>
      <sz val="9"/>
      <color theme="0"/>
      <name val="Calibri"/>
      <family val="2"/>
      <scheme val="minor"/>
    </font>
    <font>
      <sz val="12"/>
      <color theme="2" tint="-0.749992370372631"/>
      <name val="Calibri"/>
      <family val="2"/>
      <scheme val="minor"/>
    </font>
    <font>
      <b/>
      <sz val="11"/>
      <color theme="2" tint="-0.749992370372631"/>
      <name val="Calibri"/>
      <family val="2"/>
      <scheme val="minor"/>
    </font>
    <font>
      <b/>
      <sz val="11"/>
      <color rgb="FFEF9A8F"/>
      <name val="Calibri"/>
      <family val="2"/>
      <scheme val="minor"/>
    </font>
  </fonts>
  <fills count="2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
      <patternFill patternType="darkUp">
        <fgColor theme="0" tint="-0.499984740745262"/>
        <bgColor indexed="65"/>
      </patternFill>
    </fill>
    <fill>
      <patternFill patternType="solid">
        <fgColor theme="6" tint="0.39997558519241921"/>
        <bgColor indexed="64"/>
      </patternFill>
    </fill>
    <fill>
      <patternFill patternType="darkUp">
        <fgColor theme="0" tint="-0.24994659260841701"/>
        <bgColor indexed="65"/>
      </patternFill>
    </fill>
    <fill>
      <patternFill patternType="solid">
        <fgColor rgb="FF00B0F0"/>
        <bgColor indexed="64"/>
      </patternFill>
    </fill>
    <fill>
      <patternFill patternType="lightUp">
        <fgColor theme="0" tint="-0.34998626667073579"/>
        <bgColor indexed="65"/>
      </patternFill>
    </fill>
    <fill>
      <patternFill patternType="darkUp">
        <fgColor theme="0" tint="-0.499984740745262"/>
        <bgColor theme="0" tint="-0.24994659260841701"/>
      </patternFill>
    </fill>
    <fill>
      <patternFill patternType="lightUp">
        <fgColor theme="0" tint="-0.24994659260841701"/>
        <bgColor indexed="65"/>
      </patternFill>
    </fill>
    <fill>
      <patternFill patternType="solid">
        <fgColor indexed="65"/>
        <bgColor theme="0"/>
      </patternFill>
    </fill>
    <fill>
      <patternFill patternType="solid">
        <fgColor indexed="65"/>
        <bgColor theme="0" tint="-0.24994659260841701"/>
      </patternFill>
    </fill>
    <fill>
      <patternFill patternType="solid">
        <fgColor theme="0" tint="-0.34998626667073579"/>
        <bgColor indexed="64"/>
      </patternFill>
    </fill>
    <fill>
      <patternFill patternType="solid">
        <fgColor rgb="FF92D050"/>
        <bgColor indexed="64"/>
      </patternFill>
    </fill>
    <fill>
      <patternFill patternType="solid">
        <fgColor rgb="FFEF9A8F"/>
        <bgColor indexed="64"/>
      </patternFill>
    </fill>
    <fill>
      <gradientFill>
        <stop position="0">
          <color rgb="FFEF9A8F"/>
        </stop>
        <stop position="1">
          <color theme="0" tint="-0.25098422193060094"/>
        </stop>
      </gradientFill>
    </fill>
    <fill>
      <gradientFill>
        <stop position="0">
          <color rgb="FFEF9A8F"/>
        </stop>
        <stop position="1">
          <color theme="0" tint="-0.1490218817712943"/>
        </stop>
      </gradientFill>
    </fill>
    <fill>
      <patternFill patternType="solid">
        <fgColor theme="9" tint="-0.249977111117893"/>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0"/>
        <bgColor indexed="64"/>
      </patternFill>
    </fill>
  </fills>
  <borders count="83">
    <border>
      <left/>
      <right/>
      <top/>
      <bottom/>
      <diagonal/>
    </border>
    <border>
      <left/>
      <right/>
      <top style="double">
        <color indexed="64"/>
      </top>
      <bottom/>
      <diagonal/>
    </border>
    <border>
      <left/>
      <right/>
      <top style="thin">
        <color indexed="64"/>
      </top>
      <bottom style="double">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rgb="FFC00000"/>
      </left>
      <right/>
      <top/>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style="thin">
        <color rgb="FFC00000"/>
      </left>
      <right/>
      <top style="thin">
        <color rgb="FFC00000"/>
      </top>
      <bottom style="thin">
        <color rgb="FFC00000"/>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s>
  <cellStyleXfs count="25">
    <xf numFmtId="0" fontId="0" fillId="0" borderId="0"/>
    <xf numFmtId="0" fontId="8" fillId="0" borderId="0" applyProtection="0"/>
    <xf numFmtId="166" fontId="7" fillId="0" borderId="0" applyFont="0" applyFill="0" applyBorder="0" applyAlignment="0" applyProtection="0"/>
    <xf numFmtId="2" fontId="8" fillId="0" borderId="0" applyProtection="0"/>
    <xf numFmtId="0" fontId="5" fillId="0" borderId="1" applyNumberFormat="0" applyFont="0" applyFill="0" applyAlignment="0" applyProtection="0"/>
    <xf numFmtId="4" fontId="8" fillId="0" borderId="0" applyProtection="0"/>
    <xf numFmtId="3" fontId="5" fillId="0" borderId="0" applyFont="0" applyFill="0" applyBorder="0" applyAlignment="0" applyProtection="0"/>
    <xf numFmtId="0" fontId="8" fillId="0" borderId="0" applyNumberFormat="0" applyFont="0" applyFill="0" applyBorder="0" applyAlignment="0" applyProtection="0"/>
    <xf numFmtId="0" fontId="4" fillId="0" borderId="0" applyProtection="0"/>
    <xf numFmtId="10" fontId="8" fillId="0" borderId="0" applyProtection="0"/>
    <xf numFmtId="0" fontId="7" fillId="0" borderId="0"/>
    <xf numFmtId="0" fontId="8" fillId="0" borderId="2" applyProtection="0"/>
    <xf numFmtId="164" fontId="5"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44" fontId="36"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0" fontId="57" fillId="0" borderId="0" applyNumberFormat="0" applyFill="0" applyBorder="0" applyAlignment="0" applyProtection="0"/>
    <xf numFmtId="0" fontId="8" fillId="0" borderId="0"/>
    <xf numFmtId="0" fontId="1" fillId="0" borderId="0"/>
    <xf numFmtId="10" fontId="8" fillId="0" borderId="0" applyProtection="0"/>
    <xf numFmtId="0" fontId="58" fillId="0" borderId="0" applyNumberFormat="0" applyFill="0" applyBorder="0" applyAlignment="0" applyProtection="0"/>
  </cellStyleXfs>
  <cellXfs count="2366">
    <xf numFmtId="0" fontId="0" fillId="0" borderId="0" xfId="0"/>
    <xf numFmtId="0" fontId="11" fillId="0" borderId="0" xfId="0" applyFont="1" applyBorder="1" applyAlignment="1">
      <alignment vertical="center"/>
    </xf>
    <xf numFmtId="0" fontId="10" fillId="0" borderId="17" xfId="0" applyFont="1" applyBorder="1" applyAlignment="1">
      <alignment vertical="center"/>
    </xf>
    <xf numFmtId="0" fontId="11" fillId="0" borderId="17" xfId="0" applyFont="1" applyBorder="1" applyAlignment="1">
      <alignment vertical="center"/>
    </xf>
    <xf numFmtId="0" fontId="11" fillId="0" borderId="9" xfId="0" applyFont="1" applyBorder="1" applyAlignment="1">
      <alignment vertical="center"/>
    </xf>
    <xf numFmtId="0" fontId="16" fillId="0" borderId="0" xfId="0" applyFont="1" applyBorder="1" applyAlignment="1">
      <alignment vertical="center"/>
    </xf>
    <xf numFmtId="0" fontId="14" fillId="0" borderId="0" xfId="0" applyFont="1" applyBorder="1" applyAlignment="1">
      <alignment vertical="center"/>
    </xf>
    <xf numFmtId="0" fontId="13" fillId="0" borderId="0" xfId="0" applyFont="1" applyBorder="1" applyAlignment="1">
      <alignment vertical="center"/>
    </xf>
    <xf numFmtId="0" fontId="19" fillId="0" borderId="26" xfId="0" applyFont="1" applyBorder="1" applyAlignment="1">
      <alignment horizontal="center" vertical="center"/>
    </xf>
    <xf numFmtId="0" fontId="12" fillId="0" borderId="24" xfId="0" applyFont="1" applyBorder="1" applyAlignment="1">
      <alignment horizontal="center" vertical="center"/>
    </xf>
    <xf numFmtId="0" fontId="12" fillId="0" borderId="14" xfId="0" applyFont="1" applyBorder="1" applyAlignment="1">
      <alignment horizontal="center" vertical="center"/>
    </xf>
    <xf numFmtId="0" fontId="20" fillId="0" borderId="0" xfId="0" applyFont="1"/>
    <xf numFmtId="0" fontId="20" fillId="0" borderId="18" xfId="0" applyFont="1" applyBorder="1"/>
    <xf numFmtId="0" fontId="20" fillId="0" borderId="19" xfId="0" applyFont="1" applyBorder="1"/>
    <xf numFmtId="0" fontId="20" fillId="0" borderId="22" xfId="0" applyFont="1" applyBorder="1"/>
    <xf numFmtId="167" fontId="20" fillId="0" borderId="27" xfId="0" applyNumberFormat="1" applyFont="1" applyBorder="1"/>
    <xf numFmtId="0" fontId="9" fillId="0" borderId="26" xfId="0" applyFont="1" applyBorder="1"/>
    <xf numFmtId="0" fontId="11" fillId="0" borderId="26" xfId="0" applyFont="1" applyBorder="1" applyAlignment="1">
      <alignment horizontal="center"/>
    </xf>
    <xf numFmtId="0" fontId="11" fillId="0" borderId="22" xfId="0" applyFont="1" applyBorder="1" applyAlignment="1">
      <alignment vertical="center"/>
    </xf>
    <xf numFmtId="0" fontId="11" fillId="0" borderId="32" xfId="0" applyFont="1" applyBorder="1" applyAlignment="1">
      <alignment vertical="center"/>
    </xf>
    <xf numFmtId="0" fontId="11" fillId="0" borderId="19" xfId="0" applyFont="1" applyBorder="1" applyAlignment="1">
      <alignment vertical="top"/>
    </xf>
    <xf numFmtId="0" fontId="11" fillId="0" borderId="0" xfId="0" applyFont="1"/>
    <xf numFmtId="1" fontId="11" fillId="0" borderId="26" xfId="0" applyNumberFormat="1" applyFont="1" applyBorder="1" applyAlignment="1">
      <alignment horizontal="center" vertical="center"/>
    </xf>
    <xf numFmtId="10" fontId="11" fillId="0" borderId="26" xfId="9" applyNumberFormat="1" applyFont="1" applyBorder="1" applyAlignment="1">
      <alignment horizontal="center" vertical="center"/>
    </xf>
    <xf numFmtId="0" fontId="13" fillId="0" borderId="26" xfId="0" applyFont="1" applyBorder="1" applyAlignment="1">
      <alignment horizontal="center" vertical="center"/>
    </xf>
    <xf numFmtId="1" fontId="11" fillId="0" borderId="28" xfId="0" applyNumberFormat="1" applyFont="1" applyBorder="1" applyAlignment="1">
      <alignment horizontal="center" vertical="center"/>
    </xf>
    <xf numFmtId="10" fontId="11" fillId="0" borderId="28" xfId="9" applyNumberFormat="1" applyFont="1" applyBorder="1" applyAlignment="1">
      <alignment horizontal="center" vertical="center"/>
    </xf>
    <xf numFmtId="0" fontId="0" fillId="0" borderId="0" xfId="0" applyFill="1" applyBorder="1"/>
    <xf numFmtId="167" fontId="28" fillId="0" borderId="0" xfId="0" applyNumberFormat="1" applyFont="1" applyFill="1" applyBorder="1" applyAlignment="1">
      <alignment vertical="center"/>
    </xf>
    <xf numFmtId="167" fontId="28" fillId="0" borderId="0" xfId="0" applyNumberFormat="1" applyFont="1" applyFill="1" applyBorder="1" applyAlignment="1">
      <alignment horizontal="center" vertical="center"/>
    </xf>
    <xf numFmtId="0" fontId="13" fillId="0" borderId="17" xfId="0" applyFont="1" applyBorder="1" applyAlignment="1">
      <alignment vertical="center"/>
    </xf>
    <xf numFmtId="0" fontId="0" fillId="0" borderId="0" xfId="0" applyBorder="1"/>
    <xf numFmtId="0" fontId="9" fillId="0" borderId="26" xfId="0" applyFont="1" applyBorder="1" applyAlignment="1"/>
    <xf numFmtId="4" fontId="30" fillId="0" borderId="34" xfId="5" applyFont="1" applyBorder="1" applyAlignment="1">
      <alignment vertical="center"/>
    </xf>
    <xf numFmtId="0" fontId="32" fillId="0" borderId="0" xfId="0" applyFont="1" applyFill="1" applyBorder="1"/>
    <xf numFmtId="167" fontId="31" fillId="0" borderId="0" xfId="0" applyNumberFormat="1" applyFont="1" applyFill="1" applyBorder="1" applyAlignment="1">
      <alignment horizontal="center" vertical="center"/>
    </xf>
    <xf numFmtId="167" fontId="31" fillId="0" borderId="14" xfId="0" applyNumberFormat="1" applyFont="1" applyFill="1" applyBorder="1" applyAlignment="1">
      <alignment vertical="center"/>
    </xf>
    <xf numFmtId="0" fontId="14" fillId="0" borderId="8" xfId="0" applyFont="1" applyBorder="1" applyAlignment="1">
      <alignment vertical="center"/>
    </xf>
    <xf numFmtId="0" fontId="17" fillId="0" borderId="8" xfId="0" applyFont="1" applyBorder="1" applyAlignment="1">
      <alignment vertical="center"/>
    </xf>
    <xf numFmtId="4" fontId="24" fillId="0" borderId="23" xfId="5" applyFont="1" applyBorder="1" applyAlignment="1">
      <alignment vertical="center"/>
    </xf>
    <xf numFmtId="0" fontId="19" fillId="0" borderId="18" xfId="0" applyFont="1" applyBorder="1" applyAlignment="1">
      <alignment horizontal="center" vertical="center"/>
    </xf>
    <xf numFmtId="165" fontId="30" fillId="0" borderId="13" xfId="5" applyNumberFormat="1" applyFont="1" applyBorder="1" applyAlignment="1">
      <alignment vertical="center"/>
    </xf>
    <xf numFmtId="0" fontId="9" fillId="0" borderId="18" xfId="0" applyFont="1" applyFill="1" applyBorder="1" applyAlignment="1">
      <alignment horizontal="center"/>
    </xf>
    <xf numFmtId="0" fontId="0" fillId="0" borderId="0" xfId="0" applyAlignment="1">
      <alignment horizontal="center"/>
    </xf>
    <xf numFmtId="165" fontId="30" fillId="7" borderId="13" xfId="5" applyNumberFormat="1" applyFont="1" applyFill="1" applyBorder="1" applyAlignment="1">
      <alignment vertical="center"/>
    </xf>
    <xf numFmtId="9" fontId="30" fillId="7" borderId="13" xfId="9" applyNumberFormat="1" applyFont="1" applyFill="1" applyBorder="1" applyAlignment="1">
      <alignment vertical="center"/>
    </xf>
    <xf numFmtId="4" fontId="30" fillId="7" borderId="27" xfId="5" applyFont="1" applyFill="1" applyBorder="1" applyAlignment="1">
      <alignment vertical="center"/>
    </xf>
    <xf numFmtId="0" fontId="24" fillId="7" borderId="13" xfId="0" applyFont="1" applyFill="1" applyBorder="1" applyAlignment="1">
      <alignment vertical="center"/>
    </xf>
    <xf numFmtId="0" fontId="24" fillId="7" borderId="27" xfId="0" applyFont="1" applyFill="1" applyBorder="1" applyAlignment="1">
      <alignment vertical="center"/>
    </xf>
    <xf numFmtId="165" fontId="30" fillId="7" borderId="25" xfId="5" applyNumberFormat="1" applyFont="1" applyFill="1" applyBorder="1" applyAlignment="1">
      <alignment vertical="center"/>
    </xf>
    <xf numFmtId="0" fontId="24" fillId="7" borderId="25" xfId="0" applyFont="1" applyFill="1" applyBorder="1" applyAlignment="1">
      <alignment vertical="center"/>
    </xf>
    <xf numFmtId="0" fontId="24" fillId="7" borderId="40" xfId="0" applyFont="1" applyFill="1" applyBorder="1" applyAlignment="1">
      <alignment vertical="center"/>
    </xf>
    <xf numFmtId="0" fontId="15" fillId="0" borderId="25" xfId="0" applyFont="1" applyFill="1" applyBorder="1" applyAlignment="1">
      <alignment vertical="center"/>
    </xf>
    <xf numFmtId="0" fontId="18" fillId="0" borderId="9" xfId="0" applyFont="1" applyBorder="1" applyAlignment="1">
      <alignment horizontal="left" vertical="center"/>
    </xf>
    <xf numFmtId="0" fontId="16" fillId="0" borderId="9" xfId="0" applyFont="1" applyBorder="1" applyAlignment="1">
      <alignment vertical="center"/>
    </xf>
    <xf numFmtId="167" fontId="20" fillId="0" borderId="27" xfId="0" applyNumberFormat="1" applyFont="1" applyFill="1" applyBorder="1"/>
    <xf numFmtId="167" fontId="20" fillId="0" borderId="28" xfId="0" applyNumberFormat="1" applyFont="1" applyFill="1" applyBorder="1"/>
    <xf numFmtId="0" fontId="23" fillId="0" borderId="0" xfId="0" applyFont="1"/>
    <xf numFmtId="172" fontId="14" fillId="0" borderId="0" xfId="0" applyNumberFormat="1" applyFont="1" applyBorder="1" applyAlignment="1">
      <alignment vertical="center"/>
    </xf>
    <xf numFmtId="172" fontId="14" fillId="0" borderId="9" xfId="0" applyNumberFormat="1" applyFont="1" applyBorder="1" applyAlignment="1">
      <alignment vertical="center"/>
    </xf>
    <xf numFmtId="0" fontId="14" fillId="0" borderId="9" xfId="0" applyFont="1" applyBorder="1" applyAlignment="1">
      <alignment horizontal="center" vertical="center"/>
    </xf>
    <xf numFmtId="173" fontId="14" fillId="0" borderId="9" xfId="0" applyNumberFormat="1" applyFont="1" applyBorder="1" applyAlignment="1">
      <alignment vertical="center"/>
    </xf>
    <xf numFmtId="0" fontId="13" fillId="0" borderId="31" xfId="0" applyFont="1" applyBorder="1" applyAlignment="1">
      <alignment horizontal="center" vertical="center" wrapText="1"/>
    </xf>
    <xf numFmtId="0" fontId="13" fillId="0" borderId="55" xfId="0" applyFont="1" applyFill="1" applyBorder="1" applyAlignment="1">
      <alignment horizontal="center" vertical="center"/>
    </xf>
    <xf numFmtId="0" fontId="21" fillId="0" borderId="27" xfId="0" applyFont="1" applyFill="1" applyBorder="1" applyAlignment="1">
      <alignment horizontal="center" vertical="center"/>
    </xf>
    <xf numFmtId="0" fontId="21" fillId="0" borderId="27" xfId="0" applyFont="1" applyBorder="1" applyAlignment="1">
      <alignment horizontal="center" vertical="center"/>
    </xf>
    <xf numFmtId="0" fontId="21" fillId="0" borderId="28" xfId="0" applyFont="1" applyBorder="1" applyAlignment="1">
      <alignment horizontal="center" vertical="center"/>
    </xf>
    <xf numFmtId="0" fontId="23" fillId="0" borderId="13" xfId="0" applyFont="1" applyBorder="1"/>
    <xf numFmtId="0" fontId="23" fillId="0" borderId="0" xfId="0" applyFont="1" applyBorder="1"/>
    <xf numFmtId="0" fontId="23" fillId="0" borderId="21" xfId="0" applyFont="1" applyBorder="1"/>
    <xf numFmtId="0" fontId="23" fillId="0" borderId="17" xfId="0" applyFont="1" applyBorder="1"/>
    <xf numFmtId="0" fontId="23" fillId="0" borderId="23" xfId="0" applyFont="1" applyBorder="1"/>
    <xf numFmtId="0" fontId="23" fillId="0" borderId="26" xfId="0" applyFont="1" applyBorder="1" applyAlignment="1">
      <alignment vertical="center"/>
    </xf>
    <xf numFmtId="0" fontId="23" fillId="0" borderId="26" xfId="0" applyFont="1" applyBorder="1" applyAlignment="1">
      <alignment horizontal="center" vertical="center" wrapText="1"/>
    </xf>
    <xf numFmtId="2" fontId="23" fillId="2" borderId="26" xfId="0" applyNumberFormat="1" applyFont="1" applyFill="1" applyBorder="1" applyAlignment="1" applyProtection="1">
      <alignment vertical="center"/>
      <protection locked="0"/>
    </xf>
    <xf numFmtId="167" fontId="23" fillId="0" borderId="26" xfId="0" applyNumberFormat="1" applyFont="1" applyBorder="1" applyAlignment="1">
      <alignment vertical="center"/>
    </xf>
    <xf numFmtId="2" fontId="23" fillId="2" borderId="30" xfId="0" applyNumberFormat="1" applyFont="1" applyFill="1" applyBorder="1" applyAlignment="1" applyProtection="1">
      <alignment vertical="center"/>
      <protection locked="0"/>
    </xf>
    <xf numFmtId="2" fontId="23" fillId="0" borderId="28" xfId="0" applyNumberFormat="1" applyFont="1" applyBorder="1" applyAlignment="1">
      <alignment vertical="center"/>
    </xf>
    <xf numFmtId="10" fontId="23" fillId="0" borderId="28" xfId="0" applyNumberFormat="1" applyFont="1" applyBorder="1" applyAlignment="1">
      <alignment vertical="center"/>
    </xf>
    <xf numFmtId="167" fontId="23" fillId="0" borderId="28" xfId="0" applyNumberFormat="1" applyFont="1" applyBorder="1" applyAlignment="1">
      <alignment vertical="center"/>
    </xf>
    <xf numFmtId="0" fontId="27" fillId="0" borderId="18" xfId="0" applyFont="1" applyBorder="1"/>
    <xf numFmtId="10" fontId="23" fillId="0" borderId="30" xfId="9" applyFont="1" applyBorder="1" applyAlignment="1">
      <alignment vertical="center"/>
    </xf>
    <xf numFmtId="174" fontId="23" fillId="0" borderId="26" xfId="0" applyNumberFormat="1" applyFont="1" applyBorder="1" applyAlignment="1">
      <alignment vertical="center"/>
    </xf>
    <xf numFmtId="174" fontId="23" fillId="0" borderId="26" xfId="9" applyNumberFormat="1" applyFont="1" applyBorder="1" applyAlignment="1">
      <alignment vertical="center"/>
    </xf>
    <xf numFmtId="165" fontId="23" fillId="0" borderId="26" xfId="9" applyNumberFormat="1" applyFont="1" applyBorder="1" applyAlignment="1">
      <alignment vertical="center"/>
    </xf>
    <xf numFmtId="10" fontId="23" fillId="0" borderId="26" xfId="9" applyNumberFormat="1" applyFont="1" applyBorder="1" applyAlignment="1">
      <alignment vertical="center"/>
    </xf>
    <xf numFmtId="167" fontId="23" fillId="0" borderId="23" xfId="0" applyNumberFormat="1" applyFont="1" applyBorder="1" applyAlignment="1">
      <alignment vertical="center"/>
    </xf>
    <xf numFmtId="167" fontId="23" fillId="0" borderId="32" xfId="0" applyNumberFormat="1" applyFont="1" applyBorder="1" applyAlignment="1">
      <alignment vertical="center"/>
    </xf>
    <xf numFmtId="0" fontId="23" fillId="0" borderId="20" xfId="0" applyFont="1" applyBorder="1"/>
    <xf numFmtId="0" fontId="23" fillId="0" borderId="11" xfId="0" applyFont="1" applyBorder="1"/>
    <xf numFmtId="0" fontId="23" fillId="0" borderId="0" xfId="0" applyFont="1" applyFill="1"/>
    <xf numFmtId="4" fontId="27" fillId="0" borderId="18" xfId="0" applyNumberFormat="1" applyFont="1" applyBorder="1" applyAlignment="1">
      <alignment vertical="center"/>
    </xf>
    <xf numFmtId="4" fontId="23" fillId="5" borderId="30" xfId="0" applyNumberFormat="1" applyFont="1" applyFill="1" applyBorder="1" applyAlignment="1">
      <alignment vertical="center"/>
    </xf>
    <xf numFmtId="167" fontId="23" fillId="0" borderId="30" xfId="0" applyNumberFormat="1" applyFont="1" applyBorder="1" applyAlignment="1">
      <alignment vertical="center"/>
    </xf>
    <xf numFmtId="4" fontId="23" fillId="5" borderId="26" xfId="0" applyNumberFormat="1" applyFont="1" applyFill="1" applyBorder="1" applyAlignment="1">
      <alignment vertical="center"/>
    </xf>
    <xf numFmtId="4" fontId="27" fillId="0" borderId="13" xfId="0" applyNumberFormat="1" applyFont="1" applyBorder="1" applyAlignment="1">
      <alignment vertical="center"/>
    </xf>
    <xf numFmtId="4" fontId="27" fillId="0" borderId="0" xfId="0" applyNumberFormat="1" applyFont="1" applyBorder="1" applyAlignment="1">
      <alignment vertical="center"/>
    </xf>
    <xf numFmtId="167" fontId="27" fillId="0" borderId="27" xfId="0" applyNumberFormat="1" applyFont="1" applyBorder="1" applyAlignment="1">
      <alignment vertical="center"/>
    </xf>
    <xf numFmtId="4" fontId="27" fillId="0" borderId="19" xfId="0" applyNumberFormat="1" applyFont="1" applyBorder="1" applyAlignment="1">
      <alignment vertical="center"/>
    </xf>
    <xf numFmtId="4" fontId="27" fillId="0" borderId="19" xfId="0" applyNumberFormat="1" applyFont="1" applyBorder="1" applyAlignment="1">
      <alignment horizontal="left" vertical="center"/>
    </xf>
    <xf numFmtId="4" fontId="34" fillId="0" borderId="19" xfId="0" applyNumberFormat="1" applyFont="1" applyBorder="1" applyAlignment="1">
      <alignment horizontal="right" vertical="center"/>
    </xf>
    <xf numFmtId="172" fontId="23" fillId="0" borderId="0" xfId="0" applyNumberFormat="1" applyFont="1" applyBorder="1" applyAlignment="1">
      <alignment vertical="center"/>
    </xf>
    <xf numFmtId="0" fontId="23" fillId="0" borderId="0" xfId="0" applyFont="1" applyBorder="1" applyAlignment="1">
      <alignment horizontal="center" vertical="center"/>
    </xf>
    <xf numFmtId="172" fontId="23" fillId="0" borderId="9" xfId="0" applyNumberFormat="1" applyFont="1" applyBorder="1" applyAlignment="1">
      <alignment vertical="center"/>
    </xf>
    <xf numFmtId="0" fontId="23" fillId="0" borderId="9" xfId="0" applyFont="1" applyBorder="1" applyAlignment="1">
      <alignment vertical="center"/>
    </xf>
    <xf numFmtId="0" fontId="23" fillId="0" borderId="0" xfId="0" applyFont="1" applyFill="1" applyBorder="1"/>
    <xf numFmtId="0" fontId="23" fillId="0" borderId="18" xfId="0" applyFont="1" applyBorder="1" applyAlignment="1">
      <alignment vertical="center"/>
    </xf>
    <xf numFmtId="0" fontId="23" fillId="0" borderId="26" xfId="0" applyFont="1" applyBorder="1" applyAlignment="1">
      <alignment horizontal="center" vertical="center"/>
    </xf>
    <xf numFmtId="10" fontId="23" fillId="0" borderId="26" xfId="0" applyNumberFormat="1" applyFont="1" applyBorder="1" applyAlignment="1">
      <alignment vertical="center"/>
    </xf>
    <xf numFmtId="0" fontId="23" fillId="0" borderId="13" xfId="0" applyFont="1" applyBorder="1" applyAlignment="1">
      <alignment vertical="center"/>
    </xf>
    <xf numFmtId="4" fontId="23" fillId="5" borderId="27" xfId="0" applyNumberFormat="1" applyFont="1" applyFill="1" applyBorder="1" applyAlignment="1">
      <alignment vertical="center"/>
    </xf>
    <xf numFmtId="169" fontId="23" fillId="0" borderId="27" xfId="0" applyNumberFormat="1" applyFont="1" applyBorder="1" applyAlignment="1">
      <alignment vertical="center"/>
    </xf>
    <xf numFmtId="4" fontId="23" fillId="5" borderId="40" xfId="0" applyNumberFormat="1" applyFont="1" applyFill="1" applyBorder="1" applyAlignment="1">
      <alignment vertical="center"/>
    </xf>
    <xf numFmtId="169" fontId="23" fillId="0" borderId="40" xfId="0" applyNumberFormat="1" applyFont="1" applyBorder="1" applyAlignment="1">
      <alignment vertical="center"/>
    </xf>
    <xf numFmtId="10" fontId="23" fillId="0" borderId="23" xfId="0" applyNumberFormat="1" applyFont="1" applyBorder="1" applyAlignment="1">
      <alignment vertical="center"/>
    </xf>
    <xf numFmtId="0" fontId="27" fillId="0" borderId="18" xfId="0" applyFont="1" applyBorder="1" applyAlignment="1">
      <alignment vertical="center"/>
    </xf>
    <xf numFmtId="10" fontId="27" fillId="0" borderId="19" xfId="0" applyNumberFormat="1" applyFont="1" applyBorder="1" applyAlignment="1">
      <alignment vertical="center"/>
    </xf>
    <xf numFmtId="10" fontId="27" fillId="0" borderId="22" xfId="0" applyNumberFormat="1" applyFont="1" applyBorder="1" applyAlignment="1">
      <alignment vertical="center"/>
    </xf>
    <xf numFmtId="0" fontId="23" fillId="0" borderId="14" xfId="0" applyFont="1" applyBorder="1" applyAlignment="1">
      <alignment vertical="center"/>
    </xf>
    <xf numFmtId="9" fontId="23" fillId="0" borderId="17" xfId="0" applyNumberFormat="1" applyFont="1" applyBorder="1" applyAlignment="1">
      <alignment vertical="center"/>
    </xf>
    <xf numFmtId="2" fontId="23" fillId="0" borderId="30" xfId="0" applyNumberFormat="1" applyFont="1" applyFill="1" applyBorder="1" applyAlignment="1" applyProtection="1">
      <alignment vertical="center"/>
    </xf>
    <xf numFmtId="2" fontId="23" fillId="0" borderId="21" xfId="0" applyNumberFormat="1" applyFont="1" applyBorder="1" applyAlignment="1">
      <alignment vertical="center"/>
    </xf>
    <xf numFmtId="167" fontId="23" fillId="0" borderId="26" xfId="0" applyNumberFormat="1" applyFont="1" applyBorder="1" applyAlignment="1">
      <alignment horizontal="center" vertical="center"/>
    </xf>
    <xf numFmtId="167" fontId="23" fillId="0" borderId="18" xfId="0" applyNumberFormat="1" applyFont="1" applyBorder="1" applyAlignment="1">
      <alignment vertical="center"/>
    </xf>
    <xf numFmtId="167" fontId="23" fillId="0" borderId="22" xfId="0" applyNumberFormat="1" applyFont="1" applyBorder="1" applyAlignment="1">
      <alignment vertical="center"/>
    </xf>
    <xf numFmtId="0" fontId="23" fillId="0" borderId="30" xfId="0" applyFont="1" applyBorder="1" applyAlignment="1">
      <alignment vertical="center"/>
    </xf>
    <xf numFmtId="0" fontId="23" fillId="0" borderId="30" xfId="0" applyFont="1" applyBorder="1" applyAlignment="1">
      <alignment horizontal="center" vertical="center"/>
    </xf>
    <xf numFmtId="0" fontId="23" fillId="0" borderId="31" xfId="0" applyFont="1" applyBorder="1" applyAlignment="1">
      <alignment horizontal="center" vertical="center"/>
    </xf>
    <xf numFmtId="167" fontId="23" fillId="0" borderId="30" xfId="0" applyNumberFormat="1" applyFont="1" applyBorder="1" applyAlignment="1">
      <alignment horizontal="center" vertical="center"/>
    </xf>
    <xf numFmtId="0" fontId="27" fillId="0" borderId="21" xfId="0" applyFont="1" applyBorder="1" applyAlignment="1">
      <alignment vertical="center"/>
    </xf>
    <xf numFmtId="0" fontId="23" fillId="0" borderId="0" xfId="0" applyFont="1" applyAlignment="1">
      <alignment wrapText="1"/>
    </xf>
    <xf numFmtId="0" fontId="23" fillId="0" borderId="19" xfId="0" applyFont="1" applyBorder="1" applyAlignment="1">
      <alignment vertical="center"/>
    </xf>
    <xf numFmtId="4" fontId="23" fillId="0" borderId="25" xfId="0" applyNumberFormat="1" applyFont="1" applyBorder="1" applyAlignment="1">
      <alignment vertical="center"/>
    </xf>
    <xf numFmtId="4" fontId="23" fillId="0" borderId="9" xfId="0" applyNumberFormat="1" applyFont="1" applyBorder="1" applyAlignment="1">
      <alignment vertical="center"/>
    </xf>
    <xf numFmtId="4" fontId="23" fillId="0" borderId="13" xfId="0" applyNumberFormat="1" applyFont="1" applyBorder="1" applyAlignment="1">
      <alignment vertical="center"/>
    </xf>
    <xf numFmtId="4" fontId="23" fillId="0" borderId="0" xfId="0" applyNumberFormat="1" applyFont="1" applyBorder="1" applyAlignment="1">
      <alignment vertical="center"/>
    </xf>
    <xf numFmtId="10" fontId="23" fillId="0" borderId="27" xfId="0" applyNumberFormat="1" applyFont="1" applyBorder="1" applyAlignment="1">
      <alignment vertical="center"/>
    </xf>
    <xf numFmtId="10" fontId="23" fillId="0" borderId="40" xfId="0" applyNumberFormat="1" applyFont="1" applyBorder="1" applyAlignment="1">
      <alignment vertical="center"/>
    </xf>
    <xf numFmtId="0" fontId="23" fillId="0" borderId="33" xfId="0" applyFont="1" applyBorder="1" applyAlignment="1">
      <alignment vertical="center"/>
    </xf>
    <xf numFmtId="0" fontId="23" fillId="0" borderId="8" xfId="0" applyFont="1" applyBorder="1" applyAlignment="1">
      <alignment vertical="center"/>
    </xf>
    <xf numFmtId="0" fontId="27" fillId="0" borderId="17" xfId="0" applyFont="1" applyBorder="1" applyAlignment="1">
      <alignment vertical="center"/>
    </xf>
    <xf numFmtId="167" fontId="34" fillId="0" borderId="18" xfId="0" applyNumberFormat="1" applyFont="1" applyBorder="1" applyAlignment="1">
      <alignment horizontal="center" vertical="center"/>
    </xf>
    <xf numFmtId="0" fontId="23" fillId="0" borderId="27" xfId="0" applyFont="1" applyBorder="1" applyAlignment="1">
      <alignment vertical="center"/>
    </xf>
    <xf numFmtId="0" fontId="23" fillId="0" borderId="29" xfId="0" applyFont="1" applyBorder="1" applyAlignment="1">
      <alignment vertical="center"/>
    </xf>
    <xf numFmtId="0" fontId="23" fillId="0" borderId="28" xfId="0" applyFont="1" applyBorder="1" applyAlignment="1">
      <alignment vertical="center"/>
    </xf>
    <xf numFmtId="0" fontId="27" fillId="0" borderId="26" xfId="0" applyFont="1" applyBorder="1" applyAlignment="1">
      <alignment horizontal="center" vertical="center"/>
    </xf>
    <xf numFmtId="167" fontId="23" fillId="0" borderId="17" xfId="0" applyNumberFormat="1" applyFont="1" applyBorder="1" applyAlignment="1">
      <alignment vertical="center"/>
    </xf>
    <xf numFmtId="167" fontId="23" fillId="0" borderId="18" xfId="0" applyNumberFormat="1" applyFont="1" applyBorder="1" applyAlignment="1">
      <alignment horizontal="center" vertical="center"/>
    </xf>
    <xf numFmtId="167" fontId="23" fillId="0" borderId="31" xfId="0" applyNumberFormat="1" applyFont="1" applyBorder="1" applyAlignment="1">
      <alignment horizontal="center" vertical="center"/>
    </xf>
    <xf numFmtId="0" fontId="34" fillId="0" borderId="11" xfId="0" applyFont="1" applyBorder="1" applyAlignment="1">
      <alignment horizontal="center" vertical="center"/>
    </xf>
    <xf numFmtId="10" fontId="27" fillId="0" borderId="0" xfId="0" applyNumberFormat="1" applyFont="1" applyBorder="1"/>
    <xf numFmtId="0" fontId="37" fillId="0" borderId="29" xfId="0" applyFont="1" applyBorder="1" applyAlignment="1">
      <alignment vertical="top"/>
    </xf>
    <xf numFmtId="170" fontId="2" fillId="0" borderId="28" xfId="0" applyNumberFormat="1" applyFont="1" applyBorder="1" applyAlignment="1">
      <alignment horizontal="left" vertical="top"/>
    </xf>
    <xf numFmtId="0" fontId="11" fillId="0" borderId="13" xfId="0" applyFont="1" applyBorder="1" applyAlignment="1">
      <alignment horizontal="left" vertical="center"/>
    </xf>
    <xf numFmtId="0" fontId="11" fillId="0" borderId="21" xfId="0" applyFont="1" applyBorder="1" applyAlignment="1">
      <alignment horizontal="center" vertical="center"/>
    </xf>
    <xf numFmtId="2" fontId="23" fillId="0" borderId="26" xfId="0" applyNumberFormat="1" applyFont="1" applyFill="1" applyBorder="1" applyAlignment="1" applyProtection="1">
      <alignment horizontal="right" vertical="center"/>
    </xf>
    <xf numFmtId="2" fontId="23" fillId="0" borderId="30" xfId="0" applyNumberFormat="1" applyFont="1" applyFill="1" applyBorder="1" applyAlignment="1" applyProtection="1">
      <alignment horizontal="right" vertical="center"/>
    </xf>
    <xf numFmtId="0" fontId="21" fillId="0" borderId="13" xfId="0" applyFont="1" applyBorder="1" applyAlignment="1">
      <alignment horizontal="center" vertical="center"/>
    </xf>
    <xf numFmtId="0" fontId="21" fillId="0" borderId="13" xfId="0" applyFont="1" applyFill="1" applyBorder="1" applyAlignment="1">
      <alignment horizontal="center" vertical="center"/>
    </xf>
    <xf numFmtId="0" fontId="27" fillId="0" borderId="17" xfId="0" applyFont="1" applyBorder="1" applyAlignment="1">
      <alignment horizontal="center" vertical="center"/>
    </xf>
    <xf numFmtId="165" fontId="45" fillId="0" borderId="13" xfId="5" applyNumberFormat="1" applyFont="1" applyBorder="1" applyAlignment="1">
      <alignment vertical="center"/>
    </xf>
    <xf numFmtId="2" fontId="45" fillId="0" borderId="27" xfId="0" applyNumberFormat="1" applyFont="1" applyBorder="1" applyAlignment="1">
      <alignment vertical="center"/>
    </xf>
    <xf numFmtId="0" fontId="45" fillId="0" borderId="14" xfId="0" applyFont="1" applyBorder="1" applyAlignment="1">
      <alignment vertical="center"/>
    </xf>
    <xf numFmtId="0" fontId="45" fillId="0" borderId="27" xfId="0" applyFont="1" applyBorder="1" applyAlignment="1">
      <alignment vertical="center"/>
    </xf>
    <xf numFmtId="0" fontId="45" fillId="0" borderId="0" xfId="0" applyFont="1" applyBorder="1" applyAlignment="1">
      <alignment vertical="center"/>
    </xf>
    <xf numFmtId="0" fontId="45" fillId="0" borderId="9" xfId="0" applyFont="1" applyBorder="1" applyAlignment="1">
      <alignment vertical="center"/>
    </xf>
    <xf numFmtId="0" fontId="45" fillId="0" borderId="40" xfId="0" applyFont="1" applyBorder="1" applyAlignment="1">
      <alignment vertical="center"/>
    </xf>
    <xf numFmtId="0" fontId="20" fillId="0" borderId="26" xfId="0" applyFont="1" applyFill="1" applyBorder="1" applyAlignment="1">
      <alignment horizontal="center" vertical="top" wrapText="1"/>
    </xf>
    <xf numFmtId="175" fontId="23" fillId="0" borderId="26" xfId="15" applyNumberFormat="1" applyFont="1" applyBorder="1" applyAlignment="1">
      <alignment vertical="center"/>
    </xf>
    <xf numFmtId="10" fontId="23" fillId="0" borderId="43" xfId="0" applyNumberFormat="1" applyFont="1" applyBorder="1" applyAlignment="1">
      <alignment vertical="center"/>
    </xf>
    <xf numFmtId="0" fontId="23" fillId="0" borderId="0" xfId="0" applyFont="1" applyBorder="1" applyAlignment="1">
      <alignment horizontal="center" vertical="center" wrapText="1"/>
    </xf>
    <xf numFmtId="0" fontId="23" fillId="0" borderId="0" xfId="0" applyFont="1" applyBorder="1" applyAlignment="1">
      <alignment horizontal="center" wrapText="1"/>
    </xf>
    <xf numFmtId="0" fontId="23" fillId="0" borderId="18" xfId="0" applyFont="1" applyBorder="1"/>
    <xf numFmtId="10" fontId="23" fillId="0" borderId="0" xfId="9" applyNumberFormat="1" applyFont="1" applyFill="1" applyBorder="1"/>
    <xf numFmtId="10" fontId="27" fillId="0" borderId="0" xfId="0" applyNumberFormat="1" applyFont="1" applyFill="1" applyBorder="1"/>
    <xf numFmtId="4" fontId="27" fillId="0" borderId="8" xfId="0" applyNumberFormat="1" applyFont="1" applyBorder="1" applyAlignment="1">
      <alignment vertical="center"/>
    </xf>
    <xf numFmtId="0" fontId="23" fillId="0" borderId="18" xfId="0" applyFont="1" applyBorder="1" applyAlignment="1">
      <alignment horizontal="center" vertical="center" wrapText="1"/>
    </xf>
    <xf numFmtId="167" fontId="23" fillId="0" borderId="31" xfId="0" applyNumberFormat="1" applyFont="1" applyBorder="1" applyAlignment="1">
      <alignment vertical="center"/>
    </xf>
    <xf numFmtId="167" fontId="23" fillId="0" borderId="21" xfId="0" applyNumberFormat="1" applyFont="1" applyBorder="1" applyAlignment="1">
      <alignment vertical="center"/>
    </xf>
    <xf numFmtId="0" fontId="34" fillId="0" borderId="11" xfId="0" applyFont="1" applyFill="1" applyBorder="1" applyAlignment="1">
      <alignment horizontal="center" vertical="center"/>
    </xf>
    <xf numFmtId="10" fontId="23" fillId="0" borderId="18" xfId="9" applyNumberFormat="1" applyFont="1" applyBorder="1" applyAlignment="1">
      <alignment vertical="center"/>
    </xf>
    <xf numFmtId="10" fontId="27" fillId="0" borderId="8" xfId="9" applyNumberFormat="1" applyFont="1" applyBorder="1" applyAlignment="1">
      <alignment vertical="center"/>
    </xf>
    <xf numFmtId="167" fontId="23" fillId="0" borderId="13" xfId="0" applyNumberFormat="1" applyFont="1" applyBorder="1" applyAlignment="1">
      <alignment vertical="center"/>
    </xf>
    <xf numFmtId="167" fontId="23" fillId="0" borderId="25" xfId="0" applyNumberFormat="1" applyFont="1" applyBorder="1" applyAlignment="1">
      <alignment vertical="center"/>
    </xf>
    <xf numFmtId="10" fontId="27" fillId="0" borderId="21" xfId="9" applyNumberFormat="1" applyFont="1" applyBorder="1" applyAlignment="1">
      <alignment vertical="center"/>
    </xf>
    <xf numFmtId="165" fontId="23" fillId="0" borderId="0" xfId="9" applyNumberFormat="1" applyFont="1" applyFill="1" applyBorder="1" applyAlignment="1">
      <alignment vertical="center"/>
    </xf>
    <xf numFmtId="2" fontId="23" fillId="0" borderId="26" xfId="0" applyNumberFormat="1" applyFont="1" applyBorder="1" applyAlignment="1">
      <alignment horizontal="center" vertical="center"/>
    </xf>
    <xf numFmtId="2" fontId="34" fillId="0" borderId="22" xfId="0" applyNumberFormat="1" applyFont="1" applyBorder="1" applyAlignment="1">
      <alignment horizontal="center" vertical="center"/>
    </xf>
    <xf numFmtId="2" fontId="23" fillId="0" borderId="18" xfId="0" applyNumberFormat="1" applyFont="1" applyBorder="1" applyAlignment="1">
      <alignment horizontal="center" vertical="center"/>
    </xf>
    <xf numFmtId="0" fontId="23" fillId="0" borderId="28" xfId="0" applyFont="1" applyBorder="1" applyAlignment="1">
      <alignment horizontal="center" vertical="center"/>
    </xf>
    <xf numFmtId="0" fontId="27" fillId="0" borderId="17" xfId="0" applyFont="1" applyBorder="1" applyAlignment="1">
      <alignment horizontal="left"/>
    </xf>
    <xf numFmtId="0" fontId="11" fillId="0" borderId="13" xfId="0" applyFont="1" applyBorder="1" applyAlignment="1">
      <alignment horizontal="left" vertical="center"/>
    </xf>
    <xf numFmtId="179" fontId="34" fillId="3" borderId="11" xfId="0" applyNumberFormat="1" applyFont="1" applyFill="1" applyBorder="1" applyAlignment="1" applyProtection="1">
      <alignment horizontal="center" vertical="center"/>
      <protection locked="0"/>
    </xf>
    <xf numFmtId="0" fontId="34" fillId="0" borderId="0" xfId="0" applyFont="1" applyFill="1" applyBorder="1" applyAlignment="1" applyProtection="1">
      <alignment horizontal="center" vertical="center"/>
    </xf>
    <xf numFmtId="179" fontId="34" fillId="3" borderId="26" xfId="0" applyNumberFormat="1" applyFont="1" applyFill="1" applyBorder="1" applyAlignment="1" applyProtection="1">
      <alignment horizontal="center" vertical="center"/>
      <protection locked="0"/>
    </xf>
    <xf numFmtId="0" fontId="16" fillId="0" borderId="19" xfId="0" applyFont="1" applyBorder="1" applyAlignment="1">
      <alignment horizontal="right" vertical="center"/>
    </xf>
    <xf numFmtId="167" fontId="23" fillId="0" borderId="17" xfId="0" applyNumberFormat="1" applyFont="1" applyBorder="1" applyAlignment="1">
      <alignment horizontal="center" vertical="center"/>
    </xf>
    <xf numFmtId="0" fontId="27" fillId="0" borderId="0" xfId="0" applyFont="1" applyBorder="1" applyAlignment="1">
      <alignment horizontal="center" vertical="center"/>
    </xf>
    <xf numFmtId="10" fontId="27" fillId="0" borderId="27" xfId="9" applyFont="1" applyBorder="1" applyAlignment="1">
      <alignment vertical="center"/>
    </xf>
    <xf numFmtId="167" fontId="23" fillId="0" borderId="0" xfId="0" applyNumberFormat="1" applyFont="1" applyBorder="1" applyAlignment="1">
      <alignment horizontal="center" vertical="center"/>
    </xf>
    <xf numFmtId="10" fontId="34" fillId="0" borderId="28" xfId="9" applyFont="1" applyBorder="1" applyAlignment="1">
      <alignment horizontal="center" vertical="center"/>
    </xf>
    <xf numFmtId="0" fontId="27" fillId="0" borderId="13" xfId="0" applyFont="1" applyBorder="1" applyAlignment="1">
      <alignment vertical="center"/>
    </xf>
    <xf numFmtId="0" fontId="23" fillId="0" borderId="13" xfId="0" applyFont="1" applyBorder="1" applyAlignment="1">
      <alignment horizontal="center" vertical="center"/>
    </xf>
    <xf numFmtId="167" fontId="23" fillId="0" borderId="27" xfId="0" applyNumberFormat="1" applyFont="1" applyBorder="1" applyAlignment="1">
      <alignment horizontal="center" vertical="center"/>
    </xf>
    <xf numFmtId="167" fontId="23" fillId="0" borderId="13" xfId="0" applyNumberFormat="1" applyFont="1" applyBorder="1" applyAlignment="1">
      <alignment horizontal="center" vertical="center"/>
    </xf>
    <xf numFmtId="10" fontId="16" fillId="0" borderId="22" xfId="9" applyFont="1" applyBorder="1" applyAlignment="1">
      <alignment vertical="center"/>
    </xf>
    <xf numFmtId="0" fontId="9" fillId="0" borderId="26" xfId="0" applyFont="1" applyFill="1" applyBorder="1" applyAlignment="1">
      <alignment horizontal="center"/>
    </xf>
    <xf numFmtId="4" fontId="23" fillId="0" borderId="6" xfId="0" applyNumberFormat="1" applyFont="1" applyBorder="1" applyAlignment="1">
      <alignment vertical="center"/>
    </xf>
    <xf numFmtId="10" fontId="34" fillId="0" borderId="43" xfId="9" applyNumberFormat="1" applyFont="1" applyFill="1" applyBorder="1" applyAlignment="1">
      <alignment horizontal="center" vertical="center"/>
    </xf>
    <xf numFmtId="10" fontId="23" fillId="0" borderId="42" xfId="9" applyNumberFormat="1" applyFont="1" applyFill="1" applyBorder="1" applyAlignment="1" applyProtection="1">
      <alignment vertical="center"/>
    </xf>
    <xf numFmtId="167" fontId="23" fillId="0" borderId="26" xfId="0" applyNumberFormat="1" applyFont="1" applyBorder="1" applyAlignment="1" applyProtection="1">
      <alignment vertical="center"/>
    </xf>
    <xf numFmtId="167" fontId="23" fillId="0" borderId="30" xfId="0" applyNumberFormat="1" applyFont="1" applyBorder="1" applyAlignment="1" applyProtection="1">
      <alignment vertical="center"/>
    </xf>
    <xf numFmtId="167" fontId="23" fillId="0" borderId="40" xfId="0" applyNumberFormat="1" applyFont="1" applyBorder="1" applyAlignment="1" applyProtection="1">
      <alignment vertical="center"/>
    </xf>
    <xf numFmtId="167" fontId="23" fillId="0" borderId="40" xfId="0" applyNumberFormat="1" applyFont="1" applyBorder="1" applyAlignment="1">
      <alignment vertical="center"/>
    </xf>
    <xf numFmtId="167" fontId="23" fillId="0" borderId="34" xfId="0" applyNumberFormat="1" applyFont="1" applyBorder="1" applyAlignment="1">
      <alignment vertical="center"/>
    </xf>
    <xf numFmtId="169" fontId="23" fillId="0" borderId="19" xfId="0" applyNumberFormat="1" applyFont="1" applyFill="1" applyBorder="1"/>
    <xf numFmtId="178" fontId="23" fillId="0" borderId="26" xfId="0" applyNumberFormat="1" applyFont="1" applyBorder="1" applyAlignment="1">
      <alignment vertical="center"/>
    </xf>
    <xf numFmtId="0" fontId="20" fillId="0" borderId="0" xfId="0" applyFont="1" applyBorder="1"/>
    <xf numFmtId="0" fontId="20" fillId="0" borderId="14" xfId="0" applyFont="1" applyBorder="1"/>
    <xf numFmtId="10" fontId="27" fillId="0" borderId="28" xfId="9" applyFont="1" applyBorder="1" applyAlignment="1">
      <alignment vertical="center"/>
    </xf>
    <xf numFmtId="10" fontId="27" fillId="0" borderId="23" xfId="0" applyNumberFormat="1" applyFont="1" applyBorder="1"/>
    <xf numFmtId="0" fontId="27" fillId="0" borderId="21" xfId="0" applyFont="1" applyBorder="1" applyAlignment="1">
      <alignment horizontal="left"/>
    </xf>
    <xf numFmtId="0" fontId="23" fillId="0" borderId="13" xfId="0" applyFont="1" applyFill="1" applyBorder="1"/>
    <xf numFmtId="0" fontId="12" fillId="0" borderId="23" xfId="0" applyFont="1" applyBorder="1" applyAlignment="1">
      <alignment horizontal="center" vertical="center"/>
    </xf>
    <xf numFmtId="9" fontId="14" fillId="0" borderId="34" xfId="9" applyNumberFormat="1" applyFont="1" applyBorder="1" applyAlignment="1">
      <alignment horizontal="right" vertical="center"/>
    </xf>
    <xf numFmtId="4" fontId="45" fillId="0" borderId="34" xfId="5" applyFont="1" applyBorder="1" applyAlignment="1">
      <alignment vertical="center"/>
    </xf>
    <xf numFmtId="0" fontId="14" fillId="0" borderId="33" xfId="0" applyFont="1" applyBorder="1" applyAlignment="1">
      <alignment vertical="center"/>
    </xf>
    <xf numFmtId="0" fontId="23" fillId="9" borderId="26" xfId="0" applyFont="1" applyFill="1" applyBorder="1"/>
    <xf numFmtId="4" fontId="23" fillId="0" borderId="8" xfId="0" applyNumberFormat="1" applyFont="1" applyBorder="1" applyAlignment="1">
      <alignment vertical="center"/>
    </xf>
    <xf numFmtId="4" fontId="23" fillId="5" borderId="8" xfId="0" applyNumberFormat="1" applyFont="1" applyFill="1" applyBorder="1" applyAlignment="1">
      <alignment vertical="center"/>
    </xf>
    <xf numFmtId="10" fontId="27" fillId="0" borderId="0" xfId="0" applyNumberFormat="1" applyFont="1" applyBorder="1" applyAlignment="1">
      <alignment vertical="center"/>
    </xf>
    <xf numFmtId="0" fontId="11" fillId="0" borderId="18" xfId="0" applyFont="1" applyBorder="1" applyAlignment="1">
      <alignment vertical="center"/>
    </xf>
    <xf numFmtId="167" fontId="23" fillId="0" borderId="27" xfId="0" applyNumberFormat="1" applyFont="1" applyBorder="1" applyAlignment="1">
      <alignment vertical="center"/>
    </xf>
    <xf numFmtId="175" fontId="23" fillId="0" borderId="30" xfId="15" applyNumberFormat="1" applyFont="1" applyBorder="1" applyAlignment="1">
      <alignment vertical="center"/>
    </xf>
    <xf numFmtId="0" fontId="23" fillId="9" borderId="30" xfId="0" applyFont="1" applyFill="1" applyBorder="1"/>
    <xf numFmtId="174" fontId="23" fillId="0" borderId="29" xfId="9" applyNumberFormat="1" applyFont="1" applyBorder="1" applyAlignment="1">
      <alignment vertical="center"/>
    </xf>
    <xf numFmtId="4" fontId="23" fillId="5" borderId="26" xfId="0" applyNumberFormat="1" applyFont="1" applyFill="1" applyBorder="1" applyAlignment="1">
      <alignment horizontal="center" vertical="center"/>
    </xf>
    <xf numFmtId="0" fontId="27" fillId="0" borderId="20" xfId="0" applyFont="1" applyBorder="1" applyAlignment="1">
      <alignment vertical="center"/>
    </xf>
    <xf numFmtId="10" fontId="27" fillId="0" borderId="11" xfId="0" applyNumberFormat="1" applyFont="1" applyBorder="1" applyAlignment="1">
      <alignment vertical="center"/>
    </xf>
    <xf numFmtId="0" fontId="20" fillId="0" borderId="11" xfId="0" applyFont="1" applyBorder="1"/>
    <xf numFmtId="0" fontId="20" fillId="0" borderId="24" xfId="0" applyFont="1" applyBorder="1"/>
    <xf numFmtId="0" fontId="20" fillId="0" borderId="17" xfId="0" applyFont="1" applyBorder="1"/>
    <xf numFmtId="0" fontId="20" fillId="0" borderId="23" xfId="0" applyFont="1" applyBorder="1"/>
    <xf numFmtId="0" fontId="23" fillId="4" borderId="13" xfId="0" applyFont="1" applyFill="1" applyBorder="1"/>
    <xf numFmtId="0" fontId="29" fillId="0" borderId="0" xfId="0" applyFont="1" applyFill="1" applyBorder="1" applyAlignment="1">
      <alignment horizontal="center" vertical="center"/>
    </xf>
    <xf numFmtId="0" fontId="12" fillId="0" borderId="22" xfId="0" applyFont="1" applyBorder="1" applyAlignment="1">
      <alignment horizontal="center" vertical="center"/>
    </xf>
    <xf numFmtId="0" fontId="56" fillId="0" borderId="24" xfId="0" applyFont="1" applyBorder="1" applyAlignment="1">
      <alignment horizontal="center" vertical="center"/>
    </xf>
    <xf numFmtId="0" fontId="56" fillId="0" borderId="23" xfId="0" applyFont="1" applyBorder="1" applyAlignment="1">
      <alignment horizontal="center" vertical="center"/>
    </xf>
    <xf numFmtId="0" fontId="11" fillId="0" borderId="18" xfId="0" applyFont="1" applyBorder="1" applyAlignment="1">
      <alignment horizontal="center" vertical="center" wrapText="1"/>
    </xf>
    <xf numFmtId="0" fontId="13" fillId="0" borderId="27" xfId="0" applyFont="1" applyBorder="1" applyAlignment="1">
      <alignment horizontal="center" vertical="center"/>
    </xf>
    <xf numFmtId="0" fontId="10" fillId="0" borderId="0" xfId="0" applyFont="1" applyBorder="1" applyAlignment="1">
      <alignment vertical="center"/>
    </xf>
    <xf numFmtId="9" fontId="45" fillId="0" borderId="0" xfId="9" applyNumberFormat="1" applyFont="1" applyBorder="1"/>
    <xf numFmtId="0" fontId="0" fillId="0" borderId="14" xfId="0" applyFill="1" applyBorder="1"/>
    <xf numFmtId="182" fontId="20" fillId="0" borderId="13" xfId="0" applyNumberFormat="1" applyFont="1" applyFill="1" applyBorder="1" applyProtection="1"/>
    <xf numFmtId="182" fontId="20" fillId="0" borderId="0" xfId="0" applyNumberFormat="1" applyFont="1" applyFill="1" applyBorder="1" applyAlignment="1" applyProtection="1">
      <alignment horizontal="center"/>
    </xf>
    <xf numFmtId="0" fontId="25" fillId="0" borderId="18" xfId="0" applyFont="1" applyBorder="1"/>
    <xf numFmtId="0" fontId="25" fillId="0" borderId="26" xfId="0" applyFont="1" applyBorder="1" applyAlignment="1">
      <alignment horizontal="center" vertical="top" wrapText="1"/>
    </xf>
    <xf numFmtId="9" fontId="20" fillId="10" borderId="29" xfId="0" quotePrefix="1" applyNumberFormat="1" applyFont="1" applyFill="1" applyBorder="1" applyProtection="1">
      <protection locked="0"/>
    </xf>
    <xf numFmtId="9" fontId="20" fillId="10" borderId="27" xfId="0" quotePrefix="1" applyNumberFormat="1" applyFont="1" applyFill="1" applyBorder="1" applyProtection="1">
      <protection locked="0"/>
    </xf>
    <xf numFmtId="9" fontId="20" fillId="10" borderId="28" xfId="0" quotePrefix="1" applyNumberFormat="1" applyFont="1" applyFill="1" applyBorder="1" applyProtection="1">
      <protection locked="0"/>
    </xf>
    <xf numFmtId="183" fontId="20" fillId="0" borderId="29" xfId="0" applyNumberFormat="1" applyFont="1" applyFill="1" applyBorder="1" applyProtection="1"/>
    <xf numFmtId="183" fontId="20" fillId="0" borderId="27" xfId="0" applyNumberFormat="1" applyFont="1" applyFill="1" applyBorder="1" applyProtection="1"/>
    <xf numFmtId="183" fontId="20" fillId="0" borderId="28" xfId="0" applyNumberFormat="1" applyFont="1" applyFill="1" applyBorder="1" applyProtection="1"/>
    <xf numFmtId="9" fontId="20" fillId="0" borderId="27" xfId="10" applyNumberFormat="1" applyFont="1" applyFill="1" applyBorder="1" applyProtection="1"/>
    <xf numFmtId="0" fontId="25" fillId="0" borderId="26" xfId="0" applyFont="1" applyFill="1" applyBorder="1"/>
    <xf numFmtId="0" fontId="25" fillId="0" borderId="26" xfId="0" applyFont="1" applyFill="1" applyBorder="1" applyAlignment="1">
      <alignment horizontal="center"/>
    </xf>
    <xf numFmtId="182" fontId="20" fillId="0" borderId="20" xfId="0" applyNumberFormat="1" applyFont="1" applyFill="1" applyBorder="1" applyProtection="1"/>
    <xf numFmtId="182" fontId="20" fillId="0" borderId="21" xfId="0" applyNumberFormat="1" applyFont="1" applyFill="1" applyBorder="1" applyProtection="1"/>
    <xf numFmtId="167" fontId="25" fillId="0" borderId="27" xfId="0" applyNumberFormat="1" applyFont="1" applyFill="1" applyBorder="1"/>
    <xf numFmtId="0" fontId="20" fillId="0" borderId="26" xfId="0" applyFont="1" applyBorder="1"/>
    <xf numFmtId="0" fontId="25" fillId="0" borderId="26" xfId="0" applyFont="1" applyBorder="1" applyAlignment="1" applyProtection="1">
      <alignment horizontal="center"/>
    </xf>
    <xf numFmtId="0" fontId="25" fillId="0" borderId="26" xfId="0" applyFont="1" applyBorder="1" applyProtection="1"/>
    <xf numFmtId="0" fontId="20" fillId="0" borderId="26" xfId="0" applyFont="1" applyBorder="1" applyAlignment="1">
      <alignment horizontal="center"/>
    </xf>
    <xf numFmtId="0" fontId="25" fillId="0" borderId="26" xfId="0" applyFont="1" applyBorder="1"/>
    <xf numFmtId="10" fontId="20" fillId="0" borderId="27" xfId="10" applyNumberFormat="1" applyFont="1" applyFill="1" applyBorder="1" applyProtection="1"/>
    <xf numFmtId="10" fontId="37" fillId="0" borderId="28" xfId="19" applyNumberFormat="1" applyFont="1" applyBorder="1" applyAlignment="1">
      <alignment horizontal="right" vertical="center"/>
    </xf>
    <xf numFmtId="10" fontId="23" fillId="0" borderId="26" xfId="9" applyNumberFormat="1" applyFont="1" applyFill="1" applyBorder="1" applyAlignment="1">
      <alignment horizontal="right"/>
    </xf>
    <xf numFmtId="10" fontId="2" fillId="0" borderId="26" xfId="19" applyNumberFormat="1" applyFont="1" applyBorder="1" applyAlignment="1">
      <alignment horizontal="right" vertical="center"/>
    </xf>
    <xf numFmtId="167" fontId="25" fillId="0" borderId="27" xfId="0" applyNumberFormat="1" applyFont="1" applyBorder="1"/>
    <xf numFmtId="10" fontId="23" fillId="0" borderId="24" xfId="9" applyNumberFormat="1" applyFont="1" applyFill="1" applyBorder="1"/>
    <xf numFmtId="10" fontId="23" fillId="0" borderId="14" xfId="9" applyNumberFormat="1" applyFont="1" applyFill="1" applyBorder="1"/>
    <xf numFmtId="10" fontId="23" fillId="0" borderId="23" xfId="9" applyNumberFormat="1" applyFont="1" applyFill="1" applyBorder="1"/>
    <xf numFmtId="0" fontId="23" fillId="0" borderId="24" xfId="0" applyFont="1" applyBorder="1" applyAlignment="1">
      <alignment horizontal="center" wrapText="1"/>
    </xf>
    <xf numFmtId="0" fontId="27" fillId="0" borderId="29" xfId="0" applyFont="1" applyBorder="1"/>
    <xf numFmtId="49" fontId="23" fillId="0" borderId="29" xfId="9" applyNumberFormat="1" applyFont="1" applyFill="1" applyBorder="1"/>
    <xf numFmtId="49" fontId="23" fillId="0" borderId="27" xfId="9" applyNumberFormat="1" applyFont="1" applyFill="1" applyBorder="1"/>
    <xf numFmtId="49" fontId="23" fillId="0" borderId="28" xfId="9" applyNumberFormat="1" applyFont="1" applyFill="1" applyBorder="1"/>
    <xf numFmtId="0" fontId="27" fillId="0" borderId="28" xfId="0" applyFont="1" applyBorder="1"/>
    <xf numFmtId="14" fontId="20" fillId="0" borderId="19" xfId="0" applyNumberFormat="1" applyFont="1" applyBorder="1"/>
    <xf numFmtId="0" fontId="13" fillId="0" borderId="18" xfId="0" applyFont="1" applyBorder="1" applyAlignment="1">
      <alignment horizontal="center" vertical="center"/>
    </xf>
    <xf numFmtId="16" fontId="13" fillId="0" borderId="53" xfId="0" quotePrefix="1" applyNumberFormat="1" applyFont="1" applyFill="1" applyBorder="1" applyAlignment="1">
      <alignment horizontal="center" vertical="center"/>
    </xf>
    <xf numFmtId="2" fontId="23" fillId="2" borderId="28" xfId="0" applyNumberFormat="1" applyFont="1" applyFill="1" applyBorder="1" applyAlignment="1" applyProtection="1">
      <alignment vertical="center"/>
      <protection locked="0"/>
    </xf>
    <xf numFmtId="0" fontId="23" fillId="0" borderId="30" xfId="0" applyFont="1" applyBorder="1" applyAlignment="1">
      <alignment horizontal="center" vertical="center" wrapText="1"/>
    </xf>
    <xf numFmtId="174" fontId="23" fillId="0" borderId="28" xfId="0" applyNumberFormat="1" applyFont="1" applyBorder="1" applyAlignment="1">
      <alignment vertical="center"/>
    </xf>
    <xf numFmtId="174" fontId="23" fillId="0" borderId="28" xfId="9" applyNumberFormat="1" applyFont="1" applyBorder="1" applyAlignment="1">
      <alignment vertical="center"/>
    </xf>
    <xf numFmtId="165" fontId="23" fillId="0" borderId="28" xfId="9" applyNumberFormat="1" applyFont="1" applyBorder="1" applyAlignment="1">
      <alignment vertical="center"/>
    </xf>
    <xf numFmtId="10" fontId="23" fillId="0" borderId="28" xfId="9" applyNumberFormat="1" applyFont="1" applyBorder="1" applyAlignment="1">
      <alignment vertical="center"/>
    </xf>
    <xf numFmtId="4" fontId="34" fillId="0" borderId="30" xfId="0" quotePrefix="1" applyNumberFormat="1" applyFont="1" applyBorder="1" applyAlignment="1">
      <alignment horizontal="center" vertical="center" wrapText="1"/>
    </xf>
    <xf numFmtId="10" fontId="23" fillId="2" borderId="40" xfId="9" applyFont="1" applyFill="1" applyBorder="1" applyAlignment="1" applyProtection="1">
      <alignment vertical="center"/>
      <protection locked="0"/>
    </xf>
    <xf numFmtId="9" fontId="23" fillId="2" borderId="28" xfId="9" applyNumberFormat="1" applyFont="1" applyFill="1" applyBorder="1" applyAlignment="1" applyProtection="1">
      <alignment vertical="center"/>
      <protection locked="0"/>
    </xf>
    <xf numFmtId="9" fontId="23" fillId="2" borderId="26" xfId="9" applyNumberFormat="1" applyFont="1" applyFill="1" applyBorder="1" applyAlignment="1" applyProtection="1">
      <alignment vertical="center"/>
      <protection locked="0"/>
    </xf>
    <xf numFmtId="9" fontId="23" fillId="2" borderId="29" xfId="9" applyNumberFormat="1" applyFont="1" applyFill="1" applyBorder="1" applyAlignment="1" applyProtection="1">
      <alignment vertical="center"/>
      <protection locked="0"/>
    </xf>
    <xf numFmtId="9" fontId="23" fillId="2" borderId="30" xfId="9" applyNumberFormat="1" applyFont="1" applyFill="1" applyBorder="1" applyAlignment="1" applyProtection="1">
      <alignment vertical="center"/>
      <protection locked="0"/>
    </xf>
    <xf numFmtId="10" fontId="23" fillId="2" borderId="30" xfId="9" applyNumberFormat="1" applyFont="1" applyFill="1" applyBorder="1" applyAlignment="1" applyProtection="1">
      <alignment vertical="center"/>
      <protection locked="0"/>
    </xf>
    <xf numFmtId="174" fontId="23" fillId="0" borderId="28" xfId="0" applyNumberFormat="1" applyFont="1" applyBorder="1" applyAlignment="1" applyProtection="1">
      <alignment vertical="center"/>
    </xf>
    <xf numFmtId="2" fontId="23" fillId="0" borderId="28" xfId="0" applyNumberFormat="1" applyFont="1" applyFill="1" applyBorder="1" applyAlignment="1" applyProtection="1">
      <alignment horizontal="right" vertical="center"/>
    </xf>
    <xf numFmtId="167" fontId="23" fillId="0" borderId="28" xfId="0" applyNumberFormat="1" applyFont="1" applyBorder="1" applyAlignment="1" applyProtection="1">
      <alignment vertical="center"/>
    </xf>
    <xf numFmtId="44" fontId="23" fillId="0" borderId="8" xfId="0" applyNumberFormat="1" applyFont="1" applyFill="1" applyBorder="1" applyAlignment="1">
      <alignment vertical="center"/>
    </xf>
    <xf numFmtId="4" fontId="23" fillId="5" borderId="28" xfId="0" applyNumberFormat="1" applyFont="1" applyFill="1" applyBorder="1" applyAlignment="1">
      <alignment vertical="center"/>
    </xf>
    <xf numFmtId="10" fontId="23" fillId="0" borderId="40" xfId="9" applyNumberFormat="1" applyFont="1" applyBorder="1" applyAlignment="1">
      <alignment vertical="center"/>
    </xf>
    <xf numFmtId="171" fontId="23" fillId="0" borderId="30" xfId="0" applyNumberFormat="1" applyFont="1" applyBorder="1" applyAlignment="1">
      <alignment vertical="center"/>
    </xf>
    <xf numFmtId="171" fontId="23" fillId="0" borderId="40" xfId="0" applyNumberFormat="1" applyFont="1" applyBorder="1" applyAlignment="1">
      <alignment vertical="center"/>
    </xf>
    <xf numFmtId="10" fontId="23" fillId="0" borderId="30" xfId="9" applyNumberFormat="1" applyFont="1" applyBorder="1" applyAlignment="1">
      <alignment vertical="center"/>
    </xf>
    <xf numFmtId="169" fontId="23" fillId="0" borderId="43" xfId="0" applyNumberFormat="1" applyFont="1" applyFill="1" applyBorder="1"/>
    <xf numFmtId="178" fontId="23" fillId="0" borderId="30" xfId="0" applyNumberFormat="1" applyFont="1" applyBorder="1" applyAlignment="1">
      <alignment vertical="center"/>
    </xf>
    <xf numFmtId="169" fontId="23" fillId="0" borderId="17" xfId="0" applyNumberFormat="1" applyFont="1" applyFill="1" applyBorder="1"/>
    <xf numFmtId="178" fontId="23" fillId="0" borderId="28" xfId="0" applyNumberFormat="1" applyFont="1" applyBorder="1" applyAlignment="1">
      <alignment vertical="center"/>
    </xf>
    <xf numFmtId="175" fontId="23" fillId="0" borderId="28" xfId="15" applyNumberFormat="1" applyFont="1" applyBorder="1" applyAlignment="1">
      <alignment vertical="center"/>
    </xf>
    <xf numFmtId="0" fontId="23" fillId="9" borderId="28" xfId="0" applyFont="1" applyFill="1" applyBorder="1"/>
    <xf numFmtId="0" fontId="23" fillId="9" borderId="11" xfId="0" applyFont="1" applyFill="1" applyBorder="1"/>
    <xf numFmtId="0" fontId="23" fillId="9" borderId="0" xfId="0" applyFont="1" applyFill="1" applyBorder="1"/>
    <xf numFmtId="0" fontId="23" fillId="9" borderId="9" xfId="0" applyFont="1" applyFill="1" applyBorder="1"/>
    <xf numFmtId="0" fontId="15" fillId="2" borderId="18" xfId="0" applyFont="1" applyFill="1" applyBorder="1" applyAlignment="1">
      <alignment vertical="center"/>
    </xf>
    <xf numFmtId="0" fontId="15" fillId="2" borderId="19" xfId="0" applyFont="1" applyFill="1" applyBorder="1" applyAlignment="1">
      <alignment vertical="center"/>
    </xf>
    <xf numFmtId="0" fontId="10" fillId="0" borderId="17" xfId="0" applyFont="1" applyBorder="1" applyAlignment="1">
      <alignment horizontal="left" vertical="center"/>
    </xf>
    <xf numFmtId="0" fontId="63" fillId="0" borderId="17" xfId="0" applyFont="1" applyBorder="1" applyAlignment="1">
      <alignment horizontal="left" vertical="center"/>
    </xf>
    <xf numFmtId="10" fontId="23" fillId="2" borderId="26" xfId="0" applyNumberFormat="1" applyFont="1" applyFill="1" applyBorder="1" applyAlignment="1" applyProtection="1">
      <alignment vertical="center"/>
      <protection locked="0"/>
    </xf>
    <xf numFmtId="167" fontId="23" fillId="2" borderId="26" xfId="0" applyNumberFormat="1" applyFont="1" applyFill="1" applyBorder="1" applyAlignment="1" applyProtection="1">
      <alignment vertical="center"/>
      <protection locked="0"/>
    </xf>
    <xf numFmtId="167" fontId="23" fillId="2" borderId="18" xfId="0" applyNumberFormat="1" applyFont="1" applyFill="1" applyBorder="1" applyAlignment="1" applyProtection="1">
      <alignment vertical="center"/>
      <protection locked="0"/>
    </xf>
    <xf numFmtId="2" fontId="23" fillId="2" borderId="31" xfId="0" applyNumberFormat="1" applyFont="1" applyFill="1" applyBorder="1" applyAlignment="1" applyProtection="1">
      <alignment vertical="center"/>
      <protection locked="0"/>
    </xf>
    <xf numFmtId="10" fontId="23" fillId="2" borderId="30" xfId="9" applyFont="1" applyFill="1" applyBorder="1" applyAlignment="1" applyProtection="1">
      <alignment vertical="center"/>
      <protection locked="0"/>
    </xf>
    <xf numFmtId="0" fontId="20" fillId="0" borderId="20" xfId="0" applyFont="1" applyBorder="1" applyAlignment="1" applyProtection="1">
      <alignment horizontal="right" vertical="center"/>
    </xf>
    <xf numFmtId="0" fontId="20" fillId="0" borderId="18" xfId="0" applyFont="1" applyBorder="1" applyAlignment="1" applyProtection="1">
      <alignment horizontal="right" vertical="center"/>
    </xf>
    <xf numFmtId="14" fontId="25" fillId="0" borderId="29" xfId="0" applyNumberFormat="1" applyFont="1" applyFill="1" applyBorder="1" applyAlignment="1" applyProtection="1">
      <alignment vertical="center"/>
    </xf>
    <xf numFmtId="10" fontId="67" fillId="0" borderId="13" xfId="5" applyNumberFormat="1" applyFont="1" applyBorder="1" applyAlignment="1">
      <alignment vertical="center"/>
    </xf>
    <xf numFmtId="165" fontId="23" fillId="0" borderId="28" xfId="0" applyNumberFormat="1" applyFont="1" applyBorder="1" applyAlignment="1">
      <alignment vertical="center"/>
    </xf>
    <xf numFmtId="167" fontId="27" fillId="0" borderId="28" xfId="0" applyNumberFormat="1" applyFont="1" applyBorder="1" applyAlignment="1">
      <alignment vertical="center"/>
    </xf>
    <xf numFmtId="170" fontId="27" fillId="0" borderId="24" xfId="9" applyNumberFormat="1" applyFont="1" applyFill="1" applyBorder="1" applyAlignment="1">
      <alignment horizontal="center"/>
    </xf>
    <xf numFmtId="0" fontId="68" fillId="0" borderId="8" xfId="0" applyFont="1" applyBorder="1" applyAlignment="1">
      <alignment vertical="center"/>
    </xf>
    <xf numFmtId="0" fontId="34" fillId="0" borderId="0" xfId="0" applyFont="1" applyBorder="1" applyAlignment="1">
      <alignment horizontal="center" vertical="center"/>
    </xf>
    <xf numFmtId="0" fontId="68" fillId="0" borderId="19" xfId="0" applyFont="1" applyBorder="1" applyAlignment="1">
      <alignment horizontal="right" vertical="center"/>
    </xf>
    <xf numFmtId="0" fontId="68" fillId="0" borderId="19" xfId="0" applyFont="1" applyBorder="1" applyAlignment="1">
      <alignment horizontal="left" vertical="center"/>
    </xf>
    <xf numFmtId="0" fontId="23" fillId="0" borderId="37" xfId="0" applyFont="1" applyBorder="1" applyAlignment="1">
      <alignment vertical="center"/>
    </xf>
    <xf numFmtId="0" fontId="23" fillId="0" borderId="38" xfId="0" applyFont="1" applyBorder="1" applyAlignment="1">
      <alignment vertical="center"/>
    </xf>
    <xf numFmtId="0" fontId="70" fillId="0" borderId="0" xfId="0" applyFont="1" applyBorder="1"/>
    <xf numFmtId="0" fontId="71" fillId="0" borderId="0" xfId="0" applyFont="1" applyBorder="1"/>
    <xf numFmtId="0" fontId="23" fillId="0" borderId="0" xfId="0" applyFont="1" applyBorder="1" applyAlignment="1">
      <alignment wrapText="1"/>
    </xf>
    <xf numFmtId="0" fontId="23" fillId="0" borderId="13" xfId="0" applyFont="1" applyBorder="1" applyAlignment="1">
      <alignment wrapText="1"/>
    </xf>
    <xf numFmtId="9" fontId="20" fillId="0" borderId="28" xfId="10" applyNumberFormat="1" applyFont="1" applyFill="1" applyBorder="1" applyProtection="1"/>
    <xf numFmtId="0" fontId="20" fillId="0" borderId="0" xfId="0" applyFont="1" applyProtection="1">
      <protection locked="0"/>
    </xf>
    <xf numFmtId="0" fontId="23" fillId="2" borderId="29" xfId="0" applyFont="1" applyFill="1" applyBorder="1" applyAlignment="1" applyProtection="1">
      <alignment horizontal="left" vertical="center"/>
      <protection locked="0"/>
    </xf>
    <xf numFmtId="10" fontId="23" fillId="2" borderId="26" xfId="9" applyFont="1" applyFill="1" applyBorder="1" applyAlignment="1" applyProtection="1">
      <alignment vertical="center"/>
      <protection locked="0"/>
    </xf>
    <xf numFmtId="0" fontId="14" fillId="4" borderId="18" xfId="0" applyFont="1" applyFill="1" applyBorder="1" applyAlignment="1">
      <alignment horizontal="right" vertical="center"/>
    </xf>
    <xf numFmtId="167" fontId="15" fillId="4" borderId="22" xfId="0" applyNumberFormat="1" applyFont="1" applyFill="1" applyBorder="1" applyAlignment="1">
      <alignment vertical="center"/>
    </xf>
    <xf numFmtId="10" fontId="14" fillId="4" borderId="18" xfId="9" applyFont="1" applyFill="1" applyBorder="1" applyAlignment="1">
      <alignment horizontal="right" vertical="center"/>
    </xf>
    <xf numFmtId="167" fontId="15" fillId="4" borderId="19" xfId="0" applyNumberFormat="1" applyFont="1" applyFill="1" applyBorder="1" applyAlignment="1">
      <alignment vertical="center"/>
    </xf>
    <xf numFmtId="0" fontId="15" fillId="6" borderId="21" xfId="0" applyFont="1" applyFill="1" applyBorder="1" applyAlignment="1">
      <alignment vertical="center"/>
    </xf>
    <xf numFmtId="0" fontId="15" fillId="6" borderId="17" xfId="0" applyFont="1" applyFill="1" applyBorder="1" applyAlignment="1">
      <alignment vertical="center"/>
    </xf>
    <xf numFmtId="167" fontId="15" fillId="6" borderId="21" xfId="0" applyNumberFormat="1" applyFont="1" applyFill="1" applyBorder="1" applyAlignment="1">
      <alignment vertical="center"/>
    </xf>
    <xf numFmtId="0" fontId="15" fillId="6" borderId="18" xfId="0" applyFont="1" applyFill="1" applyBorder="1" applyAlignment="1">
      <alignment vertical="center"/>
    </xf>
    <xf numFmtId="0" fontId="15" fillId="6" borderId="19" xfId="0" applyFont="1" applyFill="1" applyBorder="1" applyAlignment="1">
      <alignment vertical="center"/>
    </xf>
    <xf numFmtId="167" fontId="15" fillId="6" borderId="18" xfId="0" applyNumberFormat="1" applyFont="1" applyFill="1" applyBorder="1" applyAlignment="1">
      <alignment vertical="center"/>
    </xf>
    <xf numFmtId="0" fontId="15" fillId="8" borderId="19" xfId="0" applyFont="1" applyFill="1" applyBorder="1" applyAlignment="1">
      <alignment vertical="center"/>
    </xf>
    <xf numFmtId="179" fontId="34" fillId="3" borderId="18" xfId="0" applyNumberFormat="1" applyFont="1" applyFill="1" applyBorder="1" applyAlignment="1" applyProtection="1">
      <alignment horizontal="center" vertical="center"/>
      <protection locked="0"/>
    </xf>
    <xf numFmtId="10" fontId="23" fillId="2" borderId="31" xfId="9" applyFont="1" applyFill="1" applyBorder="1" applyAlignment="1" applyProtection="1">
      <alignment vertical="center"/>
      <protection locked="0"/>
    </xf>
    <xf numFmtId="10" fontId="27" fillId="0" borderId="13" xfId="9" applyFont="1" applyBorder="1" applyAlignment="1">
      <alignment vertical="center"/>
    </xf>
    <xf numFmtId="10" fontId="34" fillId="0" borderId="21" xfId="9" applyFont="1" applyBorder="1" applyAlignment="1">
      <alignment horizontal="center" vertical="center"/>
    </xf>
    <xf numFmtId="0" fontId="23" fillId="0" borderId="31" xfId="0" applyFont="1" applyBorder="1" applyAlignment="1">
      <alignment horizontal="center" vertical="center" wrapText="1"/>
    </xf>
    <xf numFmtId="167" fontId="27" fillId="0" borderId="21" xfId="0" applyNumberFormat="1" applyFont="1" applyBorder="1" applyAlignment="1">
      <alignment vertical="center"/>
    </xf>
    <xf numFmtId="2" fontId="34" fillId="0" borderId="19" xfId="0" applyNumberFormat="1" applyFont="1" applyFill="1" applyBorder="1" applyAlignment="1">
      <alignment horizontal="center" vertical="center"/>
    </xf>
    <xf numFmtId="10" fontId="23" fillId="2" borderId="25" xfId="9" applyFont="1" applyFill="1" applyBorder="1" applyAlignment="1" applyProtection="1">
      <alignment vertical="center"/>
      <protection locked="0"/>
    </xf>
    <xf numFmtId="10" fontId="27" fillId="0" borderId="21" xfId="9" applyFont="1" applyBorder="1" applyAlignment="1">
      <alignment vertical="center"/>
    </xf>
    <xf numFmtId="4" fontId="34" fillId="0" borderId="31" xfId="0" quotePrefix="1" applyNumberFormat="1" applyFont="1" applyBorder="1" applyAlignment="1">
      <alignment horizontal="center" vertical="center" wrapText="1"/>
    </xf>
    <xf numFmtId="10" fontId="23" fillId="0" borderId="21" xfId="9" applyNumberFormat="1" applyFont="1" applyBorder="1" applyAlignment="1">
      <alignment vertical="center"/>
    </xf>
    <xf numFmtId="10" fontId="23" fillId="0" borderId="20" xfId="9" applyNumberFormat="1" applyFont="1" applyBorder="1" applyAlignment="1">
      <alignment vertical="center"/>
    </xf>
    <xf numFmtId="10" fontId="23" fillId="0" borderId="25" xfId="9" applyNumberFormat="1" applyFont="1" applyBorder="1" applyAlignment="1">
      <alignment vertical="center"/>
    </xf>
    <xf numFmtId="167" fontId="23" fillId="0" borderId="21" xfId="0" applyNumberFormat="1" applyFont="1" applyBorder="1" applyAlignment="1" applyProtection="1">
      <alignment vertical="center"/>
    </xf>
    <xf numFmtId="167" fontId="23" fillId="0" borderId="18" xfId="0" applyNumberFormat="1" applyFont="1" applyBorder="1" applyAlignment="1" applyProtection="1">
      <alignment vertical="center"/>
    </xf>
    <xf numFmtId="167" fontId="23" fillId="0" borderId="25" xfId="0" applyNumberFormat="1" applyFont="1" applyBorder="1" applyAlignment="1" applyProtection="1">
      <alignment vertical="center"/>
    </xf>
    <xf numFmtId="167" fontId="27" fillId="0" borderId="13" xfId="0" applyNumberFormat="1" applyFont="1" applyBorder="1" applyAlignment="1">
      <alignment vertical="center"/>
    </xf>
    <xf numFmtId="10" fontId="23" fillId="0" borderId="11" xfId="0" applyNumberFormat="1" applyFont="1" applyBorder="1"/>
    <xf numFmtId="10" fontId="23" fillId="2" borderId="9" xfId="0" applyNumberFormat="1" applyFont="1" applyFill="1" applyBorder="1" applyProtection="1">
      <protection locked="0"/>
    </xf>
    <xf numFmtId="10" fontId="27" fillId="0" borderId="17" xfId="0" applyNumberFormat="1" applyFont="1" applyBorder="1"/>
    <xf numFmtId="169" fontId="23" fillId="0" borderId="9" xfId="0" applyNumberFormat="1" applyFont="1" applyBorder="1" applyAlignment="1">
      <alignment vertical="center"/>
    </xf>
    <xf numFmtId="169" fontId="23" fillId="0" borderId="0" xfId="0" applyNumberFormat="1" applyFont="1" applyBorder="1" applyAlignment="1">
      <alignment vertical="center"/>
    </xf>
    <xf numFmtId="10" fontId="41" fillId="0" borderId="19" xfId="0" applyNumberFormat="1" applyFont="1" applyBorder="1" applyAlignment="1">
      <alignment vertical="center"/>
    </xf>
    <xf numFmtId="4" fontId="23" fillId="5" borderId="13" xfId="0" applyNumberFormat="1" applyFont="1" applyFill="1" applyBorder="1" applyAlignment="1">
      <alignment vertical="center"/>
    </xf>
    <xf numFmtId="4" fontId="23" fillId="5" borderId="25" xfId="0" applyNumberFormat="1" applyFont="1" applyFill="1" applyBorder="1" applyAlignment="1">
      <alignment vertical="center"/>
    </xf>
    <xf numFmtId="10" fontId="23" fillId="0" borderId="17" xfId="0" applyNumberFormat="1" applyFont="1" applyBorder="1" applyAlignment="1">
      <alignment vertical="center"/>
    </xf>
    <xf numFmtId="10" fontId="23" fillId="3" borderId="0" xfId="0" applyNumberFormat="1" applyFont="1" applyFill="1" applyBorder="1" applyProtection="1">
      <protection locked="0"/>
    </xf>
    <xf numFmtId="0" fontId="23" fillId="2" borderId="28" xfId="0" applyFont="1" applyFill="1" applyBorder="1" applyAlignment="1" applyProtection="1">
      <alignment horizontal="left" vertical="center"/>
      <protection locked="0"/>
    </xf>
    <xf numFmtId="0" fontId="72" fillId="4" borderId="19" xfId="0" applyFont="1" applyFill="1" applyBorder="1" applyAlignment="1">
      <alignment horizontal="center" vertical="center"/>
    </xf>
    <xf numFmtId="167" fontId="23" fillId="0" borderId="28" xfId="0" applyNumberFormat="1" applyFont="1" applyFill="1" applyBorder="1" applyAlignment="1" applyProtection="1">
      <alignment horizontal="center" vertical="center"/>
    </xf>
    <xf numFmtId="167" fontId="23" fillId="0" borderId="30" xfId="0" applyNumberFormat="1" applyFont="1" applyFill="1" applyBorder="1" applyAlignment="1" applyProtection="1">
      <alignment horizontal="center" vertical="center"/>
    </xf>
    <xf numFmtId="10" fontId="2" fillId="3" borderId="26" xfId="19" applyNumberFormat="1" applyFont="1" applyFill="1" applyBorder="1" applyAlignment="1" applyProtection="1">
      <alignment horizontal="right" vertical="center"/>
      <protection locked="0"/>
    </xf>
    <xf numFmtId="2" fontId="23" fillId="0" borderId="28" xfId="0" applyNumberFormat="1" applyFont="1" applyFill="1" applyBorder="1" applyAlignment="1" applyProtection="1">
      <alignment vertical="center"/>
    </xf>
    <xf numFmtId="0" fontId="23" fillId="0" borderId="29" xfId="0" applyFont="1" applyFill="1" applyBorder="1" applyAlignment="1" applyProtection="1">
      <alignment horizontal="center" vertical="center"/>
    </xf>
    <xf numFmtId="0" fontId="23" fillId="0" borderId="13" xfId="0" applyFont="1" applyBorder="1" applyAlignment="1" applyProtection="1">
      <alignment vertical="center"/>
    </xf>
    <xf numFmtId="10" fontId="23" fillId="0" borderId="13" xfId="0" applyNumberFormat="1" applyFont="1" applyFill="1" applyBorder="1" applyAlignment="1" applyProtection="1">
      <alignment vertical="center"/>
    </xf>
    <xf numFmtId="4" fontId="23" fillId="0" borderId="13" xfId="5" applyFont="1" applyBorder="1" applyAlignment="1" applyProtection="1">
      <alignment vertical="center"/>
    </xf>
    <xf numFmtId="0" fontId="23" fillId="0" borderId="28" xfId="0" applyFont="1" applyFill="1" applyBorder="1" applyAlignment="1" applyProtection="1">
      <alignment horizontal="center" vertical="center"/>
    </xf>
    <xf numFmtId="167" fontId="23" fillId="2" borderId="28" xfId="0" applyNumberFormat="1" applyFont="1" applyFill="1" applyBorder="1" applyAlignment="1" applyProtection="1">
      <alignment vertical="center"/>
      <protection locked="0"/>
    </xf>
    <xf numFmtId="0" fontId="23" fillId="0" borderId="26" xfId="0" applyFont="1" applyFill="1" applyBorder="1" applyAlignment="1" applyProtection="1">
      <alignment horizontal="center" vertical="center"/>
    </xf>
    <xf numFmtId="10" fontId="23" fillId="0" borderId="26" xfId="0" applyNumberFormat="1" applyFont="1" applyBorder="1" applyAlignment="1" applyProtection="1">
      <alignment vertical="center"/>
    </xf>
    <xf numFmtId="10" fontId="23" fillId="0" borderId="18" xfId="0" applyNumberFormat="1" applyFont="1" applyBorder="1" applyAlignment="1" applyProtection="1">
      <alignment vertical="center"/>
    </xf>
    <xf numFmtId="0" fontId="27" fillId="0" borderId="18" xfId="0" applyFont="1" applyBorder="1" applyAlignment="1" applyProtection="1">
      <alignment horizontal="center" vertical="center"/>
    </xf>
    <xf numFmtId="167" fontId="23" fillId="0" borderId="20" xfId="0" applyNumberFormat="1" applyFont="1" applyBorder="1" applyAlignment="1">
      <alignment vertical="center"/>
    </xf>
    <xf numFmtId="10" fontId="23" fillId="0" borderId="20" xfId="0" applyNumberFormat="1" applyFont="1" applyFill="1" applyBorder="1" applyAlignment="1" applyProtection="1">
      <alignment vertical="center"/>
    </xf>
    <xf numFmtId="10" fontId="23" fillId="0" borderId="21" xfId="0" applyNumberFormat="1" applyFont="1" applyFill="1" applyBorder="1" applyAlignment="1" applyProtection="1">
      <alignment vertical="center"/>
    </xf>
    <xf numFmtId="10" fontId="23" fillId="0" borderId="28" xfId="0" applyNumberFormat="1" applyFont="1" applyFill="1" applyBorder="1" applyAlignment="1" applyProtection="1">
      <alignment vertical="center"/>
    </xf>
    <xf numFmtId="4" fontId="23" fillId="0" borderId="29" xfId="0" applyNumberFormat="1" applyFont="1" applyBorder="1" applyAlignment="1" applyProtection="1">
      <alignment vertical="center"/>
    </xf>
    <xf numFmtId="4" fontId="23" fillId="0" borderId="29" xfId="0" applyNumberFormat="1" applyFont="1" applyFill="1" applyBorder="1" applyAlignment="1" applyProtection="1">
      <alignment vertical="center"/>
    </xf>
    <xf numFmtId="4" fontId="23" fillId="0" borderId="20" xfId="0" applyNumberFormat="1" applyFont="1" applyBorder="1" applyAlignment="1" applyProtection="1">
      <alignment vertical="center"/>
    </xf>
    <xf numFmtId="10" fontId="23" fillId="0" borderId="27" xfId="0" applyNumberFormat="1" applyFont="1" applyFill="1" applyBorder="1" applyAlignment="1" applyProtection="1">
      <alignment vertical="center"/>
    </xf>
    <xf numFmtId="0" fontId="23" fillId="0" borderId="28" xfId="0" applyFont="1" applyFill="1" applyBorder="1" applyAlignment="1" applyProtection="1">
      <alignment vertical="center"/>
    </xf>
    <xf numFmtId="10" fontId="23" fillId="0" borderId="21" xfId="0" applyNumberFormat="1" applyFont="1" applyBorder="1" applyAlignment="1" applyProtection="1">
      <alignment vertical="center"/>
    </xf>
    <xf numFmtId="10" fontId="23" fillId="0" borderId="29" xfId="0" applyNumberFormat="1" applyFont="1" applyFill="1" applyBorder="1" applyAlignment="1" applyProtection="1">
      <alignment vertical="center"/>
    </xf>
    <xf numFmtId="0" fontId="25" fillId="0" borderId="19" xfId="0" applyFont="1" applyFill="1" applyBorder="1" applyAlignment="1">
      <alignment horizontal="center"/>
    </xf>
    <xf numFmtId="0" fontId="23" fillId="0" borderId="0" xfId="0" applyFont="1" applyBorder="1" applyAlignment="1">
      <alignment vertical="center"/>
    </xf>
    <xf numFmtId="0" fontId="20" fillId="0" borderId="0" xfId="0" applyFont="1" applyBorder="1" applyProtection="1"/>
    <xf numFmtId="0" fontId="20" fillId="0" borderId="0" xfId="0" applyFont="1" applyBorder="1" applyAlignment="1">
      <alignment wrapText="1"/>
    </xf>
    <xf numFmtId="0" fontId="20" fillId="0" borderId="14" xfId="0" applyFont="1" applyBorder="1" applyAlignment="1">
      <alignment wrapText="1"/>
    </xf>
    <xf numFmtId="0" fontId="26" fillId="0" borderId="0" xfId="0" applyFont="1" applyBorder="1"/>
    <xf numFmtId="0" fontId="14" fillId="0" borderId="18" xfId="0" applyFont="1" applyBorder="1"/>
    <xf numFmtId="0" fontId="14" fillId="4" borderId="18" xfId="0" applyFont="1" applyFill="1" applyBorder="1" applyAlignment="1">
      <alignment vertical="center"/>
    </xf>
    <xf numFmtId="0" fontId="14" fillId="4" borderId="19" xfId="0" applyFont="1" applyFill="1" applyBorder="1" applyAlignment="1">
      <alignment vertical="center"/>
    </xf>
    <xf numFmtId="0" fontId="23" fillId="0" borderId="20" xfId="0" applyFont="1" applyBorder="1" applyAlignment="1" applyProtection="1">
      <alignment vertical="center"/>
    </xf>
    <xf numFmtId="0" fontId="42" fillId="0" borderId="29" xfId="0" applyFont="1" applyBorder="1" applyAlignment="1" applyProtection="1">
      <alignment vertical="center"/>
    </xf>
    <xf numFmtId="0" fontId="23" fillId="0" borderId="29" xfId="0" applyFont="1" applyBorder="1" applyAlignment="1" applyProtection="1">
      <alignment vertical="center"/>
    </xf>
    <xf numFmtId="4" fontId="23" fillId="0" borderId="21" xfId="5" applyFont="1" applyBorder="1" applyAlignment="1" applyProtection="1">
      <alignment vertical="center"/>
    </xf>
    <xf numFmtId="0" fontId="23" fillId="0" borderId="13" xfId="0" applyFont="1" applyFill="1" applyBorder="1" applyAlignment="1" applyProtection="1">
      <alignment vertical="center"/>
    </xf>
    <xf numFmtId="0" fontId="23" fillId="0" borderId="24" xfId="0" applyFont="1" applyBorder="1" applyAlignment="1" applyProtection="1">
      <alignment vertical="center"/>
    </xf>
    <xf numFmtId="10" fontId="23" fillId="0" borderId="14" xfId="0" applyNumberFormat="1" applyFont="1" applyBorder="1" applyAlignment="1" applyProtection="1">
      <alignment vertical="center"/>
    </xf>
    <xf numFmtId="4" fontId="23" fillId="0" borderId="14" xfId="0" applyNumberFormat="1" applyFont="1" applyBorder="1" applyAlignment="1" applyProtection="1">
      <alignment vertical="center"/>
    </xf>
    <xf numFmtId="0" fontId="42" fillId="11" borderId="29" xfId="0" applyFont="1" applyFill="1" applyBorder="1" applyAlignment="1" applyProtection="1">
      <alignment vertical="center"/>
    </xf>
    <xf numFmtId="4" fontId="23" fillId="11" borderId="27" xfId="5" applyFont="1" applyFill="1" applyBorder="1" applyAlignment="1" applyProtection="1">
      <alignment vertical="center"/>
    </xf>
    <xf numFmtId="10" fontId="23" fillId="11" borderId="27" xfId="0" applyNumberFormat="1" applyFont="1" applyFill="1" applyBorder="1" applyAlignment="1" applyProtection="1">
      <alignment vertical="center"/>
    </xf>
    <xf numFmtId="176" fontId="23" fillId="11" borderId="28" xfId="0" applyNumberFormat="1" applyFont="1" applyFill="1" applyBorder="1" applyAlignment="1" applyProtection="1">
      <alignment vertical="center"/>
    </xf>
    <xf numFmtId="0" fontId="23" fillId="0" borderId="9" xfId="0" applyFont="1" applyFill="1" applyBorder="1" applyAlignment="1" applyProtection="1">
      <alignment vertical="center"/>
    </xf>
    <xf numFmtId="0" fontId="23" fillId="0" borderId="25" xfId="0" applyFont="1" applyBorder="1" applyAlignment="1" applyProtection="1">
      <alignment vertical="center"/>
    </xf>
    <xf numFmtId="185" fontId="23" fillId="0" borderId="25" xfId="0" applyNumberFormat="1" applyFont="1" applyFill="1" applyBorder="1" applyAlignment="1" applyProtection="1">
      <alignment vertical="center"/>
    </xf>
    <xf numFmtId="0" fontId="23" fillId="0" borderId="40" xfId="0" applyFont="1" applyFill="1" applyBorder="1" applyAlignment="1" applyProtection="1">
      <alignment horizontal="right" vertical="center"/>
    </xf>
    <xf numFmtId="185" fontId="23" fillId="11" borderId="40" xfId="5" applyNumberFormat="1" applyFont="1" applyFill="1" applyBorder="1" applyAlignment="1" applyProtection="1">
      <alignment vertical="center"/>
    </xf>
    <xf numFmtId="10" fontId="23" fillId="0" borderId="40" xfId="0" applyNumberFormat="1" applyFont="1" applyBorder="1" applyAlignment="1" applyProtection="1">
      <alignment vertical="center"/>
    </xf>
    <xf numFmtId="0" fontId="75" fillId="0" borderId="22" xfId="0" applyFont="1" applyBorder="1" applyAlignment="1">
      <alignment horizontal="center" vertical="center"/>
    </xf>
    <xf numFmtId="9" fontId="24" fillId="12" borderId="13" xfId="9" applyNumberFormat="1" applyFont="1" applyFill="1" applyBorder="1" applyAlignment="1">
      <alignment vertical="center"/>
    </xf>
    <xf numFmtId="4" fontId="24" fillId="12" borderId="27" xfId="5" applyFont="1" applyFill="1" applyBorder="1" applyAlignment="1">
      <alignment vertical="center"/>
    </xf>
    <xf numFmtId="9" fontId="24" fillId="13" borderId="13" xfId="9" applyNumberFormat="1" applyFont="1" applyFill="1" applyBorder="1" applyAlignment="1">
      <alignment vertical="center"/>
    </xf>
    <xf numFmtId="4" fontId="24" fillId="13" borderId="27" xfId="5" applyFont="1" applyFill="1" applyBorder="1" applyAlignment="1">
      <alignment vertical="center"/>
    </xf>
    <xf numFmtId="4" fontId="30" fillId="13" borderId="27" xfId="5" applyFont="1" applyFill="1" applyBorder="1" applyAlignment="1">
      <alignment vertical="center"/>
    </xf>
    <xf numFmtId="167" fontId="23" fillId="0" borderId="57" xfId="0" applyNumberFormat="1" applyFont="1" applyBorder="1" applyAlignment="1">
      <alignment vertical="center"/>
    </xf>
    <xf numFmtId="2" fontId="23" fillId="2" borderId="57" xfId="0" applyNumberFormat="1" applyFont="1" applyFill="1" applyBorder="1" applyAlignment="1" applyProtection="1">
      <alignment vertical="center"/>
      <protection locked="0"/>
    </xf>
    <xf numFmtId="174" fontId="23" fillId="0" borderId="30" xfId="0" applyNumberFormat="1" applyFont="1" applyBorder="1" applyAlignment="1" applyProtection="1">
      <alignment vertical="center"/>
    </xf>
    <xf numFmtId="10" fontId="23" fillId="0" borderId="27" xfId="0" applyNumberFormat="1" applyFont="1" applyBorder="1" applyAlignment="1" applyProtection="1">
      <alignment vertical="center"/>
    </xf>
    <xf numFmtId="0" fontId="23" fillId="0" borderId="27" xfId="0" applyFont="1" applyFill="1" applyBorder="1" applyAlignment="1" applyProtection="1">
      <alignment horizontal="center" vertical="center"/>
    </xf>
    <xf numFmtId="10" fontId="23" fillId="2" borderId="27" xfId="0" applyNumberFormat="1" applyFont="1" applyFill="1" applyBorder="1" applyAlignment="1" applyProtection="1">
      <alignment vertical="center"/>
      <protection locked="0"/>
    </xf>
    <xf numFmtId="10" fontId="23" fillId="0" borderId="13" xfId="0" applyNumberFormat="1" applyFont="1" applyBorder="1" applyAlignment="1" applyProtection="1">
      <alignment vertical="center"/>
    </xf>
    <xf numFmtId="4" fontId="23" fillId="0" borderId="37" xfId="0" applyNumberFormat="1" applyFont="1" applyBorder="1" applyAlignment="1" applyProtection="1">
      <alignment vertical="center"/>
    </xf>
    <xf numFmtId="0" fontId="23" fillId="0" borderId="50" xfId="0" applyFont="1" applyFill="1" applyBorder="1" applyAlignment="1" applyProtection="1">
      <alignment horizontal="center" vertical="center"/>
    </xf>
    <xf numFmtId="4" fontId="23" fillId="0" borderId="50" xfId="0" applyNumberFormat="1" applyFont="1" applyFill="1" applyBorder="1" applyAlignment="1" applyProtection="1">
      <alignment vertical="center"/>
    </xf>
    <xf numFmtId="4" fontId="23" fillId="0" borderId="51" xfId="0" applyNumberFormat="1" applyFont="1" applyBorder="1" applyAlignment="1" applyProtection="1">
      <alignment vertical="center"/>
    </xf>
    <xf numFmtId="0" fontId="23" fillId="0" borderId="12" xfId="0" applyFont="1" applyBorder="1" applyAlignment="1" applyProtection="1">
      <alignment vertical="center"/>
    </xf>
    <xf numFmtId="10" fontId="23" fillId="0" borderId="3" xfId="0" applyNumberFormat="1" applyFont="1" applyBorder="1" applyAlignment="1" applyProtection="1">
      <alignment vertical="center"/>
    </xf>
    <xf numFmtId="4" fontId="23" fillId="0" borderId="3" xfId="0" applyNumberFormat="1" applyFont="1" applyBorder="1" applyAlignment="1" applyProtection="1">
      <alignment vertical="center"/>
    </xf>
    <xf numFmtId="0" fontId="23" fillId="0" borderId="67" xfId="0" applyFont="1" applyBorder="1" applyAlignment="1" applyProtection="1">
      <alignment vertical="center"/>
    </xf>
    <xf numFmtId="10" fontId="23" fillId="0" borderId="65" xfId="0" applyNumberFormat="1" applyFont="1" applyBorder="1" applyAlignment="1" applyProtection="1">
      <alignment vertical="center"/>
    </xf>
    <xf numFmtId="10" fontId="27" fillId="0" borderId="0" xfId="9" applyFont="1" applyBorder="1" applyAlignment="1">
      <alignment vertical="center"/>
    </xf>
    <xf numFmtId="167" fontId="23" fillId="0" borderId="41" xfId="0" applyNumberFormat="1" applyFont="1" applyBorder="1" applyAlignment="1">
      <alignment vertical="center"/>
    </xf>
    <xf numFmtId="167" fontId="23" fillId="0" borderId="42" xfId="0" applyNumberFormat="1" applyFont="1" applyBorder="1" applyAlignment="1">
      <alignment vertical="center"/>
    </xf>
    <xf numFmtId="167" fontId="23" fillId="0" borderId="41" xfId="0" applyNumberFormat="1" applyFont="1" applyBorder="1" applyAlignment="1">
      <alignment horizontal="left" vertical="center"/>
    </xf>
    <xf numFmtId="0" fontId="27" fillId="0" borderId="47" xfId="0" applyFont="1" applyBorder="1" applyAlignment="1">
      <alignment vertical="center"/>
    </xf>
    <xf numFmtId="0" fontId="27" fillId="0" borderId="10" xfId="0" applyFont="1" applyBorder="1" applyAlignment="1">
      <alignment horizontal="center" vertical="center"/>
    </xf>
    <xf numFmtId="10" fontId="27" fillId="0" borderId="40" xfId="9" applyFont="1" applyBorder="1" applyAlignment="1">
      <alignment vertical="center"/>
    </xf>
    <xf numFmtId="10" fontId="27" fillId="0" borderId="4" xfId="9" applyFont="1" applyBorder="1" applyAlignment="1">
      <alignment vertical="center"/>
    </xf>
    <xf numFmtId="167" fontId="23" fillId="0" borderId="66" xfId="0" applyNumberFormat="1" applyFont="1" applyBorder="1" applyAlignment="1">
      <alignment vertical="center"/>
    </xf>
    <xf numFmtId="167" fontId="23" fillId="0" borderId="68" xfId="0" applyNumberFormat="1" applyFont="1" applyBorder="1" applyAlignment="1">
      <alignment vertical="center"/>
    </xf>
    <xf numFmtId="0" fontId="23" fillId="0" borderId="34" xfId="0" applyFont="1" applyBorder="1" applyAlignment="1">
      <alignment horizontal="center" vertical="center"/>
    </xf>
    <xf numFmtId="0" fontId="23" fillId="0" borderId="46" xfId="0" applyFont="1" applyBorder="1" applyAlignment="1">
      <alignment horizontal="center" vertical="center"/>
    </xf>
    <xf numFmtId="167" fontId="23" fillId="0" borderId="66" xfId="0" applyNumberFormat="1" applyFont="1" applyBorder="1" applyAlignment="1">
      <alignment horizontal="left" vertical="center"/>
    </xf>
    <xf numFmtId="0" fontId="27" fillId="0" borderId="7" xfId="0" applyFont="1" applyBorder="1" applyAlignment="1">
      <alignment horizontal="left" vertical="center"/>
    </xf>
    <xf numFmtId="0" fontId="27" fillId="0" borderId="7" xfId="0" applyFont="1" applyBorder="1" applyAlignment="1">
      <alignment vertical="center"/>
    </xf>
    <xf numFmtId="0" fontId="79" fillId="0" borderId="22" xfId="0" applyFont="1" applyFill="1" applyBorder="1" applyAlignment="1" applyProtection="1">
      <alignment horizontal="left"/>
    </xf>
    <xf numFmtId="0" fontId="20" fillId="15" borderId="11" xfId="0" applyFont="1" applyFill="1" applyBorder="1" applyAlignment="1"/>
    <xf numFmtId="0" fontId="20" fillId="0" borderId="44" xfId="0" applyFont="1" applyBorder="1" applyProtection="1"/>
    <xf numFmtId="0" fontId="20" fillId="0" borderId="0" xfId="0" applyFont="1" applyProtection="1"/>
    <xf numFmtId="0" fontId="20" fillId="0" borderId="47" xfId="0" applyFont="1" applyBorder="1" applyProtection="1"/>
    <xf numFmtId="0" fontId="20" fillId="14" borderId="0" xfId="0" applyFont="1" applyFill="1" applyBorder="1" applyProtection="1"/>
    <xf numFmtId="0" fontId="20" fillId="14" borderId="3" xfId="0" applyFont="1" applyFill="1" applyBorder="1" applyProtection="1"/>
    <xf numFmtId="0" fontId="20" fillId="0" borderId="47" xfId="0" applyFont="1" applyBorder="1" applyAlignment="1" applyProtection="1"/>
    <xf numFmtId="0" fontId="20" fillId="14" borderId="0" xfId="0" applyFont="1" applyFill="1" applyBorder="1" applyAlignment="1" applyProtection="1"/>
    <xf numFmtId="0" fontId="20" fillId="0" borderId="0" xfId="0" applyFont="1" applyAlignment="1" applyProtection="1"/>
    <xf numFmtId="0" fontId="20" fillId="0" borderId="21" xfId="0" applyFont="1" applyBorder="1" applyProtection="1"/>
    <xf numFmtId="0" fontId="20" fillId="0" borderId="17" xfId="0" applyFont="1" applyBorder="1" applyProtection="1"/>
    <xf numFmtId="0" fontId="20" fillId="0" borderId="18" xfId="0" applyFont="1" applyBorder="1" applyProtection="1"/>
    <xf numFmtId="0" fontId="20" fillId="0" borderId="19" xfId="0" applyFont="1" applyBorder="1" applyProtection="1"/>
    <xf numFmtId="0" fontId="20" fillId="0" borderId="0" xfId="0" applyFont="1" applyFill="1" applyProtection="1"/>
    <xf numFmtId="1" fontId="20" fillId="0" borderId="0" xfId="0" applyNumberFormat="1" applyFont="1" applyFill="1" applyAlignment="1" applyProtection="1">
      <alignment horizontal="center"/>
    </xf>
    <xf numFmtId="0" fontId="66" fillId="0" borderId="0" xfId="0" applyFont="1" applyFill="1" applyAlignment="1" applyProtection="1">
      <alignment horizontal="center"/>
    </xf>
    <xf numFmtId="0" fontId="26" fillId="0" borderId="0" xfId="0" applyFont="1" applyBorder="1" applyProtection="1"/>
    <xf numFmtId="0" fontId="20" fillId="0" borderId="23" xfId="0" applyFont="1" applyBorder="1" applyProtection="1"/>
    <xf numFmtId="1" fontId="20" fillId="0" borderId="0" xfId="0" applyNumberFormat="1" applyFont="1" applyBorder="1" applyProtection="1"/>
    <xf numFmtId="186" fontId="20" fillId="0" borderId="0" xfId="0" applyNumberFormat="1" applyFont="1" applyBorder="1" applyAlignment="1" applyProtection="1">
      <alignment horizontal="center"/>
    </xf>
    <xf numFmtId="0" fontId="66" fillId="0" borderId="0" xfId="0" applyFont="1" applyBorder="1" applyAlignment="1" applyProtection="1">
      <alignment horizontal="center" vertical="center" wrapText="1"/>
    </xf>
    <xf numFmtId="10" fontId="23" fillId="0" borderId="26" xfId="0" applyNumberFormat="1" applyFont="1" applyFill="1" applyBorder="1" applyAlignment="1" applyProtection="1">
      <alignment vertical="center"/>
    </xf>
    <xf numFmtId="10" fontId="23" fillId="0" borderId="30" xfId="0" applyNumberFormat="1" applyFont="1" applyFill="1" applyBorder="1" applyAlignment="1" applyProtection="1">
      <alignment vertical="center"/>
    </xf>
    <xf numFmtId="0" fontId="13" fillId="0" borderId="30" xfId="0" applyFont="1" applyBorder="1" applyAlignment="1">
      <alignment horizontal="center" vertical="center"/>
    </xf>
    <xf numFmtId="0" fontId="14" fillId="4" borderId="20" xfId="0" applyFont="1" applyFill="1" applyBorder="1" applyAlignment="1">
      <alignment horizontal="right" vertical="center"/>
    </xf>
    <xf numFmtId="167" fontId="15" fillId="4" borderId="24" xfId="0" applyNumberFormat="1" applyFont="1" applyFill="1" applyBorder="1" applyAlignment="1">
      <alignment vertical="center"/>
    </xf>
    <xf numFmtId="10" fontId="14" fillId="4" borderId="20" xfId="9" applyFont="1" applyFill="1" applyBorder="1" applyAlignment="1">
      <alignment horizontal="right" vertical="center"/>
    </xf>
    <xf numFmtId="167" fontId="15" fillId="4" borderId="11" xfId="0" applyNumberFormat="1" applyFont="1" applyFill="1" applyBorder="1" applyAlignment="1">
      <alignment vertical="center"/>
    </xf>
    <xf numFmtId="0" fontId="14" fillId="0" borderId="0" xfId="0" applyFont="1" applyFill="1" applyBorder="1" applyAlignment="1">
      <alignment horizontal="right" vertical="center"/>
    </xf>
    <xf numFmtId="167" fontId="15" fillId="0" borderId="0" xfId="0" applyNumberFormat="1" applyFont="1" applyFill="1" applyBorder="1" applyAlignment="1">
      <alignment vertical="center"/>
    </xf>
    <xf numFmtId="10" fontId="14" fillId="0" borderId="0" xfId="9" applyFont="1" applyFill="1" applyBorder="1" applyAlignment="1">
      <alignment horizontal="right" vertical="center"/>
    </xf>
    <xf numFmtId="167" fontId="23" fillId="0" borderId="62" xfId="0" applyNumberFormat="1" applyFont="1" applyBorder="1" applyAlignment="1">
      <alignment vertical="center"/>
    </xf>
    <xf numFmtId="10" fontId="34" fillId="0" borderId="25" xfId="9" applyFont="1" applyBorder="1" applyAlignment="1">
      <alignment vertical="center"/>
    </xf>
    <xf numFmtId="167" fontId="23" fillId="0" borderId="33" xfId="0" applyNumberFormat="1" applyFont="1" applyBorder="1" applyAlignment="1">
      <alignment vertical="center"/>
    </xf>
    <xf numFmtId="167" fontId="23" fillId="0" borderId="31" xfId="0" applyNumberFormat="1" applyFont="1" applyBorder="1" applyAlignment="1" applyProtection="1">
      <alignment vertical="center"/>
    </xf>
    <xf numFmtId="0" fontId="10" fillId="0" borderId="53" xfId="0" applyFont="1" applyFill="1" applyBorder="1" applyAlignment="1">
      <alignment horizontal="center" vertical="center"/>
    </xf>
    <xf numFmtId="0" fontId="23" fillId="0" borderId="11" xfId="0" applyFont="1" applyBorder="1" applyAlignment="1" applyProtection="1">
      <alignment vertical="center"/>
    </xf>
    <xf numFmtId="0" fontId="23" fillId="0" borderId="11" xfId="0" applyFont="1" applyBorder="1" applyAlignment="1" applyProtection="1">
      <alignment horizontal="center" vertical="center"/>
    </xf>
    <xf numFmtId="0" fontId="27" fillId="0" borderId="13" xfId="0" applyFont="1" applyBorder="1" applyAlignment="1" applyProtection="1">
      <alignment vertical="center"/>
    </xf>
    <xf numFmtId="0" fontId="27" fillId="0" borderId="0" xfId="0" applyFont="1" applyBorder="1" applyAlignment="1" applyProtection="1">
      <alignment vertical="center"/>
    </xf>
    <xf numFmtId="0" fontId="27" fillId="0" borderId="0" xfId="0" applyFont="1" applyBorder="1" applyAlignment="1" applyProtection="1">
      <alignment horizontal="center" vertical="center"/>
    </xf>
    <xf numFmtId="0" fontId="23" fillId="0" borderId="0" xfId="0" applyFont="1" applyBorder="1" applyAlignment="1" applyProtection="1">
      <alignment vertical="center"/>
    </xf>
    <xf numFmtId="0" fontId="23" fillId="0" borderId="0" xfId="0" applyFont="1" applyBorder="1" applyAlignment="1" applyProtection="1">
      <alignment horizontal="center" vertical="center"/>
    </xf>
    <xf numFmtId="0" fontId="27" fillId="0" borderId="21" xfId="0" applyFont="1" applyBorder="1" applyAlignment="1" applyProtection="1">
      <alignment vertical="center"/>
    </xf>
    <xf numFmtId="0" fontId="27" fillId="0" borderId="17" xfId="0" applyFont="1" applyBorder="1" applyAlignment="1" applyProtection="1">
      <alignment vertical="center"/>
    </xf>
    <xf numFmtId="0" fontId="27" fillId="0" borderId="17" xfId="0" applyFont="1" applyBorder="1" applyAlignment="1" applyProtection="1">
      <alignment horizontal="center" vertical="center"/>
    </xf>
    <xf numFmtId="0" fontId="14" fillId="4" borderId="18" xfId="0" applyFont="1" applyFill="1" applyBorder="1" applyAlignment="1" applyProtection="1">
      <alignment horizontal="right" vertical="center"/>
    </xf>
    <xf numFmtId="167" fontId="15" fillId="4" borderId="22" xfId="0" applyNumberFormat="1" applyFont="1" applyFill="1" applyBorder="1" applyAlignment="1" applyProtection="1">
      <alignment vertical="center"/>
    </xf>
    <xf numFmtId="10" fontId="14" fillId="4" borderId="18" xfId="9" applyFont="1" applyFill="1" applyBorder="1" applyAlignment="1" applyProtection="1">
      <alignment horizontal="right" vertical="center"/>
    </xf>
    <xf numFmtId="167" fontId="15" fillId="4" borderId="19" xfId="0" applyNumberFormat="1" applyFont="1" applyFill="1" applyBorder="1" applyAlignment="1" applyProtection="1">
      <alignment vertical="center"/>
    </xf>
    <xf numFmtId="0" fontId="25" fillId="0" borderId="18" xfId="0" applyFont="1" applyBorder="1" applyProtection="1"/>
    <xf numFmtId="0" fontId="25" fillId="0" borderId="19" xfId="0" applyFont="1" applyBorder="1" applyProtection="1"/>
    <xf numFmtId="179" fontId="34" fillId="16" borderId="29" xfId="0" applyNumberFormat="1" applyFont="1" applyFill="1" applyBorder="1" applyAlignment="1" applyProtection="1">
      <alignment horizontal="center" vertical="center"/>
      <protection locked="0"/>
    </xf>
    <xf numFmtId="179" fontId="34" fillId="16" borderId="30" xfId="0" applyNumberFormat="1" applyFont="1" applyFill="1" applyBorder="1" applyAlignment="1" applyProtection="1">
      <alignment horizontal="center" vertical="center"/>
      <protection locked="0"/>
    </xf>
    <xf numFmtId="179" fontId="34" fillId="16" borderId="27" xfId="0" applyNumberFormat="1" applyFont="1" applyFill="1" applyBorder="1" applyAlignment="1" applyProtection="1">
      <alignment horizontal="center" vertical="center"/>
      <protection locked="0"/>
    </xf>
    <xf numFmtId="179" fontId="34" fillId="16" borderId="26" xfId="0" applyNumberFormat="1" applyFont="1" applyFill="1" applyBorder="1" applyAlignment="1" applyProtection="1">
      <alignment horizontal="center" vertical="center"/>
      <protection locked="0"/>
    </xf>
    <xf numFmtId="167" fontId="23" fillId="0" borderId="11" xfId="0" applyNumberFormat="1" applyFont="1" applyBorder="1" applyAlignment="1" applyProtection="1">
      <alignment vertical="center"/>
    </xf>
    <xf numFmtId="167" fontId="27" fillId="0" borderId="0" xfId="0" applyNumberFormat="1" applyFont="1" applyBorder="1" applyAlignment="1" applyProtection="1">
      <alignment vertical="center"/>
    </xf>
    <xf numFmtId="167" fontId="23" fillId="0" borderId="0" xfId="0" applyNumberFormat="1" applyFont="1" applyBorder="1" applyAlignment="1" applyProtection="1">
      <alignment vertical="center"/>
    </xf>
    <xf numFmtId="167" fontId="27" fillId="0" borderId="17" xfId="0" applyNumberFormat="1" applyFont="1" applyBorder="1" applyAlignment="1" applyProtection="1">
      <alignment vertical="center"/>
    </xf>
    <xf numFmtId="0" fontId="23" fillId="0" borderId="27" xfId="0" applyFont="1" applyBorder="1" applyAlignment="1" applyProtection="1">
      <alignment vertical="center" wrapText="1"/>
    </xf>
    <xf numFmtId="167" fontId="46" fillId="2" borderId="35" xfId="0" applyNumberFormat="1" applyFont="1" applyFill="1" applyBorder="1" applyAlignment="1">
      <alignment vertical="center"/>
    </xf>
    <xf numFmtId="0" fontId="32" fillId="2" borderId="33" xfId="0" applyFont="1" applyFill="1" applyBorder="1"/>
    <xf numFmtId="167" fontId="31" fillId="2" borderId="35" xfId="0" applyNumberFormat="1" applyFont="1" applyFill="1" applyBorder="1" applyAlignment="1">
      <alignment vertical="center"/>
    </xf>
    <xf numFmtId="0" fontId="49" fillId="2" borderId="8" xfId="0" applyFont="1" applyFill="1" applyBorder="1" applyAlignment="1">
      <alignment vertical="center"/>
    </xf>
    <xf numFmtId="0" fontId="15" fillId="2" borderId="8" xfId="0" applyFont="1" applyFill="1" applyBorder="1" applyAlignment="1">
      <alignment vertical="center"/>
    </xf>
    <xf numFmtId="0" fontId="15" fillId="2" borderId="35" xfId="0" applyFont="1" applyFill="1" applyBorder="1" applyAlignment="1">
      <alignment vertical="center"/>
    </xf>
    <xf numFmtId="0" fontId="48" fillId="2" borderId="33" xfId="0" applyFont="1" applyFill="1" applyBorder="1"/>
    <xf numFmtId="179" fontId="34" fillId="17" borderId="26" xfId="0" applyNumberFormat="1" applyFont="1" applyFill="1" applyBorder="1" applyAlignment="1" applyProtection="1">
      <alignment horizontal="center" vertical="center"/>
      <protection locked="0"/>
    </xf>
    <xf numFmtId="179" fontId="34" fillId="18" borderId="26" xfId="0" applyNumberFormat="1" applyFont="1" applyFill="1" applyBorder="1" applyAlignment="1" applyProtection="1">
      <alignment horizontal="center" vertical="center"/>
      <protection locked="0"/>
    </xf>
    <xf numFmtId="2" fontId="20" fillId="0" borderId="27" xfId="10" applyNumberFormat="1" applyFont="1" applyFill="1" applyBorder="1" applyProtection="1"/>
    <xf numFmtId="0" fontId="66" fillId="0" borderId="23" xfId="0" applyFont="1" applyBorder="1" applyAlignment="1" applyProtection="1">
      <alignment horizontal="center" vertical="center" wrapText="1"/>
    </xf>
    <xf numFmtId="179" fontId="34" fillId="16" borderId="18" xfId="0" applyNumberFormat="1" applyFont="1" applyFill="1" applyBorder="1" applyAlignment="1" applyProtection="1">
      <alignment horizontal="center" vertical="center"/>
      <protection locked="0"/>
    </xf>
    <xf numFmtId="0" fontId="20" fillId="0" borderId="13" xfId="0" applyFont="1" applyBorder="1" applyProtection="1"/>
    <xf numFmtId="0" fontId="66" fillId="0" borderId="14" xfId="0" applyFont="1" applyBorder="1" applyAlignment="1" applyProtection="1">
      <alignment horizontal="center" vertical="center" wrapText="1"/>
    </xf>
    <xf numFmtId="0" fontId="68" fillId="0" borderId="0" xfId="0" applyFont="1" applyFill="1" applyBorder="1" applyAlignment="1">
      <alignment horizontal="left" vertical="center"/>
    </xf>
    <xf numFmtId="0" fontId="11" fillId="0" borderId="0" xfId="21" applyFont="1"/>
    <xf numFmtId="0" fontId="11" fillId="0" borderId="26" xfId="22" applyFont="1" applyBorder="1" applyAlignment="1">
      <alignment horizontal="center"/>
    </xf>
    <xf numFmtId="0" fontId="13" fillId="0" borderId="26" xfId="22" applyFont="1" applyBorder="1" applyAlignment="1">
      <alignment horizontal="center" vertical="center"/>
    </xf>
    <xf numFmtId="0" fontId="13" fillId="0" borderId="30" xfId="22" applyFont="1" applyBorder="1" applyAlignment="1">
      <alignment horizontal="center" vertical="center"/>
    </xf>
    <xf numFmtId="10" fontId="11" fillId="0" borderId="28" xfId="23" applyNumberFormat="1" applyFont="1" applyBorder="1" applyAlignment="1">
      <alignment horizontal="center" vertical="center"/>
    </xf>
    <xf numFmtId="0" fontId="11" fillId="0" borderId="18" xfId="22" applyFont="1" applyBorder="1" applyAlignment="1">
      <alignment horizontal="center"/>
    </xf>
    <xf numFmtId="0" fontId="13" fillId="0" borderId="18" xfId="22" applyFont="1" applyBorder="1" applyAlignment="1">
      <alignment horizontal="center" vertical="center"/>
    </xf>
    <xf numFmtId="0" fontId="13" fillId="0" borderId="31" xfId="22" applyFont="1" applyBorder="1" applyAlignment="1">
      <alignment horizontal="center" vertical="center"/>
    </xf>
    <xf numFmtId="0" fontId="1" fillId="0" borderId="0" xfId="22"/>
    <xf numFmtId="0" fontId="11" fillId="0" borderId="22" xfId="21" applyFont="1" applyFill="1" applyBorder="1" applyAlignment="1" applyProtection="1">
      <alignment vertical="center"/>
    </xf>
    <xf numFmtId="0" fontId="11" fillId="0" borderId="32" xfId="21" applyFont="1" applyFill="1" applyBorder="1" applyAlignment="1" applyProtection="1">
      <alignment vertical="center"/>
    </xf>
    <xf numFmtId="0" fontId="13" fillId="0" borderId="29" xfId="22" applyFont="1" applyBorder="1" applyAlignment="1">
      <alignment horizontal="center" vertical="center"/>
    </xf>
    <xf numFmtId="0" fontId="20" fillId="0" borderId="18" xfId="0" applyFont="1" applyBorder="1" applyAlignment="1" applyProtection="1">
      <alignment vertical="center"/>
    </xf>
    <xf numFmtId="0" fontId="20" fillId="0" borderId="26" xfId="0" applyFont="1" applyBorder="1" applyProtection="1"/>
    <xf numFmtId="49" fontId="14" fillId="4" borderId="22" xfId="0" applyNumberFormat="1" applyFont="1" applyFill="1" applyBorder="1" applyAlignment="1">
      <alignment vertical="center"/>
    </xf>
    <xf numFmtId="0" fontId="61" fillId="0" borderId="21" xfId="0" applyFont="1" applyFill="1" applyBorder="1" applyAlignment="1">
      <alignment horizontal="left"/>
    </xf>
    <xf numFmtId="0" fontId="20" fillId="15" borderId="19" xfId="0" applyFont="1" applyFill="1" applyBorder="1"/>
    <xf numFmtId="0" fontId="9" fillId="0" borderId="26" xfId="21" applyFont="1" applyBorder="1"/>
    <xf numFmtId="0" fontId="9" fillId="0" borderId="26" xfId="21" applyFont="1" applyFill="1" applyBorder="1" applyAlignment="1" applyProtection="1"/>
    <xf numFmtId="0" fontId="11" fillId="0" borderId="19" xfId="21" applyFont="1" applyFill="1" applyBorder="1" applyAlignment="1" applyProtection="1">
      <alignment vertical="top"/>
    </xf>
    <xf numFmtId="0" fontId="11" fillId="0" borderId="27" xfId="21" applyFont="1" applyBorder="1" applyAlignment="1">
      <alignment vertical="center" wrapText="1"/>
    </xf>
    <xf numFmtId="0" fontId="11" fillId="0" borderId="28" xfId="21" applyFont="1" applyBorder="1" applyAlignment="1">
      <alignment vertical="center" wrapText="1"/>
    </xf>
    <xf numFmtId="0" fontId="13" fillId="0" borderId="29" xfId="21" applyFont="1" applyBorder="1" applyAlignment="1">
      <alignment horizontal="center" vertical="center"/>
    </xf>
    <xf numFmtId="1" fontId="11" fillId="0" borderId="26" xfId="21" applyNumberFormat="1" applyFont="1" applyBorder="1" applyAlignment="1">
      <alignment horizontal="center" vertical="center"/>
    </xf>
    <xf numFmtId="0" fontId="11" fillId="0" borderId="26" xfId="21" applyFont="1" applyBorder="1" applyAlignment="1">
      <alignment horizontal="center" vertical="center"/>
    </xf>
    <xf numFmtId="1" fontId="11" fillId="0" borderId="28" xfId="21" applyNumberFormat="1" applyFont="1" applyBorder="1" applyAlignment="1">
      <alignment horizontal="center" vertical="center"/>
    </xf>
    <xf numFmtId="0" fontId="20" fillId="0" borderId="28" xfId="0" applyFont="1" applyBorder="1" applyProtection="1"/>
    <xf numFmtId="167" fontId="23" fillId="2" borderId="40" xfId="9" applyNumberFormat="1" applyFont="1" applyFill="1" applyBorder="1" applyAlignment="1" applyProtection="1">
      <alignment vertical="center"/>
      <protection locked="0"/>
    </xf>
    <xf numFmtId="44" fontId="23" fillId="2" borderId="40" xfId="15" applyFont="1" applyFill="1" applyBorder="1" applyAlignment="1" applyProtection="1">
      <alignment vertical="center"/>
      <protection locked="0"/>
    </xf>
    <xf numFmtId="0" fontId="20" fillId="2" borderId="18" xfId="0" applyFont="1" applyFill="1" applyBorder="1" applyAlignment="1" applyProtection="1">
      <alignment horizontal="left"/>
      <protection locked="0"/>
    </xf>
    <xf numFmtId="0" fontId="66" fillId="0" borderId="23" xfId="0" applyFont="1" applyBorder="1" applyAlignment="1" applyProtection="1">
      <alignment horizontal="center" vertical="center" wrapText="1"/>
    </xf>
    <xf numFmtId="0" fontId="80" fillId="0" borderId="18" xfId="0" applyFont="1" applyBorder="1" applyAlignment="1" applyProtection="1">
      <alignment horizontal="right" vertical="center"/>
    </xf>
    <xf numFmtId="177" fontId="80" fillId="0" borderId="19" xfId="10" applyNumberFormat="1" applyFont="1" applyFill="1" applyBorder="1" applyAlignment="1" applyProtection="1">
      <alignment vertical="center"/>
    </xf>
    <xf numFmtId="186" fontId="20" fillId="0" borderId="19" xfId="0" applyNumberFormat="1" applyFont="1" applyBorder="1" applyAlignment="1" applyProtection="1">
      <alignment horizontal="center"/>
    </xf>
    <xf numFmtId="182" fontId="20" fillId="15" borderId="13" xfId="0" applyNumberFormat="1" applyFont="1" applyFill="1" applyBorder="1" applyProtection="1"/>
    <xf numFmtId="0" fontId="20" fillId="15" borderId="19" xfId="0" applyFont="1" applyFill="1" applyBorder="1" applyAlignment="1" applyProtection="1">
      <alignment horizontal="right"/>
    </xf>
    <xf numFmtId="0" fontId="20" fillId="2" borderId="26" xfId="0" applyFont="1" applyFill="1" applyBorder="1" applyProtection="1">
      <protection locked="0"/>
    </xf>
    <xf numFmtId="0" fontId="66" fillId="0" borderId="19" xfId="0" applyFont="1" applyBorder="1" applyAlignment="1" applyProtection="1">
      <alignment horizontal="center" vertical="center" wrapText="1"/>
    </xf>
    <xf numFmtId="0" fontId="23" fillId="0" borderId="0" xfId="0" applyFont="1" applyBorder="1" applyAlignment="1">
      <alignment horizontal="left" vertical="center"/>
    </xf>
    <xf numFmtId="0" fontId="23" fillId="0" borderId="18" xfId="0" applyFont="1" applyBorder="1" applyAlignment="1">
      <alignment horizontal="center" vertical="center"/>
    </xf>
    <xf numFmtId="0" fontId="23" fillId="0" borderId="19" xfId="0" applyFont="1" applyBorder="1" applyAlignment="1">
      <alignment horizontal="center" vertical="center"/>
    </xf>
    <xf numFmtId="0" fontId="27" fillId="0" borderId="22" xfId="0" applyFont="1" applyBorder="1" applyAlignment="1">
      <alignment horizontal="center" vertical="center"/>
    </xf>
    <xf numFmtId="0" fontId="23" fillId="0" borderId="11" xfId="0" applyFont="1" applyBorder="1" applyAlignment="1">
      <alignment vertical="center"/>
    </xf>
    <xf numFmtId="0" fontId="23" fillId="0" borderId="21" xfId="0" applyFont="1" applyBorder="1" applyAlignment="1">
      <alignment vertical="center"/>
    </xf>
    <xf numFmtId="0" fontId="23" fillId="0" borderId="17" xfId="0" applyFont="1" applyBorder="1" applyAlignment="1">
      <alignment vertical="center"/>
    </xf>
    <xf numFmtId="0" fontId="23" fillId="0" borderId="23" xfId="0" applyFont="1" applyBorder="1" applyAlignment="1">
      <alignment vertical="center"/>
    </xf>
    <xf numFmtId="0" fontId="23" fillId="0" borderId="21" xfId="0" applyFont="1" applyBorder="1" applyAlignment="1">
      <alignment horizontal="center" vertical="center"/>
    </xf>
    <xf numFmtId="0" fontId="23" fillId="0" borderId="17" xfId="0" applyFont="1" applyBorder="1" applyAlignment="1">
      <alignment horizontal="center" vertical="center"/>
    </xf>
    <xf numFmtId="0" fontId="23" fillId="0" borderId="23" xfId="0" applyFont="1" applyBorder="1" applyAlignment="1">
      <alignment horizontal="center" vertical="center"/>
    </xf>
    <xf numFmtId="0" fontId="11" fillId="0" borderId="13" xfId="0" applyFont="1" applyBorder="1" applyAlignment="1">
      <alignment horizontal="left" vertical="center"/>
    </xf>
    <xf numFmtId="0" fontId="14" fillId="0" borderId="0" xfId="0" applyFont="1" applyBorder="1" applyAlignment="1">
      <alignment horizontal="center" vertical="center"/>
    </xf>
    <xf numFmtId="0" fontId="11" fillId="0" borderId="21" xfId="0" applyFont="1" applyBorder="1" applyAlignment="1">
      <alignment horizontal="center" vertical="center"/>
    </xf>
    <xf numFmtId="0" fontId="19" fillId="0" borderId="18" xfId="0" applyFont="1" applyBorder="1" applyAlignment="1">
      <alignment horizontal="center" vertical="center"/>
    </xf>
    <xf numFmtId="0" fontId="25" fillId="0" borderId="20" xfId="0" applyFont="1" applyBorder="1"/>
    <xf numFmtId="0" fontId="20" fillId="0" borderId="13" xfId="0" applyFont="1" applyBorder="1"/>
    <xf numFmtId="0" fontId="20" fillId="0" borderId="13" xfId="0" applyFont="1" applyBorder="1" applyAlignment="1">
      <alignment vertical="center" wrapText="1"/>
    </xf>
    <xf numFmtId="0" fontId="25" fillId="0" borderId="21" xfId="0" applyFont="1" applyBorder="1" applyAlignment="1">
      <alignment horizontal="left"/>
    </xf>
    <xf numFmtId="0" fontId="20" fillId="0" borderId="17" xfId="0" applyFont="1" applyBorder="1" applyAlignment="1">
      <alignment horizontal="left" vertical="top" wrapText="1"/>
    </xf>
    <xf numFmtId="0" fontId="20" fillId="0" borderId="23" xfId="0" applyFont="1" applyBorder="1" applyAlignment="1">
      <alignment horizontal="left"/>
    </xf>
    <xf numFmtId="0" fontId="25" fillId="0" borderId="13" xfId="0" applyFont="1" applyBorder="1"/>
    <xf numFmtId="0" fontId="25" fillId="0" borderId="0" xfId="0" applyFont="1" applyBorder="1"/>
    <xf numFmtId="0" fontId="68" fillId="0" borderId="14" xfId="0" applyFont="1" applyBorder="1"/>
    <xf numFmtId="0" fontId="68" fillId="0" borderId="14" xfId="0" applyFont="1" applyBorder="1" applyAlignment="1">
      <alignment horizontal="left"/>
    </xf>
    <xf numFmtId="0" fontId="68" fillId="0" borderId="14" xfId="0" applyFont="1" applyFill="1" applyBorder="1"/>
    <xf numFmtId="0" fontId="15" fillId="19" borderId="18" xfId="0" applyFont="1" applyFill="1" applyBorder="1" applyAlignment="1">
      <alignment vertical="center"/>
    </xf>
    <xf numFmtId="0" fontId="15" fillId="19" borderId="19" xfId="0" applyFont="1" applyFill="1" applyBorder="1" applyAlignment="1">
      <alignment vertical="center"/>
    </xf>
    <xf numFmtId="167" fontId="15" fillId="19" borderId="18" xfId="0" applyNumberFormat="1" applyFont="1" applyFill="1" applyBorder="1" applyAlignment="1">
      <alignment vertical="center"/>
    </xf>
    <xf numFmtId="0" fontId="87" fillId="20" borderId="18" xfId="0" applyFont="1" applyFill="1" applyBorder="1" applyAlignment="1">
      <alignment vertical="center"/>
    </xf>
    <xf numFmtId="0" fontId="87" fillId="20" borderId="19" xfId="0" applyFont="1" applyFill="1" applyBorder="1" applyAlignment="1">
      <alignment vertical="center"/>
    </xf>
    <xf numFmtId="167" fontId="87" fillId="20" borderId="18" xfId="0" applyNumberFormat="1" applyFont="1" applyFill="1" applyBorder="1" applyAlignment="1">
      <alignment vertical="center"/>
    </xf>
    <xf numFmtId="167" fontId="87" fillId="20" borderId="26" xfId="0" applyNumberFormat="1" applyFont="1" applyFill="1" applyBorder="1" applyAlignment="1">
      <alignment vertical="center"/>
    </xf>
    <xf numFmtId="4" fontId="23" fillId="0" borderId="34" xfId="0" applyNumberFormat="1" applyFont="1" applyBorder="1" applyAlignment="1">
      <alignment vertical="center"/>
    </xf>
    <xf numFmtId="0" fontId="40" fillId="0" borderId="0" xfId="0" applyFont="1" applyBorder="1" applyAlignment="1">
      <alignment vertical="center"/>
    </xf>
    <xf numFmtId="0" fontId="42" fillId="0" borderId="0" xfId="0" applyFont="1" applyBorder="1"/>
    <xf numFmtId="0" fontId="14" fillId="0" borderId="13" xfId="0" applyFont="1" applyFill="1" applyBorder="1" applyAlignment="1">
      <alignment horizontal="right" vertical="center"/>
    </xf>
    <xf numFmtId="0" fontId="23" fillId="0" borderId="25" xfId="0" applyFont="1" applyFill="1" applyBorder="1" applyAlignment="1" applyProtection="1">
      <alignment vertical="center"/>
    </xf>
    <xf numFmtId="0" fontId="23" fillId="0" borderId="13" xfId="0" applyFont="1" applyBorder="1" applyProtection="1"/>
    <xf numFmtId="0" fontId="23" fillId="0" borderId="0" xfId="0" applyFont="1" applyBorder="1" applyProtection="1"/>
    <xf numFmtId="0" fontId="25" fillId="0" borderId="20" xfId="0" applyFont="1" applyBorder="1" applyProtection="1"/>
    <xf numFmtId="0" fontId="23" fillId="0" borderId="81" xfId="0" applyFont="1" applyFill="1" applyBorder="1" applyAlignment="1">
      <alignment horizontal="center" vertical="center"/>
    </xf>
    <xf numFmtId="0" fontId="23" fillId="0" borderId="34" xfId="0" applyFont="1" applyFill="1" applyBorder="1" applyAlignment="1">
      <alignment horizontal="center" vertical="center"/>
    </xf>
    <xf numFmtId="0" fontId="23" fillId="0" borderId="46" xfId="0" applyFont="1" applyFill="1" applyBorder="1" applyAlignment="1">
      <alignment vertical="center"/>
    </xf>
    <xf numFmtId="0" fontId="23" fillId="0" borderId="29" xfId="0" applyFont="1" applyBorder="1" applyProtection="1"/>
    <xf numFmtId="2" fontId="77" fillId="0" borderId="22" xfId="0" applyNumberFormat="1" applyFont="1" applyBorder="1" applyAlignment="1">
      <alignment horizontal="center" vertical="center"/>
    </xf>
    <xf numFmtId="2" fontId="77" fillId="0" borderId="19" xfId="0" applyNumberFormat="1" applyFont="1" applyFill="1" applyBorder="1" applyAlignment="1">
      <alignment horizontal="center" vertical="center"/>
    </xf>
    <xf numFmtId="171" fontId="34" fillId="0" borderId="40" xfId="0" applyNumberFormat="1" applyFont="1" applyFill="1" applyBorder="1" applyAlignment="1">
      <alignment horizontal="center" vertical="center"/>
    </xf>
    <xf numFmtId="188" fontId="23" fillId="2" borderId="28" xfId="0" applyNumberFormat="1" applyFont="1" applyFill="1" applyBorder="1" applyAlignment="1" applyProtection="1">
      <alignment vertical="center"/>
      <protection locked="0"/>
    </xf>
    <xf numFmtId="188" fontId="23" fillId="2" borderId="26" xfId="0" applyNumberFormat="1" applyFont="1" applyFill="1" applyBorder="1" applyAlignment="1" applyProtection="1">
      <alignment vertical="center"/>
      <protection locked="0"/>
    </xf>
    <xf numFmtId="188" fontId="23" fillId="2" borderId="30" xfId="0" applyNumberFormat="1" applyFont="1" applyFill="1" applyBorder="1" applyAlignment="1" applyProtection="1">
      <alignment vertical="center"/>
      <protection locked="0"/>
    </xf>
    <xf numFmtId="189" fontId="23" fillId="2" borderId="26" xfId="0" applyNumberFormat="1" applyFont="1" applyFill="1" applyBorder="1" applyAlignment="1" applyProtection="1">
      <alignment vertical="center"/>
      <protection locked="0"/>
    </xf>
    <xf numFmtId="189" fontId="23" fillId="2" borderId="30" xfId="0" applyNumberFormat="1" applyFont="1" applyFill="1" applyBorder="1" applyAlignment="1" applyProtection="1">
      <alignment vertical="center"/>
      <protection locked="0"/>
    </xf>
    <xf numFmtId="189" fontId="27" fillId="0" borderId="25" xfId="0" applyNumberFormat="1" applyFont="1" applyBorder="1" applyAlignment="1">
      <alignment vertical="center"/>
    </xf>
    <xf numFmtId="0" fontId="34" fillId="0" borderId="18" xfId="0" applyFont="1" applyBorder="1" applyAlignment="1">
      <alignment horizontal="left" vertical="center"/>
    </xf>
    <xf numFmtId="0" fontId="23" fillId="0" borderId="17" xfId="0" applyFont="1" applyBorder="1" applyAlignment="1">
      <alignment vertical="center"/>
    </xf>
    <xf numFmtId="4" fontId="23" fillId="5" borderId="29" xfId="0" applyNumberFormat="1" applyFont="1" applyFill="1" applyBorder="1" applyAlignment="1">
      <alignment horizontal="center" vertical="center"/>
    </xf>
    <xf numFmtId="0" fontId="20" fillId="0" borderId="0" xfId="0" applyFont="1" applyBorder="1" applyAlignment="1">
      <alignment horizontal="left" vertical="top" wrapText="1"/>
    </xf>
    <xf numFmtId="0" fontId="20" fillId="0" borderId="0" xfId="0" applyFont="1" applyBorder="1" applyAlignment="1">
      <alignment horizontal="left" vertical="top" wrapText="1"/>
    </xf>
    <xf numFmtId="0" fontId="34" fillId="0" borderId="19" xfId="0" applyFont="1" applyBorder="1" applyAlignment="1">
      <alignment horizontal="center" vertical="center"/>
    </xf>
    <xf numFmtId="0" fontId="34" fillId="0" borderId="18" xfId="0" applyFont="1" applyBorder="1" applyAlignment="1">
      <alignment horizontal="right" vertical="center"/>
    </xf>
    <xf numFmtId="0" fontId="77" fillId="0" borderId="18" xfId="0" applyFont="1" applyBorder="1" applyAlignment="1">
      <alignment horizontal="right" vertical="center"/>
    </xf>
    <xf numFmtId="44" fontId="23" fillId="0" borderId="35" xfId="0" applyNumberFormat="1" applyFont="1" applyFill="1" applyBorder="1" applyAlignment="1">
      <alignment vertical="center"/>
    </xf>
    <xf numFmtId="0" fontId="34" fillId="0" borderId="19" xfId="0" applyFont="1" applyBorder="1" applyAlignment="1">
      <alignment horizontal="right" vertical="center"/>
    </xf>
    <xf numFmtId="0" fontId="34" fillId="0" borderId="11" xfId="0" applyFont="1" applyBorder="1" applyAlignment="1">
      <alignment horizontal="right" vertical="center"/>
    </xf>
    <xf numFmtId="0" fontId="25" fillId="0" borderId="13" xfId="0" applyFont="1" applyBorder="1" applyAlignment="1">
      <alignment horizontal="left"/>
    </xf>
    <xf numFmtId="0" fontId="25" fillId="0" borderId="0" xfId="0" applyFont="1" applyBorder="1" applyAlignment="1">
      <alignment horizontal="left"/>
    </xf>
    <xf numFmtId="0" fontId="20" fillId="0" borderId="0" xfId="0" applyFont="1" applyBorder="1" applyAlignment="1">
      <alignment horizontal="left"/>
    </xf>
    <xf numFmtId="10" fontId="20" fillId="0" borderId="0" xfId="0" applyNumberFormat="1" applyFont="1" applyBorder="1" applyAlignment="1">
      <alignment horizontal="left" vertical="top" wrapText="1"/>
    </xf>
    <xf numFmtId="44" fontId="20" fillId="0" borderId="0" xfId="0" applyNumberFormat="1" applyFont="1" applyBorder="1" applyAlignment="1">
      <alignment horizontal="left" vertical="top" wrapText="1"/>
    </xf>
    <xf numFmtId="2" fontId="23" fillId="0" borderId="0" xfId="0" applyNumberFormat="1" applyFont="1" applyBorder="1" applyAlignment="1">
      <alignment horizontal="left" vertical="top" wrapText="1"/>
    </xf>
    <xf numFmtId="2" fontId="23" fillId="0" borderId="17" xfId="0" applyNumberFormat="1" applyFont="1" applyBorder="1" applyAlignment="1">
      <alignment horizontal="left" vertical="top" wrapText="1"/>
    </xf>
    <xf numFmtId="10" fontId="23" fillId="0" borderId="17" xfId="9" applyFont="1" applyBorder="1"/>
    <xf numFmtId="44" fontId="20" fillId="0" borderId="27" xfId="0" applyNumberFormat="1" applyFont="1" applyBorder="1" applyAlignment="1">
      <alignment horizontal="left" vertical="top" wrapText="1"/>
    </xf>
    <xf numFmtId="44" fontId="20" fillId="0" borderId="28" xfId="0" applyNumberFormat="1" applyFont="1" applyBorder="1" applyAlignment="1">
      <alignment horizontal="left" vertical="top" wrapText="1"/>
    </xf>
    <xf numFmtId="0" fontId="25" fillId="0" borderId="20" xfId="0" applyFont="1" applyBorder="1" applyAlignment="1">
      <alignment horizontal="left"/>
    </xf>
    <xf numFmtId="0" fontId="20" fillId="0" borderId="11" xfId="0" applyFont="1" applyBorder="1" applyAlignment="1">
      <alignment horizontal="left" vertical="top" wrapText="1"/>
    </xf>
    <xf numFmtId="10" fontId="20" fillId="0" borderId="11" xfId="0" applyNumberFormat="1" applyFont="1" applyBorder="1" applyAlignment="1">
      <alignment horizontal="left" vertical="top" wrapText="1"/>
    </xf>
    <xf numFmtId="0" fontId="0" fillId="0" borderId="11" xfId="0" applyBorder="1"/>
    <xf numFmtId="0" fontId="0" fillId="0" borderId="24" xfId="0" applyBorder="1"/>
    <xf numFmtId="0" fontId="0" fillId="0" borderId="14" xfId="0" applyBorder="1"/>
    <xf numFmtId="10" fontId="20" fillId="0" borderId="17" xfId="0" applyNumberFormat="1" applyFont="1" applyBorder="1" applyAlignment="1">
      <alignment horizontal="left" vertical="top" wrapText="1"/>
    </xf>
    <xf numFmtId="0" fontId="0" fillId="0" borderId="17" xfId="0" applyBorder="1"/>
    <xf numFmtId="0" fontId="0" fillId="0" borderId="23" xfId="0" applyBorder="1"/>
    <xf numFmtId="10" fontId="20" fillId="0" borderId="27" xfId="9" applyFont="1" applyBorder="1"/>
    <xf numFmtId="10" fontId="20" fillId="0" borderId="28" xfId="9" applyFont="1" applyBorder="1"/>
    <xf numFmtId="0" fontId="20" fillId="0" borderId="13" xfId="0" applyFont="1" applyBorder="1" applyAlignment="1">
      <alignment horizontal="left"/>
    </xf>
    <xf numFmtId="44" fontId="20" fillId="0" borderId="14" xfId="0" applyNumberFormat="1" applyFont="1" applyBorder="1" applyAlignment="1">
      <alignment horizontal="left" vertical="top" wrapText="1"/>
    </xf>
    <xf numFmtId="0" fontId="20" fillId="0" borderId="21" xfId="0" applyFont="1" applyBorder="1" applyAlignment="1">
      <alignment horizontal="left"/>
    </xf>
    <xf numFmtId="44" fontId="20" fillId="0" borderId="23" xfId="0" applyNumberFormat="1" applyFont="1" applyBorder="1" applyAlignment="1">
      <alignment horizontal="left" vertical="top" wrapText="1"/>
    </xf>
    <xf numFmtId="10" fontId="20" fillId="0" borderId="17" xfId="9" applyFont="1" applyBorder="1"/>
    <xf numFmtId="2" fontId="23" fillId="0" borderId="20" xfId="0" applyNumberFormat="1" applyFont="1" applyBorder="1" applyAlignment="1">
      <alignment horizontal="left"/>
    </xf>
    <xf numFmtId="2" fontId="23" fillId="0" borderId="11" xfId="0" applyNumberFormat="1" applyFont="1" applyBorder="1" applyAlignment="1">
      <alignment horizontal="left" vertical="top" wrapText="1"/>
    </xf>
    <xf numFmtId="10" fontId="23" fillId="0" borderId="11" xfId="9" applyFont="1" applyBorder="1"/>
    <xf numFmtId="2" fontId="23" fillId="0" borderId="13" xfId="0" applyNumberFormat="1" applyFont="1" applyBorder="1" applyAlignment="1">
      <alignment horizontal="left"/>
    </xf>
    <xf numFmtId="10" fontId="23" fillId="0" borderId="0" xfId="9" applyFont="1" applyBorder="1"/>
    <xf numFmtId="2" fontId="23" fillId="0" borderId="18" xfId="0" applyNumberFormat="1" applyFont="1" applyBorder="1" applyAlignment="1">
      <alignment horizontal="left"/>
    </xf>
    <xf numFmtId="2" fontId="23" fillId="0" borderId="19" xfId="0" applyNumberFormat="1" applyFont="1" applyBorder="1" applyAlignment="1">
      <alignment horizontal="left" vertical="top" wrapText="1"/>
    </xf>
    <xf numFmtId="44" fontId="23" fillId="0" borderId="19" xfId="15" applyFont="1" applyBorder="1" applyAlignment="1">
      <alignment horizontal="left" vertical="top" wrapText="1"/>
    </xf>
    <xf numFmtId="0" fontId="20" fillId="0" borderId="22" xfId="0" applyFont="1" applyBorder="1" applyAlignment="1">
      <alignment horizontal="left"/>
    </xf>
    <xf numFmtId="2" fontId="23" fillId="0" borderId="19" xfId="5" applyNumberFormat="1" applyFont="1" applyBorder="1" applyAlignment="1">
      <alignment horizontal="left"/>
    </xf>
    <xf numFmtId="0" fontId="23" fillId="0" borderId="22" xfId="0" applyFont="1" applyBorder="1" applyAlignment="1">
      <alignment horizontal="left"/>
    </xf>
    <xf numFmtId="44" fontId="23" fillId="0" borderId="18" xfId="15" applyFont="1" applyBorder="1" applyAlignment="1">
      <alignment horizontal="left" vertical="top" wrapText="1"/>
    </xf>
    <xf numFmtId="44" fontId="23" fillId="0" borderId="22" xfId="15" applyFont="1" applyBorder="1" applyAlignment="1">
      <alignment horizontal="left" vertical="top" wrapText="1"/>
    </xf>
    <xf numFmtId="10" fontId="55" fillId="0" borderId="16" xfId="9" applyNumberFormat="1" applyFont="1" applyBorder="1" applyAlignment="1">
      <alignment vertical="center"/>
    </xf>
    <xf numFmtId="174" fontId="23" fillId="0" borderId="27" xfId="0" applyNumberFormat="1" applyFont="1" applyBorder="1" applyAlignment="1">
      <alignment vertical="center"/>
    </xf>
    <xf numFmtId="174" fontId="23" fillId="0" borderId="29" xfId="0" applyNumberFormat="1" applyFont="1" applyBorder="1" applyAlignment="1">
      <alignment vertical="center"/>
    </xf>
    <xf numFmtId="165" fontId="23" fillId="0" borderId="29" xfId="9" applyNumberFormat="1" applyFont="1" applyBorder="1" applyAlignment="1">
      <alignment vertical="center"/>
    </xf>
    <xf numFmtId="10" fontId="55" fillId="0" borderId="28" xfId="9" applyNumberFormat="1" applyFont="1" applyBorder="1" applyAlignment="1">
      <alignment vertical="center"/>
    </xf>
    <xf numFmtId="10" fontId="23" fillId="2" borderId="30" xfId="0" applyNumberFormat="1" applyFont="1" applyFill="1" applyBorder="1" applyProtection="1">
      <protection locked="0"/>
    </xf>
    <xf numFmtId="0" fontId="23" fillId="0" borderId="46" xfId="0" applyFont="1" applyFill="1" applyBorder="1" applyAlignment="1">
      <alignment horizontal="center" vertical="center"/>
    </xf>
    <xf numFmtId="189" fontId="23" fillId="2" borderId="28" xfId="0" applyNumberFormat="1" applyFont="1" applyFill="1" applyBorder="1" applyAlignment="1" applyProtection="1">
      <alignment vertical="center"/>
      <protection locked="0"/>
    </xf>
    <xf numFmtId="169" fontId="34" fillId="0" borderId="9" xfId="0" applyNumberFormat="1" applyFont="1" applyBorder="1" applyAlignment="1">
      <alignment vertical="center"/>
    </xf>
    <xf numFmtId="169" fontId="34" fillId="0" borderId="17" xfId="0" applyNumberFormat="1" applyFont="1" applyBorder="1" applyAlignment="1">
      <alignment vertical="center"/>
    </xf>
    <xf numFmtId="0" fontId="23" fillId="0" borderId="75" xfId="0" applyFont="1" applyBorder="1" applyAlignment="1">
      <alignment horizontal="center" vertical="center"/>
    </xf>
    <xf numFmtId="167" fontId="23" fillId="2" borderId="53" xfId="0" applyNumberFormat="1" applyFont="1" applyFill="1" applyBorder="1" applyAlignment="1" applyProtection="1">
      <alignment vertical="center"/>
      <protection locked="0"/>
    </xf>
    <xf numFmtId="167" fontId="23" fillId="0" borderId="4" xfId="0" applyNumberFormat="1" applyFont="1" applyBorder="1" applyAlignment="1">
      <alignment vertical="center"/>
    </xf>
    <xf numFmtId="0" fontId="23" fillId="0" borderId="66" xfId="0" applyFont="1" applyBorder="1" applyAlignment="1">
      <alignment vertical="center"/>
    </xf>
    <xf numFmtId="168" fontId="23" fillId="0" borderId="4" xfId="0" applyNumberFormat="1" applyFont="1" applyBorder="1" applyAlignment="1">
      <alignment vertical="center"/>
    </xf>
    <xf numFmtId="0" fontId="25" fillId="0" borderId="11" xfId="0" applyFont="1" applyBorder="1" applyAlignment="1">
      <alignment horizontal="left" vertical="top" wrapText="1"/>
    </xf>
    <xf numFmtId="10" fontId="25" fillId="0" borderId="11" xfId="0" applyNumberFormat="1" applyFont="1" applyBorder="1" applyAlignment="1">
      <alignment horizontal="left" vertical="top" wrapText="1"/>
    </xf>
    <xf numFmtId="10" fontId="25" fillId="0" borderId="29" xfId="9" applyFont="1" applyBorder="1"/>
    <xf numFmtId="44" fontId="25" fillId="0" borderId="29" xfId="0" applyNumberFormat="1" applyFont="1" applyBorder="1" applyAlignment="1">
      <alignment horizontal="center" vertical="top" wrapText="1"/>
    </xf>
    <xf numFmtId="44" fontId="25" fillId="0" borderId="24" xfId="0" applyNumberFormat="1" applyFont="1" applyBorder="1" applyAlignment="1">
      <alignment horizontal="left" vertical="top" wrapText="1"/>
    </xf>
    <xf numFmtId="2" fontId="23" fillId="0" borderId="0" xfId="0" applyNumberFormat="1" applyFont="1" applyBorder="1"/>
    <xf numFmtId="2" fontId="23" fillId="0" borderId="13" xfId="0" applyNumberFormat="1" applyFont="1" applyBorder="1"/>
    <xf numFmtId="2" fontId="23" fillId="0" borderId="21" xfId="0" applyNumberFormat="1" applyFont="1" applyBorder="1" applyAlignment="1">
      <alignment horizontal="left"/>
    </xf>
    <xf numFmtId="44" fontId="92" fillId="21" borderId="13" xfId="15" applyFont="1" applyFill="1" applyBorder="1" applyAlignment="1">
      <alignment horizontal="left" vertical="top" wrapText="1"/>
    </xf>
    <xf numFmtId="44" fontId="92" fillId="21" borderId="14" xfId="15" applyFont="1" applyFill="1" applyBorder="1"/>
    <xf numFmtId="44" fontId="92" fillId="21" borderId="14" xfId="15" applyFont="1" applyFill="1" applyBorder="1" applyAlignment="1">
      <alignment horizontal="left" vertical="top" wrapText="1"/>
    </xf>
    <xf numFmtId="44" fontId="92" fillId="21" borderId="13" xfId="15" applyFont="1" applyFill="1" applyBorder="1"/>
    <xf numFmtId="44" fontId="92" fillId="21" borderId="21" xfId="15" applyFont="1" applyFill="1" applyBorder="1" applyAlignment="1">
      <alignment horizontal="left" vertical="top" wrapText="1"/>
    </xf>
    <xf numFmtId="44" fontId="92" fillId="21" borderId="23" xfId="15" applyFont="1" applyFill="1" applyBorder="1" applyAlignment="1">
      <alignment horizontal="left" vertical="top" wrapText="1"/>
    </xf>
    <xf numFmtId="44" fontId="92" fillId="21" borderId="20" xfId="15" applyFont="1" applyFill="1" applyBorder="1" applyAlignment="1">
      <alignment horizontal="left" vertical="top" wrapText="1"/>
    </xf>
    <xf numFmtId="44" fontId="92" fillId="21" borderId="24" xfId="15" applyFont="1" applyFill="1" applyBorder="1" applyAlignment="1">
      <alignment horizontal="left" vertical="top" wrapText="1"/>
    </xf>
    <xf numFmtId="44" fontId="92" fillId="6" borderId="13" xfId="15" applyFont="1" applyFill="1" applyBorder="1" applyAlignment="1">
      <alignment horizontal="left" vertical="top" wrapText="1"/>
    </xf>
    <xf numFmtId="44" fontId="92" fillId="6" borderId="14" xfId="15" applyFont="1" applyFill="1" applyBorder="1" applyAlignment="1">
      <alignment horizontal="left" vertical="top" wrapText="1"/>
    </xf>
    <xf numFmtId="44" fontId="92" fillId="6" borderId="21" xfId="15" applyFont="1" applyFill="1" applyBorder="1" applyAlignment="1">
      <alignment horizontal="left" vertical="top" wrapText="1"/>
    </xf>
    <xf numFmtId="44" fontId="92" fillId="6" borderId="23" xfId="15" applyFont="1" applyFill="1" applyBorder="1" applyAlignment="1">
      <alignment horizontal="left" vertical="top" wrapText="1"/>
    </xf>
    <xf numFmtId="44" fontId="92" fillId="6" borderId="20" xfId="15" applyFont="1" applyFill="1" applyBorder="1" applyAlignment="1">
      <alignment horizontal="left" vertical="top" wrapText="1"/>
    </xf>
    <xf numFmtId="44" fontId="92" fillId="6" borderId="11" xfId="15" applyFont="1" applyFill="1" applyBorder="1" applyAlignment="1">
      <alignment horizontal="left" vertical="top" wrapText="1"/>
    </xf>
    <xf numFmtId="0" fontId="91" fillId="0" borderId="26" xfId="0" applyFont="1" applyFill="1" applyBorder="1" applyAlignment="1">
      <alignment horizontal="left" vertical="top"/>
    </xf>
    <xf numFmtId="0" fontId="92" fillId="0" borderId="27" xfId="0" applyFont="1" applyFill="1" applyBorder="1" applyAlignment="1">
      <alignment horizontal="left"/>
    </xf>
    <xf numFmtId="44" fontId="92" fillId="0" borderId="27" xfId="0" applyNumberFormat="1" applyFont="1" applyFill="1" applyBorder="1" applyAlignment="1">
      <alignment horizontal="left"/>
    </xf>
    <xf numFmtId="44" fontId="92" fillId="0" borderId="28" xfId="0" applyNumberFormat="1" applyFont="1" applyFill="1" applyBorder="1" applyAlignment="1">
      <alignment horizontal="left"/>
    </xf>
    <xf numFmtId="44" fontId="92" fillId="0" borderId="29" xfId="0" applyNumberFormat="1" applyFont="1" applyFill="1" applyBorder="1" applyAlignment="1">
      <alignment horizontal="left"/>
    </xf>
    <xf numFmtId="44" fontId="23" fillId="0" borderId="27" xfId="0" applyNumberFormat="1" applyFont="1" applyFill="1" applyBorder="1" applyAlignment="1">
      <alignment horizontal="left"/>
    </xf>
    <xf numFmtId="44" fontId="23" fillId="0" borderId="28" xfId="0" applyNumberFormat="1" applyFont="1" applyFill="1" applyBorder="1" applyAlignment="1">
      <alignment horizontal="left"/>
    </xf>
    <xf numFmtId="2" fontId="23" fillId="22" borderId="13" xfId="0" applyNumberFormat="1" applyFont="1" applyFill="1" applyBorder="1" applyAlignment="1">
      <alignment horizontal="left"/>
    </xf>
    <xf numFmtId="2" fontId="23" fillId="22" borderId="0" xfId="0" applyNumberFormat="1" applyFont="1" applyFill="1" applyBorder="1" applyAlignment="1">
      <alignment horizontal="left" vertical="top" wrapText="1"/>
    </xf>
    <xf numFmtId="10" fontId="23" fillId="22" borderId="0" xfId="9" applyFont="1" applyFill="1" applyBorder="1"/>
    <xf numFmtId="44" fontId="23" fillId="22" borderId="13" xfId="15" applyFont="1" applyFill="1" applyBorder="1" applyAlignment="1">
      <alignment horizontal="left" vertical="top" wrapText="1"/>
    </xf>
    <xf numFmtId="44" fontId="23" fillId="22" borderId="14" xfId="15" applyFont="1" applyFill="1" applyBorder="1" applyAlignment="1">
      <alignment horizontal="left" vertical="top" wrapText="1"/>
    </xf>
    <xf numFmtId="44" fontId="23" fillId="22" borderId="0" xfId="15" applyFont="1" applyFill="1" applyBorder="1" applyAlignment="1">
      <alignment horizontal="left" vertical="top" wrapText="1"/>
    </xf>
    <xf numFmtId="2" fontId="23" fillId="23" borderId="13" xfId="0" applyNumberFormat="1" applyFont="1" applyFill="1" applyBorder="1" applyAlignment="1">
      <alignment horizontal="left"/>
    </xf>
    <xf numFmtId="2" fontId="23" fillId="23" borderId="0" xfId="0" applyNumberFormat="1" applyFont="1" applyFill="1" applyBorder="1" applyAlignment="1">
      <alignment horizontal="left" vertical="top" wrapText="1"/>
    </xf>
    <xf numFmtId="10" fontId="23" fillId="23" borderId="0" xfId="9" applyFont="1" applyFill="1" applyBorder="1"/>
    <xf numFmtId="44" fontId="23" fillId="23" borderId="13" xfId="15" applyFont="1" applyFill="1" applyBorder="1" applyAlignment="1">
      <alignment horizontal="left" vertical="top" wrapText="1"/>
    </xf>
    <xf numFmtId="44" fontId="23" fillId="23" borderId="14" xfId="15" applyFont="1" applyFill="1" applyBorder="1" applyAlignment="1">
      <alignment horizontal="left" vertical="top" wrapText="1"/>
    </xf>
    <xf numFmtId="44" fontId="23" fillId="23" borderId="0" xfId="15" applyFont="1" applyFill="1" applyBorder="1" applyAlignment="1">
      <alignment horizontal="left" vertical="top" wrapText="1"/>
    </xf>
    <xf numFmtId="2" fontId="23" fillId="24" borderId="13" xfId="0" applyNumberFormat="1" applyFont="1" applyFill="1" applyBorder="1" applyAlignment="1">
      <alignment horizontal="left"/>
    </xf>
    <xf numFmtId="2" fontId="23" fillId="24" borderId="0" xfId="0" applyNumberFormat="1" applyFont="1" applyFill="1" applyBorder="1" applyAlignment="1">
      <alignment horizontal="left" vertical="top" wrapText="1"/>
    </xf>
    <xf numFmtId="10" fontId="23" fillId="24" borderId="0" xfId="9" applyFont="1" applyFill="1" applyBorder="1"/>
    <xf numFmtId="44" fontId="23" fillId="24" borderId="13" xfId="15" applyFont="1" applyFill="1" applyBorder="1" applyAlignment="1">
      <alignment horizontal="left" vertical="top" wrapText="1"/>
    </xf>
    <xf numFmtId="44" fontId="23" fillId="24" borderId="14" xfId="15" applyFont="1" applyFill="1" applyBorder="1" applyAlignment="1">
      <alignment horizontal="left" vertical="top" wrapText="1"/>
    </xf>
    <xf numFmtId="44" fontId="23" fillId="24" borderId="0" xfId="15" applyFont="1" applyFill="1" applyBorder="1" applyAlignment="1">
      <alignment horizontal="left" vertical="top" wrapText="1"/>
    </xf>
    <xf numFmtId="44" fontId="23" fillId="0" borderId="25" xfId="15" applyFont="1" applyFill="1" applyBorder="1" applyAlignment="1" applyProtection="1">
      <alignment vertical="center"/>
    </xf>
    <xf numFmtId="4" fontId="23" fillId="5" borderId="40" xfId="0" applyNumberFormat="1" applyFont="1" applyFill="1" applyBorder="1" applyAlignment="1" applyProtection="1">
      <alignment vertical="center"/>
    </xf>
    <xf numFmtId="44" fontId="23" fillId="2" borderId="25" xfId="15" applyFont="1" applyFill="1" applyBorder="1" applyAlignment="1" applyProtection="1">
      <alignment vertical="center"/>
      <protection locked="0"/>
    </xf>
    <xf numFmtId="4" fontId="93" fillId="0" borderId="48" xfId="0" applyNumberFormat="1" applyFont="1" applyBorder="1" applyAlignment="1">
      <alignment horizontal="center" vertical="center"/>
    </xf>
    <xf numFmtId="0" fontId="66" fillId="14" borderId="3" xfId="0" applyFont="1" applyFill="1" applyBorder="1" applyAlignment="1" applyProtection="1">
      <alignment vertical="center" wrapText="1"/>
    </xf>
    <xf numFmtId="0" fontId="23" fillId="0" borderId="21" xfId="0" applyFont="1" applyBorder="1" applyProtection="1"/>
    <xf numFmtId="0" fontId="23" fillId="14" borderId="0" xfId="0" applyFont="1" applyFill="1" applyBorder="1" applyProtection="1"/>
    <xf numFmtId="10" fontId="55" fillId="0" borderId="18" xfId="9" applyFont="1" applyBorder="1" applyAlignment="1" applyProtection="1">
      <alignment vertical="center"/>
    </xf>
    <xf numFmtId="0" fontId="77" fillId="0" borderId="10" xfId="0" applyFont="1" applyBorder="1" applyAlignment="1">
      <alignment horizontal="center" vertical="center"/>
    </xf>
    <xf numFmtId="167" fontId="100" fillId="0" borderId="28" xfId="0" applyNumberFormat="1" applyFont="1" applyBorder="1" applyAlignment="1">
      <alignment vertical="center"/>
    </xf>
    <xf numFmtId="167" fontId="100" fillId="0" borderId="79" xfId="0" applyNumberFormat="1" applyFont="1" applyBorder="1" applyAlignment="1">
      <alignment horizontal="center" vertical="center"/>
    </xf>
    <xf numFmtId="169" fontId="55" fillId="0" borderId="80" xfId="0" applyNumberFormat="1" applyFont="1" applyFill="1" applyBorder="1"/>
    <xf numFmtId="167" fontId="100" fillId="0" borderId="52" xfId="0" applyNumberFormat="1" applyFont="1" applyFill="1" applyBorder="1" applyAlignment="1">
      <alignment horizontal="center" vertical="center"/>
    </xf>
    <xf numFmtId="169" fontId="55" fillId="0" borderId="53" xfId="0" applyNumberFormat="1" applyFont="1" applyFill="1" applyBorder="1"/>
    <xf numFmtId="167" fontId="100" fillId="0" borderId="76" xfId="0" applyNumberFormat="1" applyFont="1" applyFill="1" applyBorder="1" applyAlignment="1">
      <alignment horizontal="center" vertical="center"/>
    </xf>
    <xf numFmtId="167" fontId="100" fillId="0" borderId="27" xfId="0" applyNumberFormat="1" applyFont="1" applyBorder="1" applyAlignment="1">
      <alignment vertical="center"/>
    </xf>
    <xf numFmtId="167" fontId="100" fillId="0" borderId="54" xfId="0" applyNumberFormat="1" applyFont="1" applyFill="1" applyBorder="1" applyAlignment="1">
      <alignment horizontal="center" vertical="center"/>
    </xf>
    <xf numFmtId="167" fontId="100" fillId="0" borderId="30" xfId="0" applyNumberFormat="1" applyFont="1" applyFill="1" applyBorder="1" applyAlignment="1">
      <alignment horizontal="center" vertical="center"/>
    </xf>
    <xf numFmtId="169" fontId="55" fillId="0" borderId="55" xfId="0" applyNumberFormat="1" applyFont="1" applyFill="1" applyBorder="1"/>
    <xf numFmtId="0" fontId="100" fillId="0" borderId="68" xfId="0" applyFont="1" applyBorder="1" applyAlignment="1">
      <alignment horizontal="center" vertical="center"/>
    </xf>
    <xf numFmtId="171" fontId="100" fillId="0" borderId="42" xfId="5" applyNumberFormat="1" applyFont="1" applyBorder="1" applyAlignment="1">
      <alignment vertical="center"/>
    </xf>
    <xf numFmtId="10" fontId="23" fillId="0" borderId="28" xfId="9" applyNumberFormat="1" applyFont="1" applyBorder="1" applyAlignment="1" applyProtection="1">
      <alignment vertical="center"/>
    </xf>
    <xf numFmtId="10" fontId="23" fillId="0" borderId="18" xfId="9" applyNumberFormat="1" applyFont="1" applyFill="1" applyBorder="1" applyAlignment="1" applyProtection="1">
      <alignment vertical="center"/>
    </xf>
    <xf numFmtId="10" fontId="23" fillId="0" borderId="26" xfId="9" applyNumberFormat="1" applyFont="1" applyBorder="1" applyAlignment="1" applyProtection="1">
      <alignment vertical="center"/>
    </xf>
    <xf numFmtId="10" fontId="23" fillId="0" borderId="30" xfId="9" applyNumberFormat="1" applyFont="1" applyBorder="1" applyAlignment="1" applyProtection="1">
      <alignment vertical="center"/>
    </xf>
    <xf numFmtId="10" fontId="34" fillId="0" borderId="21" xfId="9" applyNumberFormat="1" applyFont="1" applyBorder="1" applyAlignment="1">
      <alignment horizontal="center" vertical="center"/>
    </xf>
    <xf numFmtId="10" fontId="23" fillId="0" borderId="23" xfId="9" applyFont="1" applyBorder="1" applyAlignment="1">
      <alignment vertical="center"/>
    </xf>
    <xf numFmtId="10" fontId="27" fillId="0" borderId="23" xfId="9" applyNumberFormat="1" applyFont="1" applyBorder="1" applyAlignment="1">
      <alignment vertical="center"/>
    </xf>
    <xf numFmtId="10" fontId="23" fillId="2" borderId="23" xfId="0" applyNumberFormat="1" applyFont="1" applyFill="1" applyBorder="1" applyProtection="1">
      <protection locked="0"/>
    </xf>
    <xf numFmtId="10" fontId="23" fillId="0" borderId="30" xfId="9" applyNumberFormat="1" applyFont="1" applyFill="1" applyBorder="1" applyAlignment="1" applyProtection="1">
      <alignment vertical="center"/>
    </xf>
    <xf numFmtId="0" fontId="54" fillId="0" borderId="13" xfId="0" applyNumberFormat="1" applyFont="1" applyFill="1" applyBorder="1" applyAlignment="1" applyProtection="1">
      <alignment wrapText="1"/>
    </xf>
    <xf numFmtId="0" fontId="54" fillId="0" borderId="18" xfId="0" applyFont="1" applyBorder="1" applyAlignment="1" applyProtection="1">
      <alignment horizontal="right" vertical="center"/>
    </xf>
    <xf numFmtId="191" fontId="54" fillId="0" borderId="22" xfId="0" applyNumberFormat="1" applyFont="1" applyBorder="1" applyAlignment="1" applyProtection="1">
      <alignment vertical="center"/>
    </xf>
    <xf numFmtId="0" fontId="54" fillId="0" borderId="13" xfId="0" applyFont="1" applyFill="1" applyBorder="1" applyAlignment="1" applyProtection="1"/>
    <xf numFmtId="185" fontId="54" fillId="0" borderId="14" xfId="15" applyNumberFormat="1" applyFont="1" applyFill="1" applyBorder="1" applyAlignment="1" applyProtection="1"/>
    <xf numFmtId="0" fontId="93" fillId="0" borderId="21" xfId="0" applyFont="1" applyBorder="1" applyAlignment="1" applyProtection="1">
      <alignment vertical="center"/>
    </xf>
    <xf numFmtId="191" fontId="103" fillId="0" borderId="23" xfId="0" applyNumberFormat="1" applyFont="1" applyBorder="1" applyAlignment="1" applyProtection="1">
      <alignment vertical="center"/>
    </xf>
    <xf numFmtId="0" fontId="23" fillId="0" borderId="20" xfId="0" applyFont="1" applyBorder="1" applyProtection="1"/>
    <xf numFmtId="187" fontId="23" fillId="0" borderId="26" xfId="0" applyNumberFormat="1" applyFont="1" applyFill="1" applyBorder="1" applyAlignment="1" applyProtection="1">
      <alignment vertical="center"/>
    </xf>
    <xf numFmtId="187" fontId="11" fillId="0" borderId="28" xfId="9" applyNumberFormat="1" applyFont="1" applyBorder="1" applyAlignment="1">
      <alignment horizontal="center" vertical="center"/>
    </xf>
    <xf numFmtId="187" fontId="11" fillId="0" borderId="27" xfId="9" applyNumberFormat="1" applyFont="1" applyBorder="1" applyAlignment="1">
      <alignment horizontal="center" vertical="center"/>
    </xf>
    <xf numFmtId="187" fontId="11" fillId="0" borderId="21" xfId="9" applyNumberFormat="1" applyFont="1" applyBorder="1" applyAlignment="1">
      <alignment horizontal="center" vertical="center"/>
    </xf>
    <xf numFmtId="187" fontId="47" fillId="0" borderId="28" xfId="9" applyNumberFormat="1" applyFont="1" applyFill="1" applyBorder="1" applyAlignment="1" applyProtection="1">
      <alignment vertical="center"/>
    </xf>
    <xf numFmtId="187" fontId="47" fillId="2" borderId="28" xfId="9" applyNumberFormat="1" applyFont="1" applyFill="1" applyBorder="1" applyAlignment="1" applyProtection="1">
      <alignment horizontal="center" vertical="center"/>
      <protection locked="0"/>
    </xf>
    <xf numFmtId="187" fontId="47" fillId="2" borderId="27" xfId="9" applyNumberFormat="1" applyFont="1" applyFill="1" applyBorder="1" applyAlignment="1" applyProtection="1">
      <alignment horizontal="center" vertical="center"/>
      <protection locked="0"/>
    </xf>
    <xf numFmtId="187" fontId="11" fillId="0" borderId="68" xfId="9" applyNumberFormat="1" applyFont="1" applyFill="1" applyBorder="1" applyAlignment="1">
      <alignment horizontal="center" vertical="center"/>
    </xf>
    <xf numFmtId="187" fontId="11" fillId="0" borderId="75" xfId="9" applyNumberFormat="1" applyFont="1" applyFill="1" applyBorder="1" applyAlignment="1">
      <alignment horizontal="center" vertical="center"/>
    </xf>
    <xf numFmtId="187" fontId="11" fillId="0" borderId="3" xfId="9" applyNumberFormat="1" applyFont="1" applyFill="1" applyBorder="1" applyAlignment="1">
      <alignment horizontal="center" vertical="center"/>
    </xf>
    <xf numFmtId="187" fontId="11" fillId="0" borderId="28" xfId="23" applyNumberFormat="1" applyFont="1" applyBorder="1" applyAlignment="1">
      <alignment horizontal="center" vertical="center"/>
    </xf>
    <xf numFmtId="187" fontId="47" fillId="2" borderId="28" xfId="23" applyNumberFormat="1" applyFont="1" applyFill="1" applyBorder="1" applyAlignment="1" applyProtection="1">
      <alignment vertical="center"/>
      <protection locked="0"/>
    </xf>
    <xf numFmtId="187" fontId="47" fillId="2" borderId="28" xfId="23" applyNumberFormat="1" applyFont="1" applyFill="1" applyBorder="1" applyAlignment="1" applyProtection="1">
      <alignment horizontal="center" vertical="center"/>
      <protection locked="0"/>
    </xf>
    <xf numFmtId="187" fontId="11" fillId="0" borderId="26" xfId="23" applyNumberFormat="1" applyFont="1" applyBorder="1" applyAlignment="1">
      <alignment horizontal="center" vertical="center"/>
    </xf>
    <xf numFmtId="187" fontId="47" fillId="2" borderId="26" xfId="23" applyNumberFormat="1" applyFont="1" applyFill="1" applyBorder="1" applyAlignment="1" applyProtection="1">
      <alignment vertical="center"/>
      <protection locked="0"/>
    </xf>
    <xf numFmtId="187" fontId="47" fillId="2" borderId="26" xfId="23" applyNumberFormat="1" applyFont="1" applyFill="1" applyBorder="1" applyAlignment="1" applyProtection="1">
      <alignment horizontal="center" vertical="center"/>
      <protection locked="0"/>
    </xf>
    <xf numFmtId="187" fontId="11" fillId="0" borderId="21" xfId="23" applyNumberFormat="1" applyFont="1" applyBorder="1" applyAlignment="1">
      <alignment horizontal="center" vertical="center"/>
    </xf>
    <xf numFmtId="187" fontId="11" fillId="0" borderId="55" xfId="23" applyNumberFormat="1" applyFont="1" applyBorder="1" applyAlignment="1">
      <alignment horizontal="center" vertical="center"/>
    </xf>
    <xf numFmtId="187" fontId="23" fillId="0" borderId="28" xfId="0" applyNumberFormat="1" applyFont="1" applyFill="1" applyBorder="1" applyAlignment="1" applyProtection="1">
      <alignment vertical="center"/>
    </xf>
    <xf numFmtId="187" fontId="23" fillId="0" borderId="17" xfId="0" applyNumberFormat="1" applyFont="1" applyBorder="1" applyAlignment="1">
      <alignment vertical="center"/>
    </xf>
    <xf numFmtId="187" fontId="23" fillId="0" borderId="18" xfId="0" applyNumberFormat="1" applyFont="1" applyBorder="1" applyAlignment="1">
      <alignment vertical="center"/>
    </xf>
    <xf numFmtId="10" fontId="34" fillId="0" borderId="40" xfId="9" applyNumberFormat="1" applyFont="1" applyBorder="1" applyAlignment="1">
      <alignment vertical="center"/>
    </xf>
    <xf numFmtId="178" fontId="34" fillId="0" borderId="26" xfId="0" applyNumberFormat="1" applyFont="1" applyFill="1" applyBorder="1" applyAlignment="1">
      <alignment horizontal="center" vertical="center"/>
    </xf>
    <xf numFmtId="167" fontId="23" fillId="0" borderId="15" xfId="0" applyNumberFormat="1" applyFont="1" applyBorder="1" applyAlignment="1">
      <alignment vertical="center"/>
    </xf>
    <xf numFmtId="174" fontId="23" fillId="0" borderId="22" xfId="0" applyNumberFormat="1" applyFont="1" applyBorder="1" applyAlignment="1">
      <alignment vertical="center"/>
    </xf>
    <xf numFmtId="0" fontId="22" fillId="0" borderId="58" xfId="0" applyFont="1" applyBorder="1" applyAlignment="1">
      <alignment vertical="center"/>
    </xf>
    <xf numFmtId="0" fontId="22" fillId="0" borderId="59" xfId="0" applyFont="1" applyBorder="1" applyAlignment="1">
      <alignment vertical="center"/>
    </xf>
    <xf numFmtId="14" fontId="22" fillId="0" borderId="60" xfId="0" applyNumberFormat="1" applyFont="1" applyBorder="1" applyAlignment="1">
      <alignment horizontal="center" vertical="center"/>
    </xf>
    <xf numFmtId="187" fontId="23" fillId="2" borderId="26" xfId="0" applyNumberFormat="1" applyFont="1" applyFill="1" applyBorder="1" applyAlignment="1" applyProtection="1">
      <alignment vertical="center"/>
      <protection locked="0"/>
    </xf>
    <xf numFmtId="187" fontId="23" fillId="2" borderId="18" xfId="0" applyNumberFormat="1" applyFont="1" applyFill="1" applyBorder="1" applyAlignment="1" applyProtection="1">
      <alignment vertical="center"/>
      <protection locked="0"/>
    </xf>
    <xf numFmtId="187" fontId="23" fillId="0" borderId="18" xfId="0" applyNumberFormat="1" applyFont="1" applyBorder="1" applyAlignment="1" applyProtection="1">
      <alignment horizontal="right" vertical="center"/>
    </xf>
    <xf numFmtId="187" fontId="27" fillId="0" borderId="23" xfId="0" applyNumberFormat="1" applyFont="1" applyBorder="1" applyAlignment="1" applyProtection="1">
      <alignment vertical="center"/>
    </xf>
    <xf numFmtId="187" fontId="23" fillId="0" borderId="26" xfId="0" applyNumberFormat="1" applyFont="1" applyBorder="1" applyAlignment="1" applyProtection="1">
      <alignment vertical="center"/>
    </xf>
    <xf numFmtId="187" fontId="23" fillId="0" borderId="18" xfId="0" applyNumberFormat="1" applyFont="1" applyBorder="1" applyAlignment="1" applyProtection="1">
      <alignment vertical="center"/>
    </xf>
    <xf numFmtId="0" fontId="95" fillId="0" borderId="18" xfId="0" applyFont="1" applyBorder="1" applyAlignment="1">
      <alignment vertical="center"/>
    </xf>
    <xf numFmtId="0" fontId="95" fillId="0" borderId="19" xfId="0" applyFont="1" applyBorder="1" applyAlignment="1">
      <alignment vertical="center"/>
    </xf>
    <xf numFmtId="0" fontId="95" fillId="0" borderId="26" xfId="0" applyFont="1" applyBorder="1" applyAlignment="1">
      <alignment horizontal="center" vertical="center"/>
    </xf>
    <xf numFmtId="0" fontId="55" fillId="0" borderId="18" xfId="0" applyFont="1" applyBorder="1" applyAlignment="1">
      <alignment vertical="center"/>
    </xf>
    <xf numFmtId="0" fontId="55" fillId="0" borderId="19" xfId="0" applyFont="1" applyBorder="1" applyAlignment="1">
      <alignment vertical="center"/>
    </xf>
    <xf numFmtId="167" fontId="55" fillId="0" borderId="26" xfId="0" applyNumberFormat="1" applyFont="1" applyBorder="1" applyAlignment="1">
      <alignment vertical="center"/>
    </xf>
    <xf numFmtId="10" fontId="55" fillId="0" borderId="26" xfId="0" applyNumberFormat="1" applyFont="1" applyFill="1" applyBorder="1" applyAlignment="1" applyProtection="1">
      <alignment vertical="center"/>
      <protection locked="0"/>
    </xf>
    <xf numFmtId="0" fontId="55" fillId="0" borderId="18" xfId="0" applyFont="1" applyBorder="1" applyAlignment="1">
      <alignment horizontal="left" vertical="center"/>
    </xf>
    <xf numFmtId="0" fontId="27" fillId="0" borderId="17" xfId="0" applyFont="1" applyBorder="1" applyAlignment="1">
      <alignment horizontal="center" vertical="center"/>
    </xf>
    <xf numFmtId="0" fontId="23" fillId="0" borderId="17" xfId="0" applyFont="1" applyBorder="1" applyAlignment="1">
      <alignment horizontal="center" vertical="center"/>
    </xf>
    <xf numFmtId="0" fontId="23" fillId="0" borderId="18" xfId="0" applyFont="1" applyBorder="1" applyAlignment="1">
      <alignment horizontal="center" vertical="center"/>
    </xf>
    <xf numFmtId="0" fontId="23" fillId="0" borderId="21" xfId="0" applyFont="1" applyBorder="1" applyAlignment="1">
      <alignment vertical="center"/>
    </xf>
    <xf numFmtId="0" fontId="23" fillId="0" borderId="17" xfId="0" applyFont="1" applyBorder="1" applyAlignment="1">
      <alignment vertical="center"/>
    </xf>
    <xf numFmtId="0" fontId="23" fillId="0" borderId="23" xfId="0" applyFont="1" applyBorder="1" applyAlignment="1">
      <alignment vertical="center"/>
    </xf>
    <xf numFmtId="0" fontId="23" fillId="0" borderId="0" xfId="0" applyFont="1" applyBorder="1" applyAlignment="1">
      <alignment horizontal="center" vertical="center"/>
    </xf>
    <xf numFmtId="0" fontId="11" fillId="0" borderId="13" xfId="0" applyFont="1" applyBorder="1" applyAlignment="1">
      <alignment horizontal="left" vertical="center"/>
    </xf>
    <xf numFmtId="0" fontId="11" fillId="0" borderId="21" xfId="0" applyFont="1" applyBorder="1" applyAlignment="1">
      <alignment horizontal="center" vertical="center"/>
    </xf>
    <xf numFmtId="0" fontId="19" fillId="0" borderId="18" xfId="0" applyFont="1" applyBorder="1" applyAlignment="1">
      <alignment horizontal="center" vertical="center"/>
    </xf>
    <xf numFmtId="0" fontId="43" fillId="0" borderId="13" xfId="0" applyFont="1" applyBorder="1" applyAlignment="1">
      <alignment horizontal="left" vertical="center"/>
    </xf>
    <xf numFmtId="0" fontId="43" fillId="0" borderId="0" xfId="0" applyFont="1" applyBorder="1" applyAlignment="1">
      <alignment horizontal="left" vertical="center"/>
    </xf>
    <xf numFmtId="4" fontId="23" fillId="0" borderId="26" xfId="0" applyNumberFormat="1" applyFont="1" applyBorder="1" applyAlignment="1">
      <alignment horizontal="center" vertical="center" wrapText="1"/>
    </xf>
    <xf numFmtId="0" fontId="43" fillId="0" borderId="13" xfId="0" applyFont="1" applyBorder="1" applyAlignment="1">
      <alignment vertical="center" wrapText="1"/>
    </xf>
    <xf numFmtId="0" fontId="43" fillId="0" borderId="0" xfId="0" applyFont="1" applyBorder="1" applyAlignment="1">
      <alignment vertical="center" wrapText="1"/>
    </xf>
    <xf numFmtId="4" fontId="23" fillId="0" borderId="18" xfId="0" applyNumberFormat="1" applyFont="1" applyBorder="1" applyAlignment="1">
      <alignment horizontal="center" vertical="center" wrapText="1"/>
    </xf>
    <xf numFmtId="0" fontId="29" fillId="4" borderId="13" xfId="0" applyFont="1" applyFill="1" applyBorder="1" applyAlignment="1">
      <alignment horizontal="center" vertical="center"/>
    </xf>
    <xf numFmtId="4" fontId="23" fillId="0" borderId="14" xfId="0" applyNumberFormat="1" applyFont="1" applyBorder="1" applyAlignment="1">
      <alignment horizontal="center" vertical="center" wrapText="1"/>
    </xf>
    <xf numFmtId="0" fontId="76" fillId="0" borderId="0" xfId="0" applyFont="1" applyFill="1" applyBorder="1" applyProtection="1"/>
    <xf numFmtId="0" fontId="76" fillId="0" borderId="0" xfId="0" applyFont="1" applyFill="1" applyBorder="1" applyAlignment="1" applyProtection="1"/>
    <xf numFmtId="0" fontId="70" fillId="0" borderId="0" xfId="0" applyFont="1" applyFill="1" applyBorder="1" applyProtection="1"/>
    <xf numFmtId="0" fontId="76" fillId="0" borderId="0" xfId="10" applyFont="1" applyFill="1" applyBorder="1" applyProtection="1"/>
    <xf numFmtId="14" fontId="76" fillId="0" borderId="0" xfId="10" applyNumberFormat="1" applyFont="1" applyFill="1" applyBorder="1" applyProtection="1"/>
    <xf numFmtId="0" fontId="105" fillId="0" borderId="0" xfId="0" applyFont="1" applyFill="1" applyBorder="1" applyProtection="1"/>
    <xf numFmtId="0" fontId="76" fillId="0" borderId="0" xfId="0" applyFont="1" applyFill="1" applyBorder="1"/>
    <xf numFmtId="0" fontId="105" fillId="0" borderId="0" xfId="0" applyFont="1" applyFill="1" applyBorder="1"/>
    <xf numFmtId="0" fontId="87" fillId="23" borderId="18" xfId="0" applyFont="1" applyFill="1" applyBorder="1" applyAlignment="1">
      <alignment vertical="center"/>
    </xf>
    <xf numFmtId="0" fontId="87" fillId="23" borderId="19" xfId="0" applyFont="1" applyFill="1" applyBorder="1" applyAlignment="1">
      <alignment vertical="center"/>
    </xf>
    <xf numFmtId="4" fontId="45" fillId="0" borderId="0" xfId="5" applyFont="1" applyAlignment="1">
      <alignment vertical="center"/>
    </xf>
    <xf numFmtId="165" fontId="30" fillId="0" borderId="0" xfId="5" applyNumberFormat="1" applyFont="1" applyBorder="1" applyAlignment="1">
      <alignment vertical="center"/>
    </xf>
    <xf numFmtId="165" fontId="30" fillId="7" borderId="0" xfId="5" applyNumberFormat="1" applyFont="1" applyFill="1" applyBorder="1" applyAlignment="1">
      <alignment vertical="center"/>
    </xf>
    <xf numFmtId="165" fontId="30" fillId="7" borderId="9" xfId="5" applyNumberFormat="1" applyFont="1" applyFill="1" applyBorder="1" applyAlignment="1">
      <alignment vertical="center"/>
    </xf>
    <xf numFmtId="4" fontId="45" fillId="0" borderId="8" xfId="5" applyFont="1" applyBorder="1" applyAlignment="1">
      <alignment vertical="center"/>
    </xf>
    <xf numFmtId="0" fontId="43" fillId="0" borderId="14" xfId="0" applyFont="1" applyBorder="1" applyAlignment="1">
      <alignment vertical="center" wrapText="1"/>
    </xf>
    <xf numFmtId="0" fontId="87" fillId="8" borderId="18" xfId="0" applyFont="1" applyFill="1" applyBorder="1" applyAlignment="1">
      <alignment vertical="center"/>
    </xf>
    <xf numFmtId="167" fontId="87" fillId="8" borderId="18" xfId="0" applyNumberFormat="1" applyFont="1" applyFill="1" applyBorder="1" applyAlignment="1">
      <alignment vertical="center"/>
    </xf>
    <xf numFmtId="0" fontId="87" fillId="8" borderId="19" xfId="0" applyFont="1" applyFill="1" applyBorder="1" applyAlignment="1">
      <alignment vertical="center"/>
    </xf>
    <xf numFmtId="0" fontId="107" fillId="0" borderId="24" xfId="0" applyFont="1" applyBorder="1" applyAlignment="1">
      <alignment vertical="center"/>
    </xf>
    <xf numFmtId="0" fontId="23" fillId="4" borderId="0" xfId="0" applyFont="1" applyFill="1" applyBorder="1"/>
    <xf numFmtId="0" fontId="23" fillId="4" borderId="17" xfId="0" applyFont="1" applyFill="1" applyBorder="1"/>
    <xf numFmtId="0" fontId="29" fillId="4" borderId="20" xfId="0" applyFont="1" applyFill="1" applyBorder="1" applyAlignment="1">
      <alignment vertical="center"/>
    </xf>
    <xf numFmtId="0" fontId="43" fillId="4" borderId="13" xfId="0" applyFont="1" applyFill="1" applyBorder="1"/>
    <xf numFmtId="0" fontId="69" fillId="4" borderId="13" xfId="0" applyFont="1" applyFill="1" applyBorder="1" applyAlignment="1">
      <alignment horizontal="center" vertical="center"/>
    </xf>
    <xf numFmtId="0" fontId="44" fillId="4" borderId="13" xfId="0" applyFont="1" applyFill="1" applyBorder="1"/>
    <xf numFmtId="0" fontId="23" fillId="4" borderId="13" xfId="0" applyFont="1" applyFill="1" applyBorder="1" applyProtection="1"/>
    <xf numFmtId="0" fontId="23" fillId="4" borderId="21" xfId="0" applyFont="1" applyFill="1" applyBorder="1" applyProtection="1"/>
    <xf numFmtId="0" fontId="29" fillId="6" borderId="18" xfId="0" applyFont="1" applyFill="1" applyBorder="1" applyAlignment="1">
      <alignment vertical="center"/>
    </xf>
    <xf numFmtId="0" fontId="23" fillId="6" borderId="13" xfId="0" applyFont="1" applyFill="1" applyBorder="1"/>
    <xf numFmtId="0" fontId="69" fillId="6" borderId="13" xfId="0" applyFont="1" applyFill="1" applyBorder="1" applyAlignment="1">
      <alignment horizontal="center" vertical="center"/>
    </xf>
    <xf numFmtId="0" fontId="23" fillId="6" borderId="13" xfId="0" applyFont="1" applyFill="1" applyBorder="1" applyProtection="1">
      <protection locked="0"/>
    </xf>
    <xf numFmtId="0" fontId="23" fillId="6" borderId="0" xfId="0" applyFont="1" applyFill="1" applyBorder="1"/>
    <xf numFmtId="0" fontId="23" fillId="6" borderId="13" xfId="0" applyFont="1" applyFill="1" applyBorder="1" applyAlignment="1">
      <alignment wrapText="1"/>
    </xf>
    <xf numFmtId="0" fontId="42" fillId="6" borderId="0" xfId="0" applyFont="1" applyFill="1" applyBorder="1"/>
    <xf numFmtId="0" fontId="69" fillId="6" borderId="0" xfId="0" applyFont="1" applyFill="1" applyBorder="1" applyAlignment="1">
      <alignment horizontal="center" vertical="center"/>
    </xf>
    <xf numFmtId="0" fontId="42" fillId="6" borderId="13" xfId="0" applyFont="1" applyFill="1" applyBorder="1"/>
    <xf numFmtId="0" fontId="23" fillId="6" borderId="21" xfId="0" applyFont="1" applyFill="1" applyBorder="1"/>
    <xf numFmtId="0" fontId="29" fillId="8" borderId="20" xfId="0" applyFont="1" applyFill="1" applyBorder="1" applyAlignment="1"/>
    <xf numFmtId="0" fontId="23" fillId="8" borderId="13" xfId="0" applyFont="1" applyFill="1" applyBorder="1"/>
    <xf numFmtId="0" fontId="69" fillId="8" borderId="13" xfId="0" applyFont="1" applyFill="1" applyBorder="1" applyAlignment="1">
      <alignment horizontal="center" vertical="center"/>
    </xf>
    <xf numFmtId="0" fontId="42" fillId="8" borderId="13" xfId="0" applyFont="1" applyFill="1" applyBorder="1"/>
    <xf numFmtId="0" fontId="23" fillId="8" borderId="13" xfId="0" applyFont="1" applyFill="1" applyBorder="1" applyProtection="1">
      <protection locked="0"/>
    </xf>
    <xf numFmtId="0" fontId="23" fillId="8" borderId="0" xfId="0" applyFont="1" applyFill="1" applyBorder="1"/>
    <xf numFmtId="0" fontId="23" fillId="8" borderId="13" xfId="0" applyFont="1" applyFill="1" applyBorder="1" applyAlignment="1">
      <alignment wrapText="1"/>
    </xf>
    <xf numFmtId="0" fontId="23" fillId="8" borderId="21" xfId="0" applyFont="1" applyFill="1" applyBorder="1"/>
    <xf numFmtId="0" fontId="29" fillId="19" borderId="20" xfId="0" applyFont="1" applyFill="1" applyBorder="1" applyAlignment="1"/>
    <xf numFmtId="0" fontId="23" fillId="19" borderId="13" xfId="0" applyFont="1" applyFill="1" applyBorder="1"/>
    <xf numFmtId="0" fontId="69" fillId="19" borderId="13" xfId="0" applyFont="1" applyFill="1" applyBorder="1" applyAlignment="1">
      <alignment horizontal="center" vertical="center"/>
    </xf>
    <xf numFmtId="0" fontId="42" fillId="19" borderId="13" xfId="0" applyFont="1" applyFill="1" applyBorder="1"/>
    <xf numFmtId="0" fontId="23" fillId="19" borderId="13" xfId="0" applyFont="1" applyFill="1" applyBorder="1" applyProtection="1">
      <protection locked="0"/>
    </xf>
    <xf numFmtId="0" fontId="23" fillId="19" borderId="0" xfId="0" applyFont="1" applyFill="1" applyBorder="1"/>
    <xf numFmtId="0" fontId="23" fillId="19" borderId="13" xfId="0" applyFont="1" applyFill="1" applyBorder="1" applyAlignment="1">
      <alignment wrapText="1"/>
    </xf>
    <xf numFmtId="0" fontId="23" fillId="19" borderId="21" xfId="0" applyFont="1" applyFill="1" applyBorder="1"/>
    <xf numFmtId="0" fontId="29" fillId="20" borderId="20" xfId="0" applyFont="1" applyFill="1" applyBorder="1" applyAlignment="1"/>
    <xf numFmtId="0" fontId="23" fillId="20" borderId="13" xfId="0" applyFont="1" applyFill="1" applyBorder="1"/>
    <xf numFmtId="0" fontId="69" fillId="20" borderId="13" xfId="0" applyFont="1" applyFill="1" applyBorder="1" applyAlignment="1">
      <alignment horizontal="center" vertical="center"/>
    </xf>
    <xf numFmtId="0" fontId="42" fillId="20" borderId="13" xfId="0" applyFont="1" applyFill="1" applyBorder="1"/>
    <xf numFmtId="0" fontId="23" fillId="20" borderId="13" xfId="0" applyFont="1" applyFill="1" applyBorder="1" applyProtection="1">
      <protection locked="0"/>
    </xf>
    <xf numFmtId="0" fontId="23" fillId="20" borderId="0" xfId="0" applyFont="1" applyFill="1" applyBorder="1"/>
    <xf numFmtId="0" fontId="23" fillId="20" borderId="13" xfId="0" applyFont="1" applyFill="1" applyBorder="1" applyAlignment="1">
      <alignment wrapText="1"/>
    </xf>
    <xf numFmtId="0" fontId="23" fillId="20" borderId="21" xfId="0" applyFont="1" applyFill="1" applyBorder="1"/>
    <xf numFmtId="0" fontId="29" fillId="23" borderId="20" xfId="0" applyFont="1" applyFill="1" applyBorder="1" applyAlignment="1"/>
    <xf numFmtId="0" fontId="23" fillId="23" borderId="13" xfId="0" applyFont="1" applyFill="1" applyBorder="1"/>
    <xf numFmtId="0" fontId="69" fillId="23" borderId="13" xfId="0" applyFont="1" applyFill="1" applyBorder="1" applyAlignment="1">
      <alignment horizontal="center" vertical="center"/>
    </xf>
    <xf numFmtId="0" fontId="42" fillId="23" borderId="13" xfId="0" applyFont="1" applyFill="1" applyBorder="1"/>
    <xf numFmtId="0" fontId="23" fillId="23" borderId="13" xfId="0" applyFont="1" applyFill="1" applyBorder="1" applyProtection="1">
      <protection locked="0"/>
    </xf>
    <xf numFmtId="0" fontId="23" fillId="23" borderId="0" xfId="0" applyFont="1" applyFill="1" applyBorder="1"/>
    <xf numFmtId="0" fontId="23" fillId="23" borderId="13" xfId="0" applyFont="1" applyFill="1" applyBorder="1" applyAlignment="1">
      <alignment wrapText="1"/>
    </xf>
    <xf numFmtId="0" fontId="23" fillId="23" borderId="21" xfId="0" applyFont="1" applyFill="1" applyBorder="1"/>
    <xf numFmtId="0" fontId="27" fillId="4" borderId="18" xfId="0" applyFont="1" applyFill="1" applyBorder="1" applyAlignment="1">
      <alignment vertical="center"/>
    </xf>
    <xf numFmtId="0" fontId="27" fillId="4" borderId="19" xfId="0" applyFont="1" applyFill="1" applyBorder="1" applyAlignment="1">
      <alignment vertical="center"/>
    </xf>
    <xf numFmtId="0" fontId="113" fillId="6" borderId="18" xfId="0" applyFont="1" applyFill="1" applyBorder="1" applyAlignment="1">
      <alignment vertical="center" wrapText="1"/>
    </xf>
    <xf numFmtId="10" fontId="34" fillId="6" borderId="22" xfId="9" applyFont="1" applyFill="1" applyBorder="1" applyAlignment="1">
      <alignment vertical="center"/>
    </xf>
    <xf numFmtId="10" fontId="114" fillId="8" borderId="22" xfId="0" applyNumberFormat="1" applyFont="1" applyFill="1" applyBorder="1" applyAlignment="1">
      <alignment vertical="center"/>
    </xf>
    <xf numFmtId="10" fontId="49" fillId="19" borderId="22" xfId="0" applyNumberFormat="1" applyFont="1" applyFill="1" applyBorder="1" applyAlignment="1">
      <alignment vertical="center"/>
    </xf>
    <xf numFmtId="0" fontId="29" fillId="25" borderId="11" xfId="0" applyFont="1" applyFill="1" applyBorder="1" applyAlignment="1">
      <alignment horizontal="center" vertical="center"/>
    </xf>
    <xf numFmtId="0" fontId="29" fillId="25" borderId="24" xfId="0" applyFont="1" applyFill="1" applyBorder="1" applyAlignment="1">
      <alignment horizontal="center" vertical="center"/>
    </xf>
    <xf numFmtId="0" fontId="29" fillId="25" borderId="0" xfId="0" applyFont="1" applyFill="1" applyBorder="1" applyAlignment="1">
      <alignment horizontal="center" vertical="center"/>
    </xf>
    <xf numFmtId="0" fontId="29" fillId="25" borderId="14" xfId="0" applyFont="1" applyFill="1" applyBorder="1" applyAlignment="1">
      <alignment horizontal="center" vertical="center"/>
    </xf>
    <xf numFmtId="0" fontId="83" fillId="25" borderId="21" xfId="0" applyFont="1" applyFill="1" applyBorder="1" applyAlignment="1">
      <alignment vertical="top" wrapText="1"/>
    </xf>
    <xf numFmtId="0" fontId="83" fillId="25" borderId="17" xfId="0" applyFont="1" applyFill="1" applyBorder="1" applyAlignment="1">
      <alignment vertical="center" wrapText="1"/>
    </xf>
    <xf numFmtId="0" fontId="83" fillId="25" borderId="23" xfId="0" applyFont="1" applyFill="1" applyBorder="1" applyAlignment="1">
      <alignment vertical="center" wrapText="1"/>
    </xf>
    <xf numFmtId="0" fontId="60" fillId="25" borderId="26" xfId="20" applyFont="1" applyFill="1" applyBorder="1" applyAlignment="1" applyProtection="1">
      <alignment horizontal="left" vertical="top"/>
      <protection locked="0" hidden="1"/>
    </xf>
    <xf numFmtId="0" fontId="60" fillId="25" borderId="26" xfId="20" applyFont="1" applyFill="1" applyBorder="1" applyAlignment="1" applyProtection="1">
      <alignment horizontal="left" vertical="top" wrapText="1"/>
      <protection locked="0" hidden="1"/>
    </xf>
    <xf numFmtId="0" fontId="112" fillId="25" borderId="26" xfId="0" applyFont="1" applyFill="1" applyBorder="1" applyAlignment="1" applyProtection="1">
      <alignment horizontal="left" vertical="top" wrapText="1"/>
      <protection locked="0" hidden="1"/>
    </xf>
    <xf numFmtId="167" fontId="23" fillId="0" borderId="48" xfId="0" applyNumberFormat="1" applyFont="1" applyBorder="1" applyAlignment="1">
      <alignment vertical="center"/>
    </xf>
    <xf numFmtId="44" fontId="23" fillId="0" borderId="45" xfId="0" applyNumberFormat="1" applyFont="1" applyFill="1" applyBorder="1" applyAlignment="1">
      <alignment vertical="center"/>
    </xf>
    <xf numFmtId="4" fontId="23" fillId="5" borderId="29" xfId="0" applyNumberFormat="1" applyFont="1" applyFill="1" applyBorder="1" applyAlignment="1">
      <alignment vertical="center"/>
    </xf>
    <xf numFmtId="9" fontId="23" fillId="2" borderId="26" xfId="0" applyNumberFormat="1" applyFont="1" applyFill="1" applyBorder="1" applyAlignment="1" applyProtection="1">
      <alignment vertical="center"/>
      <protection locked="0"/>
    </xf>
    <xf numFmtId="179" fontId="34" fillId="16" borderId="19" xfId="0" applyNumberFormat="1" applyFont="1" applyFill="1" applyBorder="1" applyAlignment="1" applyProtection="1">
      <alignment horizontal="center" vertical="center"/>
      <protection locked="0"/>
    </xf>
    <xf numFmtId="44" fontId="23" fillId="0" borderId="21" xfId="15" applyFont="1" applyFill="1" applyBorder="1" applyAlignment="1">
      <alignment vertical="center"/>
    </xf>
    <xf numFmtId="0" fontId="76" fillId="0" borderId="0" xfId="0" applyFont="1" applyProtection="1">
      <protection hidden="1"/>
    </xf>
    <xf numFmtId="0" fontId="76" fillId="0" borderId="50" xfId="10" applyFont="1" applyBorder="1" applyProtection="1">
      <protection hidden="1"/>
    </xf>
    <xf numFmtId="0" fontId="76" fillId="0" borderId="5" xfId="0" applyFont="1" applyBorder="1" applyProtection="1">
      <protection hidden="1"/>
    </xf>
    <xf numFmtId="0" fontId="76" fillId="0" borderId="6" xfId="0" applyFont="1" applyBorder="1" applyProtection="1">
      <protection hidden="1"/>
    </xf>
    <xf numFmtId="0" fontId="76" fillId="0" borderId="30" xfId="10" applyFont="1" applyBorder="1" applyProtection="1">
      <protection hidden="1"/>
    </xf>
    <xf numFmtId="0" fontId="76" fillId="0" borderId="0" xfId="0" applyFont="1" applyBorder="1" applyProtection="1">
      <protection hidden="1"/>
    </xf>
    <xf numFmtId="0" fontId="76" fillId="0" borderId="3" xfId="0" applyFont="1" applyBorder="1" applyProtection="1">
      <protection hidden="1"/>
    </xf>
    <xf numFmtId="1" fontId="76" fillId="0" borderId="74" xfId="10" applyNumberFormat="1" applyFont="1" applyBorder="1" applyProtection="1">
      <protection hidden="1"/>
    </xf>
    <xf numFmtId="0" fontId="76" fillId="0" borderId="19" xfId="10" applyFont="1" applyBorder="1" applyProtection="1">
      <protection hidden="1"/>
    </xf>
    <xf numFmtId="0" fontId="76" fillId="0" borderId="22" xfId="10" applyFont="1" applyBorder="1" applyProtection="1">
      <protection hidden="1"/>
    </xf>
    <xf numFmtId="0" fontId="76" fillId="0" borderId="28" xfId="10" applyFont="1" applyBorder="1" applyProtection="1">
      <protection hidden="1"/>
    </xf>
    <xf numFmtId="0" fontId="76" fillId="0" borderId="0" xfId="10" applyFont="1" applyBorder="1" applyProtection="1">
      <protection hidden="1"/>
    </xf>
    <xf numFmtId="0" fontId="76" fillId="0" borderId="3" xfId="10" applyFont="1" applyBorder="1" applyProtection="1">
      <protection hidden="1"/>
    </xf>
    <xf numFmtId="0" fontId="76" fillId="0" borderId="36" xfId="10" applyFont="1" applyBorder="1" applyProtection="1">
      <protection hidden="1"/>
    </xf>
    <xf numFmtId="0" fontId="76" fillId="0" borderId="11" xfId="10" applyFont="1" applyBorder="1" applyProtection="1">
      <protection hidden="1"/>
    </xf>
    <xf numFmtId="0" fontId="76" fillId="0" borderId="24" xfId="10" applyFont="1" applyBorder="1" applyProtection="1">
      <protection hidden="1"/>
    </xf>
    <xf numFmtId="0" fontId="76" fillId="0" borderId="14" xfId="10" applyFont="1" applyBorder="1" applyProtection="1">
      <protection hidden="1"/>
    </xf>
    <xf numFmtId="0" fontId="76" fillId="0" borderId="47" xfId="10" applyFont="1" applyBorder="1" applyProtection="1">
      <protection hidden="1"/>
    </xf>
    <xf numFmtId="0" fontId="76" fillId="0" borderId="66" xfId="10" applyFont="1" applyBorder="1" applyProtection="1">
      <protection hidden="1"/>
    </xf>
    <xf numFmtId="0" fontId="76" fillId="0" borderId="17" xfId="10" applyFont="1" applyBorder="1" applyProtection="1">
      <protection hidden="1"/>
    </xf>
    <xf numFmtId="0" fontId="76" fillId="0" borderId="23" xfId="10" applyFont="1" applyBorder="1" applyProtection="1">
      <protection hidden="1"/>
    </xf>
    <xf numFmtId="0" fontId="105" fillId="0" borderId="17" xfId="10" applyFont="1" applyBorder="1" applyAlignment="1" applyProtection="1">
      <alignment horizontal="right"/>
      <protection hidden="1"/>
    </xf>
    <xf numFmtId="0" fontId="105" fillId="0" borderId="23" xfId="10" applyFont="1" applyBorder="1" applyAlignment="1" applyProtection="1">
      <alignment horizontal="right"/>
      <protection hidden="1"/>
    </xf>
    <xf numFmtId="0" fontId="76" fillId="0" borderId="74" xfId="10" applyFont="1" applyBorder="1" applyProtection="1">
      <protection hidden="1"/>
    </xf>
    <xf numFmtId="0" fontId="76" fillId="0" borderId="19" xfId="10" applyFont="1" applyBorder="1" applyAlignment="1" applyProtection="1">
      <alignment horizontal="center"/>
      <protection hidden="1"/>
    </xf>
    <xf numFmtId="0" fontId="76" fillId="0" borderId="75" xfId="10" applyFont="1" applyBorder="1" applyProtection="1">
      <protection hidden="1"/>
    </xf>
    <xf numFmtId="1" fontId="76" fillId="0" borderId="47" xfId="10" applyNumberFormat="1" applyFont="1" applyBorder="1" applyProtection="1">
      <protection hidden="1"/>
    </xf>
    <xf numFmtId="0" fontId="76" fillId="0" borderId="0" xfId="10" applyFont="1" applyBorder="1" applyAlignment="1" applyProtection="1">
      <alignment horizontal="right"/>
      <protection hidden="1"/>
    </xf>
    <xf numFmtId="1" fontId="76" fillId="0" borderId="0" xfId="10" applyNumberFormat="1" applyFont="1" applyBorder="1" applyAlignment="1" applyProtection="1">
      <alignment horizontal="right"/>
      <protection hidden="1"/>
    </xf>
    <xf numFmtId="1" fontId="76" fillId="0" borderId="0" xfId="10" applyNumberFormat="1" applyFont="1" applyBorder="1" applyProtection="1">
      <protection hidden="1"/>
    </xf>
    <xf numFmtId="0" fontId="105" fillId="0" borderId="3" xfId="10" applyFont="1" applyBorder="1" applyAlignment="1" applyProtection="1">
      <alignment horizontal="center"/>
      <protection hidden="1"/>
    </xf>
    <xf numFmtId="1" fontId="76" fillId="0" borderId="66" xfId="10" applyNumberFormat="1" applyFont="1" applyBorder="1" applyProtection="1">
      <protection hidden="1"/>
    </xf>
    <xf numFmtId="0" fontId="76" fillId="0" borderId="17" xfId="10" applyFont="1" applyBorder="1" applyAlignment="1" applyProtection="1">
      <alignment horizontal="right"/>
      <protection hidden="1"/>
    </xf>
    <xf numFmtId="1" fontId="76" fillId="0" borderId="17" xfId="10" applyNumberFormat="1" applyFont="1" applyBorder="1" applyAlignment="1" applyProtection="1">
      <alignment horizontal="right"/>
      <protection hidden="1"/>
    </xf>
    <xf numFmtId="1" fontId="76" fillId="0" borderId="17" xfId="10" applyNumberFormat="1" applyFont="1" applyBorder="1" applyProtection="1">
      <protection hidden="1"/>
    </xf>
    <xf numFmtId="0" fontId="105" fillId="0" borderId="68" xfId="10" applyFont="1" applyBorder="1" applyAlignment="1" applyProtection="1">
      <alignment horizontal="center"/>
      <protection hidden="1"/>
    </xf>
    <xf numFmtId="2" fontId="76" fillId="0" borderId="47" xfId="10" applyNumberFormat="1" applyFont="1" applyBorder="1" applyProtection="1">
      <protection hidden="1"/>
    </xf>
    <xf numFmtId="2" fontId="76" fillId="0" borderId="0" xfId="10" applyNumberFormat="1" applyFont="1" applyBorder="1" applyProtection="1">
      <protection hidden="1"/>
    </xf>
    <xf numFmtId="0" fontId="105" fillId="0" borderId="0" xfId="10" applyFont="1" applyBorder="1" applyAlignment="1" applyProtection="1">
      <alignment horizontal="center"/>
      <protection hidden="1"/>
    </xf>
    <xf numFmtId="0" fontId="105" fillId="0" borderId="47" xfId="10" applyFont="1" applyBorder="1" applyProtection="1">
      <protection hidden="1"/>
    </xf>
    <xf numFmtId="0" fontId="76" fillId="0" borderId="7" xfId="10" applyFont="1" applyBorder="1" applyProtection="1">
      <protection hidden="1"/>
    </xf>
    <xf numFmtId="0" fontId="76" fillId="0" borderId="46" xfId="10" applyFont="1" applyBorder="1" applyProtection="1">
      <protection hidden="1"/>
    </xf>
    <xf numFmtId="0" fontId="76" fillId="0" borderId="10" xfId="10" applyFont="1" applyBorder="1" applyProtection="1">
      <protection hidden="1"/>
    </xf>
    <xf numFmtId="0" fontId="76" fillId="0" borderId="9" xfId="10" applyFont="1" applyBorder="1" applyProtection="1">
      <protection hidden="1"/>
    </xf>
    <xf numFmtId="14" fontId="76" fillId="0" borderId="9" xfId="10" applyNumberFormat="1" applyFont="1" applyBorder="1" applyProtection="1">
      <protection hidden="1"/>
    </xf>
    <xf numFmtId="0" fontId="76" fillId="0" borderId="4" xfId="10" applyFont="1" applyBorder="1" applyProtection="1">
      <protection hidden="1"/>
    </xf>
    <xf numFmtId="10" fontId="114" fillId="20" borderId="22" xfId="0" applyNumberFormat="1" applyFont="1" applyFill="1" applyBorder="1" applyAlignment="1">
      <alignment vertical="center"/>
    </xf>
    <xf numFmtId="0" fontId="11" fillId="0" borderId="13" xfId="0" applyFont="1" applyBorder="1" applyAlignment="1">
      <alignment horizontal="left" vertical="center"/>
    </xf>
    <xf numFmtId="0" fontId="11" fillId="0" borderId="21" xfId="0" applyFont="1" applyBorder="1" applyAlignment="1">
      <alignment horizontal="center" vertical="center"/>
    </xf>
    <xf numFmtId="0" fontId="27" fillId="0" borderId="28" xfId="0" applyFont="1" applyFill="1" applyBorder="1" applyAlignment="1">
      <alignment horizontal="center" vertical="center"/>
    </xf>
    <xf numFmtId="0" fontId="27" fillId="0" borderId="18" xfId="0" applyFont="1" applyFill="1" applyBorder="1" applyAlignment="1">
      <alignment horizontal="left" vertical="center"/>
    </xf>
    <xf numFmtId="0" fontId="27" fillId="0" borderId="19" xfId="0" applyFont="1" applyFill="1" applyBorder="1" applyAlignment="1">
      <alignment horizontal="left" vertical="center"/>
    </xf>
    <xf numFmtId="0" fontId="81" fillId="2" borderId="33" xfId="0" applyFont="1" applyFill="1" applyBorder="1" applyAlignment="1">
      <alignment horizontal="center" vertical="center" wrapText="1"/>
    </xf>
    <xf numFmtId="168" fontId="0" fillId="0" borderId="0" xfId="0" applyNumberFormat="1" applyFill="1" applyBorder="1"/>
    <xf numFmtId="167" fontId="0" fillId="0" borderId="0" xfId="0" applyNumberFormat="1" applyFill="1" applyBorder="1"/>
    <xf numFmtId="0" fontId="8" fillId="0" borderId="0" xfId="0" applyFont="1" applyFill="1" applyBorder="1"/>
    <xf numFmtId="167" fontId="116" fillId="0" borderId="0" xfId="0" applyNumberFormat="1" applyFont="1" applyFill="1" applyBorder="1" applyAlignment="1">
      <alignment vertical="center"/>
    </xf>
    <xf numFmtId="174" fontId="116" fillId="0" borderId="0" xfId="0" applyNumberFormat="1" applyFont="1" applyFill="1" applyBorder="1" applyAlignment="1">
      <alignment vertical="center"/>
    </xf>
    <xf numFmtId="0" fontId="115" fillId="0" borderId="0" xfId="0" applyFont="1" applyFill="1" applyBorder="1"/>
    <xf numFmtId="0" fontId="15" fillId="0" borderId="19" xfId="0" applyFont="1" applyFill="1" applyBorder="1" applyAlignment="1">
      <alignment vertical="center"/>
    </xf>
    <xf numFmtId="0" fontId="15" fillId="0" borderId="22" xfId="0" applyFont="1" applyFill="1" applyBorder="1" applyAlignment="1">
      <alignment vertical="center"/>
    </xf>
    <xf numFmtId="0" fontId="27" fillId="2" borderId="26" xfId="0" applyFont="1" applyFill="1" applyBorder="1" applyAlignment="1" applyProtection="1">
      <alignment horizontal="center" vertical="center"/>
      <protection locked="0"/>
    </xf>
    <xf numFmtId="0" fontId="23" fillId="3" borderId="27" xfId="0" applyFont="1" applyFill="1" applyBorder="1" applyAlignment="1" applyProtection="1">
      <alignment horizontal="center" vertical="center" wrapText="1"/>
      <protection locked="0"/>
    </xf>
    <xf numFmtId="0" fontId="23" fillId="3" borderId="28" xfId="0" applyFont="1" applyFill="1" applyBorder="1" applyAlignment="1" applyProtection="1">
      <alignment horizontal="center" vertical="center" wrapText="1"/>
      <protection locked="0"/>
    </xf>
    <xf numFmtId="0" fontId="15" fillId="0" borderId="33" xfId="0" applyFont="1" applyFill="1" applyBorder="1" applyAlignment="1">
      <alignment vertical="center"/>
    </xf>
    <xf numFmtId="0" fontId="11" fillId="0" borderId="8" xfId="0" applyFont="1" applyBorder="1" applyAlignment="1">
      <alignment vertical="center"/>
    </xf>
    <xf numFmtId="0" fontId="18" fillId="0" borderId="8" xfId="0" applyFont="1" applyBorder="1" applyAlignment="1">
      <alignment horizontal="left" vertical="center"/>
    </xf>
    <xf numFmtId="0" fontId="16" fillId="0" borderId="8" xfId="0" applyFont="1" applyBorder="1" applyAlignment="1">
      <alignment vertical="center"/>
    </xf>
    <xf numFmtId="0" fontId="15" fillId="0" borderId="9" xfId="0" applyFont="1" applyBorder="1" applyAlignment="1">
      <alignment vertical="center"/>
    </xf>
    <xf numFmtId="0" fontId="10" fillId="0" borderId="9" xfId="0" applyFont="1" applyBorder="1" applyAlignment="1">
      <alignment vertical="center"/>
    </xf>
    <xf numFmtId="0" fontId="117" fillId="8" borderId="22" xfId="0" applyFont="1" applyFill="1" applyBorder="1" applyAlignment="1">
      <alignment vertical="center" wrapText="1"/>
    </xf>
    <xf numFmtId="0" fontId="113" fillId="19" borderId="18" xfId="0" applyFont="1" applyFill="1" applyBorder="1" applyAlignment="1">
      <alignment vertical="center" wrapText="1"/>
    </xf>
    <xf numFmtId="0" fontId="117" fillId="20" borderId="18" xfId="0" applyFont="1" applyFill="1" applyBorder="1" applyAlignment="1">
      <alignment vertical="center" wrapText="1"/>
    </xf>
    <xf numFmtId="1" fontId="11" fillId="0" borderId="29" xfId="0" applyNumberFormat="1" applyFont="1" applyBorder="1" applyAlignment="1">
      <alignment horizontal="center" vertical="center"/>
    </xf>
    <xf numFmtId="187" fontId="11" fillId="0" borderId="29" xfId="9" applyNumberFormat="1" applyFont="1" applyBorder="1" applyAlignment="1">
      <alignment horizontal="center" vertical="center"/>
    </xf>
    <xf numFmtId="187" fontId="47" fillId="2" borderId="29" xfId="9" applyNumberFormat="1" applyFont="1" applyFill="1" applyBorder="1" applyAlignment="1" applyProtection="1">
      <alignment horizontal="center" vertical="center"/>
      <protection locked="0"/>
    </xf>
    <xf numFmtId="187" fontId="11" fillId="0" borderId="67" xfId="9" applyNumberFormat="1" applyFont="1" applyBorder="1" applyAlignment="1">
      <alignment horizontal="center" vertical="center"/>
    </xf>
    <xf numFmtId="1" fontId="11" fillId="0" borderId="29" xfId="21" applyNumberFormat="1" applyFont="1" applyBorder="1" applyAlignment="1">
      <alignment horizontal="center" vertical="center"/>
    </xf>
    <xf numFmtId="10" fontId="11" fillId="0" borderId="29" xfId="23" applyNumberFormat="1" applyFont="1" applyBorder="1" applyAlignment="1">
      <alignment horizontal="center" vertical="center"/>
    </xf>
    <xf numFmtId="187" fontId="47" fillId="2" borderId="29" xfId="23" applyNumberFormat="1" applyFont="1" applyFill="1" applyBorder="1" applyAlignment="1" applyProtection="1">
      <alignment horizontal="center" vertical="center"/>
      <protection locked="0"/>
    </xf>
    <xf numFmtId="187" fontId="11" fillId="0" borderId="29" xfId="23" applyNumberFormat="1" applyFont="1" applyBorder="1" applyAlignment="1">
      <alignment horizontal="center" vertical="center"/>
    </xf>
    <xf numFmtId="0" fontId="23" fillId="0" borderId="13" xfId="0" quotePrefix="1" applyFont="1" applyBorder="1"/>
    <xf numFmtId="187" fontId="23" fillId="0" borderId="0" xfId="9" applyNumberFormat="1" applyFont="1" applyBorder="1"/>
    <xf numFmtId="0" fontId="23" fillId="0" borderId="19" xfId="0" applyFont="1" applyBorder="1"/>
    <xf numFmtId="191" fontId="23" fillId="0" borderId="14" xfId="0" applyNumberFormat="1" applyFont="1" applyBorder="1"/>
    <xf numFmtId="0" fontId="27" fillId="0" borderId="21" xfId="0" applyFont="1" applyBorder="1"/>
    <xf numFmtId="0" fontId="27" fillId="0" borderId="17" xfId="0" applyFont="1" applyBorder="1"/>
    <xf numFmtId="191" fontId="27" fillId="0" borderId="23" xfId="0" applyNumberFormat="1" applyFont="1" applyBorder="1"/>
    <xf numFmtId="10" fontId="119" fillId="0" borderId="27" xfId="9" applyFont="1" applyBorder="1" applyAlignment="1">
      <alignment horizontal="center" vertical="center"/>
    </xf>
    <xf numFmtId="10" fontId="119" fillId="0" borderId="28" xfId="9" applyFont="1" applyBorder="1" applyAlignment="1">
      <alignment horizontal="center" vertical="center"/>
    </xf>
    <xf numFmtId="0" fontId="118" fillId="0" borderId="29" xfId="21" applyFont="1" applyBorder="1"/>
    <xf numFmtId="0" fontId="118" fillId="0" borderId="27" xfId="21" applyFont="1" applyBorder="1" applyAlignment="1">
      <alignment horizontal="center"/>
    </xf>
    <xf numFmtId="0" fontId="123" fillId="0" borderId="0" xfId="0" applyFont="1" applyProtection="1"/>
    <xf numFmtId="0" fontId="123" fillId="0" borderId="0" xfId="0" applyFont="1" applyFill="1" applyBorder="1" applyProtection="1"/>
    <xf numFmtId="0" fontId="123" fillId="0" borderId="0" xfId="0" applyFont="1" applyAlignment="1" applyProtection="1"/>
    <xf numFmtId="0" fontId="123" fillId="0" borderId="0" xfId="0" applyFont="1" applyBorder="1" applyProtection="1"/>
    <xf numFmtId="0" fontId="123" fillId="0" borderId="70" xfId="0" applyFont="1" applyBorder="1" applyProtection="1"/>
    <xf numFmtId="0" fontId="123" fillId="0" borderId="0" xfId="0" applyFont="1" applyBorder="1" applyAlignment="1" applyProtection="1">
      <alignment vertical="center"/>
    </xf>
    <xf numFmtId="0" fontId="123" fillId="0" borderId="0" xfId="0" applyFont="1" applyBorder="1" applyAlignment="1" applyProtection="1">
      <alignment horizontal="center"/>
    </xf>
    <xf numFmtId="0" fontId="124" fillId="0" borderId="0" xfId="0" applyFont="1" applyAlignment="1" applyProtection="1">
      <alignment horizontal="center" vertical="top" wrapText="1"/>
    </xf>
    <xf numFmtId="0" fontId="76" fillId="0" borderId="20" xfId="0" applyFont="1" applyFill="1" applyBorder="1" applyProtection="1"/>
    <xf numFmtId="0" fontId="76" fillId="0" borderId="11" xfId="0" applyFont="1" applyFill="1" applyBorder="1" applyAlignment="1" applyProtection="1"/>
    <xf numFmtId="0" fontId="76" fillId="0" borderId="11" xfId="0" applyFont="1" applyFill="1" applyBorder="1" applyProtection="1"/>
    <xf numFmtId="0" fontId="76" fillId="0" borderId="24" xfId="0" applyFont="1" applyFill="1" applyBorder="1" applyProtection="1"/>
    <xf numFmtId="0" fontId="76" fillId="0" borderId="13" xfId="0" applyFont="1" applyFill="1" applyBorder="1" applyProtection="1"/>
    <xf numFmtId="0" fontId="76" fillId="0" borderId="14" xfId="0" applyFont="1" applyFill="1" applyBorder="1" applyProtection="1"/>
    <xf numFmtId="0" fontId="70" fillId="0" borderId="13" xfId="0" applyFont="1" applyFill="1" applyBorder="1" applyProtection="1"/>
    <xf numFmtId="0" fontId="76" fillId="0" borderId="14" xfId="0" applyFont="1" applyFill="1" applyBorder="1" applyAlignment="1" applyProtection="1"/>
    <xf numFmtId="0" fontId="76" fillId="0" borderId="13" xfId="10" applyFont="1" applyFill="1" applyBorder="1" applyProtection="1"/>
    <xf numFmtId="0" fontId="76" fillId="0" borderId="21" xfId="0" applyFont="1" applyFill="1" applyBorder="1" applyProtection="1"/>
    <xf numFmtId="0" fontId="76" fillId="0" borderId="17" xfId="0" applyFont="1" applyFill="1" applyBorder="1" applyProtection="1"/>
    <xf numFmtId="0" fontId="76" fillId="0" borderId="23" xfId="0" applyFont="1" applyFill="1" applyBorder="1" applyProtection="1"/>
    <xf numFmtId="0" fontId="123" fillId="0" borderId="29" xfId="0" applyFont="1" applyFill="1" applyBorder="1" applyProtection="1"/>
    <xf numFmtId="0" fontId="123" fillId="0" borderId="27" xfId="0" applyFont="1" applyFill="1" applyBorder="1" applyProtection="1"/>
    <xf numFmtId="0" fontId="123" fillId="0" borderId="27" xfId="0" applyFont="1" applyFill="1" applyBorder="1" applyAlignment="1" applyProtection="1"/>
    <xf numFmtId="2" fontId="123" fillId="0" borderId="27" xfId="0" applyNumberFormat="1" applyFont="1" applyFill="1" applyBorder="1" applyProtection="1"/>
    <xf numFmtId="0" fontId="123" fillId="0" borderId="28" xfId="0" applyFont="1" applyBorder="1" applyProtection="1"/>
    <xf numFmtId="4" fontId="23" fillId="0" borderId="16" xfId="0" applyNumberFormat="1" applyFont="1" applyBorder="1" applyAlignment="1">
      <alignment vertical="center"/>
    </xf>
    <xf numFmtId="0" fontId="23" fillId="0" borderId="5" xfId="0" applyFont="1" applyBorder="1" applyAlignment="1">
      <alignment vertical="center"/>
    </xf>
    <xf numFmtId="4" fontId="27" fillId="0" borderId="5" xfId="0" applyNumberFormat="1" applyFont="1" applyBorder="1" applyAlignment="1">
      <alignment vertical="center"/>
    </xf>
    <xf numFmtId="10" fontId="27" fillId="0" borderId="5" xfId="9" applyNumberFormat="1" applyFont="1" applyBorder="1" applyAlignment="1">
      <alignment vertical="center"/>
    </xf>
    <xf numFmtId="4" fontId="23" fillId="2" borderId="5" xfId="0" applyNumberFormat="1" applyFont="1" applyFill="1" applyBorder="1" applyAlignment="1" applyProtection="1">
      <alignment horizontal="center" vertical="center"/>
      <protection locked="0"/>
    </xf>
    <xf numFmtId="0" fontId="34" fillId="0" borderId="21" xfId="0" applyFont="1" applyBorder="1" applyAlignment="1">
      <alignment vertical="center"/>
    </xf>
    <xf numFmtId="0" fontId="77" fillId="0" borderId="17" xfId="0" applyFont="1" applyBorder="1" applyAlignment="1">
      <alignment vertical="center"/>
    </xf>
    <xf numFmtId="0" fontId="23" fillId="0" borderId="14" xfId="0" applyFont="1" applyBorder="1" applyAlignment="1">
      <alignment horizontal="left" vertical="center"/>
    </xf>
    <xf numFmtId="0" fontId="27" fillId="0" borderId="23" xfId="0" applyFont="1" applyBorder="1" applyAlignment="1">
      <alignment vertical="center"/>
    </xf>
    <xf numFmtId="0" fontId="34" fillId="0" borderId="17" xfId="0" applyFont="1" applyBorder="1" applyAlignment="1">
      <alignment vertical="center"/>
    </xf>
    <xf numFmtId="0" fontId="27" fillId="2" borderId="28" xfId="0" applyFont="1" applyFill="1" applyBorder="1" applyAlignment="1" applyProtection="1">
      <alignment horizontal="center" vertical="center"/>
      <protection locked="0"/>
    </xf>
    <xf numFmtId="0" fontId="97" fillId="0" borderId="13" xfId="0" applyFont="1" applyFill="1" applyBorder="1" applyAlignment="1">
      <alignment horizontal="center" vertical="center"/>
    </xf>
    <xf numFmtId="0" fontId="97" fillId="0" borderId="14" xfId="0" applyFont="1" applyFill="1" applyBorder="1" applyAlignment="1">
      <alignment horizontal="center" vertical="center"/>
    </xf>
    <xf numFmtId="10" fontId="54" fillId="0" borderId="26" xfId="9" applyFont="1" applyBorder="1" applyAlignment="1" applyProtection="1"/>
    <xf numFmtId="0" fontId="23" fillId="0" borderId="18" xfId="0" applyFont="1" applyFill="1" applyBorder="1" applyAlignment="1" applyProtection="1">
      <alignment vertical="center"/>
    </xf>
    <xf numFmtId="0" fontId="54" fillId="0" borderId="21" xfId="0" applyFont="1" applyBorder="1" applyAlignment="1" applyProtection="1">
      <alignment vertical="center"/>
    </xf>
    <xf numFmtId="0" fontId="54" fillId="0" borderId="18" xfId="0" applyFont="1" applyFill="1" applyBorder="1" applyAlignment="1" applyProtection="1"/>
    <xf numFmtId="184" fontId="54" fillId="0" borderId="22" xfId="15" applyNumberFormat="1" applyFont="1" applyFill="1" applyBorder="1" applyAlignment="1" applyProtection="1"/>
    <xf numFmtId="187" fontId="27" fillId="0" borderId="26" xfId="0" applyNumberFormat="1" applyFont="1" applyFill="1" applyBorder="1" applyAlignment="1" applyProtection="1">
      <alignment vertical="center"/>
    </xf>
    <xf numFmtId="187" fontId="27" fillId="0" borderId="26" xfId="9" applyNumberFormat="1" applyFont="1" applyBorder="1" applyAlignment="1" applyProtection="1">
      <alignment horizontal="center" vertical="center"/>
    </xf>
    <xf numFmtId="187" fontId="27" fillId="0" borderId="22" xfId="9" applyNumberFormat="1" applyFont="1" applyBorder="1" applyAlignment="1" applyProtection="1">
      <alignment horizontal="center" vertical="center"/>
    </xf>
    <xf numFmtId="0" fontId="27" fillId="0" borderId="26" xfId="0" applyFont="1" applyBorder="1" applyAlignment="1" applyProtection="1">
      <alignment horizontal="center" vertical="center"/>
    </xf>
    <xf numFmtId="0" fontId="27" fillId="0" borderId="26" xfId="0" applyFont="1" applyBorder="1" applyAlignment="1">
      <alignment horizontal="center"/>
    </xf>
    <xf numFmtId="10" fontId="54" fillId="0" borderId="14" xfId="0" applyNumberFormat="1" applyFont="1" applyFill="1" applyBorder="1" applyAlignment="1" applyProtection="1"/>
    <xf numFmtId="184" fontId="23" fillId="2" borderId="26" xfId="5" applyNumberFormat="1" applyFont="1" applyFill="1" applyBorder="1" applyAlignment="1" applyProtection="1">
      <alignment vertical="center"/>
      <protection locked="0"/>
    </xf>
    <xf numFmtId="184" fontId="23" fillId="2" borderId="22" xfId="5" applyNumberFormat="1" applyFont="1" applyFill="1" applyBorder="1" applyAlignment="1" applyProtection="1">
      <alignment vertical="center"/>
      <protection locked="0"/>
    </xf>
    <xf numFmtId="184" fontId="23" fillId="2" borderId="27" xfId="5" applyNumberFormat="1" applyFont="1" applyFill="1" applyBorder="1" applyAlignment="1" applyProtection="1">
      <alignment vertical="center"/>
      <protection locked="0"/>
    </xf>
    <xf numFmtId="184" fontId="23" fillId="2" borderId="14" xfId="5" applyNumberFormat="1" applyFont="1" applyFill="1" applyBorder="1" applyAlignment="1" applyProtection="1">
      <alignment vertical="center"/>
      <protection locked="0"/>
    </xf>
    <xf numFmtId="0" fontId="43" fillId="0" borderId="13" xfId="0" applyFont="1" applyBorder="1"/>
    <xf numFmtId="167" fontId="34" fillId="0" borderId="26" xfId="0" applyNumberFormat="1" applyFont="1" applyBorder="1" applyAlignment="1">
      <alignment horizontal="center" vertical="center"/>
    </xf>
    <xf numFmtId="4" fontId="14" fillId="0" borderId="8" xfId="0" applyNumberFormat="1" applyFont="1" applyBorder="1" applyAlignment="1">
      <alignment horizontal="center" vertical="center"/>
    </xf>
    <xf numFmtId="0" fontId="40" fillId="0" borderId="0" xfId="0" applyFont="1" applyProtection="1">
      <protection hidden="1"/>
    </xf>
    <xf numFmtId="0" fontId="40" fillId="0" borderId="0" xfId="0" applyFont="1"/>
    <xf numFmtId="179" fontId="40" fillId="0" borderId="0" xfId="0" applyNumberFormat="1" applyFont="1" applyProtection="1">
      <protection hidden="1"/>
    </xf>
    <xf numFmtId="0" fontId="40" fillId="0" borderId="14" xfId="0" applyFont="1" applyBorder="1"/>
    <xf numFmtId="0" fontId="40" fillId="0" borderId="0" xfId="0" applyFont="1" applyBorder="1" applyProtection="1">
      <protection hidden="1"/>
    </xf>
    <xf numFmtId="0" fontId="40" fillId="0" borderId="0" xfId="0" applyFont="1" applyBorder="1"/>
    <xf numFmtId="0" fontId="40" fillId="0" borderId="14" xfId="0" applyFont="1" applyFill="1" applyBorder="1"/>
    <xf numFmtId="0" fontId="40" fillId="0" borderId="0" xfId="0" applyFont="1" applyFill="1" applyProtection="1">
      <protection hidden="1"/>
    </xf>
    <xf numFmtId="0" fontId="40" fillId="0" borderId="0" xfId="0" applyFont="1" applyFill="1"/>
    <xf numFmtId="0" fontId="40" fillId="0" borderId="0" xfId="0" applyFont="1" applyFill="1" applyBorder="1" applyProtection="1">
      <protection hidden="1"/>
    </xf>
    <xf numFmtId="0" fontId="40" fillId="0" borderId="0" xfId="0" applyFont="1" applyFill="1" applyBorder="1"/>
    <xf numFmtId="187" fontId="40" fillId="0" borderId="14" xfId="9" applyNumberFormat="1" applyFont="1" applyBorder="1"/>
    <xf numFmtId="178" fontId="40" fillId="0" borderId="0" xfId="0" applyNumberFormat="1" applyFont="1" applyProtection="1">
      <protection hidden="1"/>
    </xf>
    <xf numFmtId="187" fontId="40" fillId="0" borderId="14" xfId="0" applyNumberFormat="1" applyFont="1" applyBorder="1"/>
    <xf numFmtId="0" fontId="40" fillId="0" borderId="22" xfId="0" applyFont="1" applyBorder="1"/>
    <xf numFmtId="0" fontId="40" fillId="0" borderId="24" xfId="0" applyFont="1" applyBorder="1"/>
    <xf numFmtId="191" fontId="40" fillId="0" borderId="14" xfId="0" applyNumberFormat="1" applyFont="1" applyBorder="1"/>
    <xf numFmtId="0" fontId="43" fillId="0" borderId="0" xfId="0" applyFont="1" applyBorder="1" applyAlignment="1" applyProtection="1">
      <alignment vertical="center" wrapText="1"/>
      <protection hidden="1"/>
    </xf>
    <xf numFmtId="0" fontId="40" fillId="0" borderId="14" xfId="0" applyFont="1" applyBorder="1" applyAlignment="1">
      <alignment wrapText="1"/>
    </xf>
    <xf numFmtId="0" fontId="40" fillId="0" borderId="0" xfId="0" applyFont="1" applyAlignment="1" applyProtection="1">
      <alignment wrapText="1"/>
      <protection hidden="1"/>
    </xf>
    <xf numFmtId="0" fontId="40" fillId="0" borderId="0" xfId="0" applyFont="1" applyAlignment="1">
      <alignment wrapText="1"/>
    </xf>
    <xf numFmtId="0" fontId="40" fillId="0" borderId="23" xfId="0" applyFont="1" applyBorder="1"/>
    <xf numFmtId="0" fontId="34" fillId="2" borderId="23" xfId="0" applyFont="1" applyFill="1" applyBorder="1" applyAlignment="1" applyProtection="1">
      <alignment horizontal="center" vertical="center"/>
      <protection locked="0"/>
    </xf>
    <xf numFmtId="0" fontId="91" fillId="21" borderId="13" xfId="0" applyFont="1" applyFill="1" applyBorder="1" applyAlignment="1">
      <alignment horizontal="center" vertical="top" wrapText="1"/>
    </xf>
    <xf numFmtId="0" fontId="91" fillId="21" borderId="14" xfId="0" applyFont="1" applyFill="1" applyBorder="1" applyAlignment="1">
      <alignment horizontal="center" vertical="top" wrapText="1"/>
    </xf>
    <xf numFmtId="0" fontId="91" fillId="6" borderId="13" xfId="0" applyFont="1" applyFill="1" applyBorder="1" applyAlignment="1">
      <alignment horizontal="center" vertical="top" wrapText="1"/>
    </xf>
    <xf numFmtId="0" fontId="91" fillId="6" borderId="14" xfId="0" applyFont="1" applyFill="1" applyBorder="1" applyAlignment="1">
      <alignment horizontal="center" vertical="top" wrapText="1"/>
    </xf>
    <xf numFmtId="0" fontId="112" fillId="0" borderId="14" xfId="0" applyFont="1" applyBorder="1" applyAlignment="1">
      <alignment vertical="center"/>
    </xf>
    <xf numFmtId="0" fontId="23" fillId="0" borderId="13" xfId="0" applyFont="1" applyBorder="1" applyAlignment="1">
      <alignment horizontal="left" vertical="center"/>
    </xf>
    <xf numFmtId="0" fontId="23" fillId="0" borderId="20" xfId="0" applyFont="1" applyBorder="1" applyAlignment="1">
      <alignment horizontal="left" vertical="center"/>
    </xf>
    <xf numFmtId="0" fontId="23" fillId="0" borderId="24" xfId="0" applyFont="1" applyBorder="1" applyAlignment="1">
      <alignment horizontal="left" vertical="center"/>
    </xf>
    <xf numFmtId="0" fontId="23" fillId="0" borderId="18" xfId="0" applyFont="1" applyBorder="1" applyAlignment="1">
      <alignment horizontal="center" vertical="center"/>
    </xf>
    <xf numFmtId="0" fontId="14" fillId="0" borderId="26" xfId="0" applyFont="1" applyBorder="1" applyAlignment="1">
      <alignment vertical="center"/>
    </xf>
    <xf numFmtId="0" fontId="14" fillId="0" borderId="26" xfId="0" applyFont="1" applyBorder="1" applyAlignment="1">
      <alignment horizontal="center" vertical="center"/>
    </xf>
    <xf numFmtId="2" fontId="14" fillId="0" borderId="18" xfId="0" applyNumberFormat="1" applyFont="1" applyBorder="1" applyAlignment="1">
      <alignment horizontal="center" vertical="center"/>
    </xf>
    <xf numFmtId="167" fontId="14" fillId="0" borderId="26" xfId="0" applyNumberFormat="1" applyFont="1" applyBorder="1" applyAlignment="1">
      <alignment horizontal="center" vertical="center"/>
    </xf>
    <xf numFmtId="167" fontId="14" fillId="0" borderId="18" xfId="0" applyNumberFormat="1" applyFont="1" applyBorder="1" applyAlignment="1">
      <alignment horizontal="center" vertical="center"/>
    </xf>
    <xf numFmtId="167" fontId="16" fillId="0" borderId="66" xfId="0" applyNumberFormat="1" applyFont="1" applyBorder="1" applyAlignment="1">
      <alignment vertical="center"/>
    </xf>
    <xf numFmtId="167" fontId="16" fillId="0" borderId="28" xfId="0" applyNumberFormat="1" applyFont="1" applyBorder="1" applyAlignment="1">
      <alignment vertical="center"/>
    </xf>
    <xf numFmtId="167" fontId="16" fillId="0" borderId="17" xfId="0" applyNumberFormat="1" applyFont="1" applyBorder="1" applyAlignment="1">
      <alignment vertical="center"/>
    </xf>
    <xf numFmtId="0" fontId="14" fillId="0" borderId="30" xfId="0" applyFont="1" applyBorder="1" applyAlignment="1">
      <alignment vertical="center"/>
    </xf>
    <xf numFmtId="0" fontId="14" fillId="0" borderId="30" xfId="0" applyFont="1" applyBorder="1" applyAlignment="1">
      <alignment horizontal="center" vertical="center"/>
    </xf>
    <xf numFmtId="2" fontId="14" fillId="0" borderId="31" xfId="0" applyNumberFormat="1" applyFont="1" applyBorder="1" applyAlignment="1">
      <alignment horizontal="center" vertical="center"/>
    </xf>
    <xf numFmtId="167" fontId="14" fillId="0" borderId="30" xfId="0" applyNumberFormat="1" applyFont="1" applyBorder="1" applyAlignment="1">
      <alignment horizontal="center" vertical="center"/>
    </xf>
    <xf numFmtId="167" fontId="14" fillId="0" borderId="31" xfId="0" applyNumberFormat="1" applyFont="1" applyBorder="1" applyAlignment="1">
      <alignment horizontal="center" vertical="center"/>
    </xf>
    <xf numFmtId="167" fontId="16" fillId="0" borderId="41" xfId="0" applyNumberFormat="1" applyFont="1" applyBorder="1" applyAlignment="1">
      <alignment vertical="center"/>
    </xf>
    <xf numFmtId="167" fontId="16" fillId="0" borderId="30" xfId="0" applyNumberFormat="1" applyFont="1" applyBorder="1" applyAlignment="1">
      <alignment vertical="center"/>
    </xf>
    <xf numFmtId="167" fontId="16" fillId="0" borderId="43" xfId="0" applyNumberFormat="1" applyFont="1" applyBorder="1" applyAlignment="1">
      <alignment vertical="center"/>
    </xf>
    <xf numFmtId="2" fontId="14" fillId="0" borderId="28" xfId="0" applyNumberFormat="1" applyFont="1" applyBorder="1" applyAlignment="1">
      <alignment horizontal="center" vertical="center"/>
    </xf>
    <xf numFmtId="167" fontId="14" fillId="0" borderId="28" xfId="0" applyNumberFormat="1" applyFont="1" applyBorder="1" applyAlignment="1">
      <alignment horizontal="center" vertical="center"/>
    </xf>
    <xf numFmtId="167" fontId="14" fillId="0" borderId="21" xfId="0" applyNumberFormat="1" applyFont="1" applyBorder="1" applyAlignment="1">
      <alignment horizontal="center" vertical="center"/>
    </xf>
    <xf numFmtId="0" fontId="25" fillId="0" borderId="17" xfId="0" applyNumberFormat="1" applyFont="1" applyBorder="1" applyAlignment="1" applyProtection="1">
      <alignment horizontal="left" vertical="center"/>
    </xf>
    <xf numFmtId="0" fontId="20" fillId="0" borderId="19" xfId="0" applyFont="1" applyBorder="1" applyAlignment="1" applyProtection="1">
      <alignment horizontal="right"/>
    </xf>
    <xf numFmtId="0" fontId="20" fillId="0" borderId="22" xfId="0" applyFont="1" applyBorder="1" applyAlignment="1" applyProtection="1">
      <alignment horizontal="right"/>
    </xf>
    <xf numFmtId="0" fontId="20" fillId="0" borderId="20" xfId="0" applyFont="1" applyBorder="1" applyAlignment="1" applyProtection="1">
      <alignment horizontal="left" vertical="top" wrapText="1"/>
    </xf>
    <xf numFmtId="0" fontId="20" fillId="0" borderId="11" xfId="0" applyFont="1" applyBorder="1" applyAlignment="1" applyProtection="1">
      <alignment horizontal="left" vertical="top" wrapText="1"/>
    </xf>
    <xf numFmtId="0" fontId="20" fillId="0" borderId="24" xfId="0" applyFont="1" applyBorder="1" applyAlignment="1" applyProtection="1">
      <alignment horizontal="left" vertical="top" wrapText="1"/>
    </xf>
    <xf numFmtId="0" fontId="20" fillId="0" borderId="13" xfId="0" applyFont="1" applyBorder="1" applyAlignment="1" applyProtection="1">
      <alignment horizontal="left" vertical="top" wrapText="1"/>
    </xf>
    <xf numFmtId="0" fontId="20" fillId="0" borderId="0" xfId="0" applyFont="1" applyBorder="1" applyAlignment="1" applyProtection="1">
      <alignment horizontal="left" vertical="top" wrapText="1"/>
    </xf>
    <xf numFmtId="0" fontId="20" fillId="0" borderId="14" xfId="0" applyFont="1" applyBorder="1" applyAlignment="1" applyProtection="1">
      <alignment horizontal="left" vertical="top" wrapText="1"/>
    </xf>
    <xf numFmtId="0" fontId="20" fillId="0" borderId="21" xfId="0" applyFont="1" applyBorder="1" applyAlignment="1" applyProtection="1">
      <alignment horizontal="left" vertical="top" wrapText="1"/>
    </xf>
    <xf numFmtId="0" fontId="20" fillId="0" borderId="17" xfId="0" applyFont="1" applyBorder="1" applyAlignment="1" applyProtection="1">
      <alignment horizontal="left" vertical="top" wrapText="1"/>
    </xf>
    <xf numFmtId="0" fontId="20" fillId="0" borderId="23" xfId="0" applyFont="1" applyBorder="1" applyAlignment="1" applyProtection="1">
      <alignment horizontal="left" vertical="top" wrapText="1"/>
    </xf>
    <xf numFmtId="186" fontId="80" fillId="0" borderId="19" xfId="0" applyNumberFormat="1" applyFont="1" applyBorder="1" applyAlignment="1" applyProtection="1">
      <alignment horizontal="left"/>
    </xf>
    <xf numFmtId="186" fontId="80" fillId="0" borderId="22" xfId="0" applyNumberFormat="1" applyFont="1" applyBorder="1" applyAlignment="1" applyProtection="1">
      <alignment horizontal="left"/>
    </xf>
    <xf numFmtId="0" fontId="20" fillId="0" borderId="18" xfId="0" applyFont="1" applyBorder="1" applyAlignment="1" applyProtection="1">
      <alignment horizontal="left" vertical="center"/>
    </xf>
    <xf numFmtId="0" fontId="20" fillId="0" borderId="19" xfId="0" applyFont="1" applyBorder="1" applyAlignment="1" applyProtection="1">
      <alignment horizontal="left" vertical="center"/>
    </xf>
    <xf numFmtId="0" fontId="20" fillId="0" borderId="22" xfId="0" applyFont="1" applyBorder="1" applyAlignment="1" applyProtection="1">
      <alignment horizontal="left" vertical="center"/>
    </xf>
    <xf numFmtId="0" fontId="20" fillId="0" borderId="18" xfId="0" applyFont="1" applyBorder="1" applyAlignment="1" applyProtection="1">
      <alignment horizontal="center" vertical="center"/>
    </xf>
    <xf numFmtId="0" fontId="20" fillId="0" borderId="19" xfId="0" applyFont="1" applyBorder="1" applyAlignment="1" applyProtection="1">
      <alignment horizontal="center" vertical="center"/>
    </xf>
    <xf numFmtId="0" fontId="20" fillId="0" borderId="22" xfId="0" applyFont="1" applyBorder="1" applyAlignment="1" applyProtection="1">
      <alignment horizontal="center" vertical="center"/>
    </xf>
    <xf numFmtId="0" fontId="20" fillId="0" borderId="20" xfId="0" applyFont="1" applyBorder="1" applyAlignment="1" applyProtection="1">
      <alignment horizontal="left" wrapText="1"/>
    </xf>
    <xf numFmtId="0" fontId="20" fillId="0" borderId="11" xfId="0" applyFont="1" applyBorder="1" applyAlignment="1" applyProtection="1">
      <alignment horizontal="left" wrapText="1"/>
    </xf>
    <xf numFmtId="0" fontId="20" fillId="0" borderId="24" xfId="0" applyFont="1" applyBorder="1" applyAlignment="1" applyProtection="1">
      <alignment horizontal="left" wrapText="1"/>
    </xf>
    <xf numFmtId="0" fontId="20" fillId="0" borderId="13" xfId="0" applyFont="1" applyBorder="1" applyAlignment="1" applyProtection="1">
      <alignment horizontal="left" wrapText="1"/>
    </xf>
    <xf numFmtId="0" fontId="20" fillId="0" borderId="0" xfId="0" applyFont="1" applyBorder="1" applyAlignment="1" applyProtection="1">
      <alignment horizontal="left" wrapText="1"/>
    </xf>
    <xf numFmtId="0" fontId="20" fillId="0" borderId="14" xfId="0" applyFont="1" applyBorder="1" applyAlignment="1" applyProtection="1">
      <alignment horizontal="left" wrapText="1"/>
    </xf>
    <xf numFmtId="0" fontId="20" fillId="0" borderId="21" xfId="0" applyFont="1" applyBorder="1" applyAlignment="1" applyProtection="1">
      <alignment horizontal="left" wrapText="1"/>
    </xf>
    <xf numFmtId="0" fontId="20" fillId="0" borderId="17" xfId="0" applyFont="1" applyBorder="1" applyAlignment="1" applyProtection="1">
      <alignment horizontal="left" wrapText="1"/>
    </xf>
    <xf numFmtId="0" fontId="20" fillId="0" borderId="23" xfId="0" applyFont="1" applyBorder="1" applyAlignment="1" applyProtection="1">
      <alignment horizontal="left" wrapText="1"/>
    </xf>
    <xf numFmtId="0" fontId="66" fillId="0" borderId="18" xfId="0" applyFont="1" applyBorder="1" applyAlignment="1" applyProtection="1">
      <alignment horizontal="center"/>
    </xf>
    <xf numFmtId="0" fontId="66" fillId="0" borderId="19" xfId="0" applyFont="1" applyBorder="1" applyAlignment="1" applyProtection="1">
      <alignment horizontal="center"/>
    </xf>
    <xf numFmtId="0" fontId="66" fillId="0" borderId="22" xfId="0" applyFont="1" applyBorder="1" applyAlignment="1" applyProtection="1">
      <alignment horizontal="center"/>
    </xf>
    <xf numFmtId="0" fontId="25" fillId="0" borderId="20" xfId="0" applyFont="1" applyBorder="1" applyAlignment="1" applyProtection="1">
      <alignment horizontal="left" vertical="top" wrapText="1"/>
    </xf>
    <xf numFmtId="0" fontId="69" fillId="0" borderId="73" xfId="0" applyFont="1" applyBorder="1" applyAlignment="1" applyProtection="1">
      <alignment horizontal="center"/>
    </xf>
    <xf numFmtId="0" fontId="69" fillId="0" borderId="71" xfId="0" applyFont="1" applyBorder="1" applyAlignment="1" applyProtection="1">
      <alignment horizontal="center"/>
    </xf>
    <xf numFmtId="0" fontId="69" fillId="0" borderId="72" xfId="0" applyFont="1" applyBorder="1" applyAlignment="1" applyProtection="1">
      <alignment horizontal="center"/>
    </xf>
    <xf numFmtId="0" fontId="20" fillId="2" borderId="18" xfId="0" applyNumberFormat="1" applyFont="1" applyFill="1" applyBorder="1" applyAlignment="1" applyProtection="1">
      <alignment horizontal="left" vertical="center"/>
      <protection locked="0"/>
    </xf>
    <xf numFmtId="0" fontId="20" fillId="2" borderId="19" xfId="0" applyNumberFormat="1" applyFont="1" applyFill="1" applyBorder="1" applyAlignment="1" applyProtection="1">
      <alignment horizontal="left" vertical="center"/>
      <protection locked="0"/>
    </xf>
    <xf numFmtId="0" fontId="20" fillId="2" borderId="22" xfId="0" applyNumberFormat="1" applyFont="1" applyFill="1" applyBorder="1" applyAlignment="1" applyProtection="1">
      <alignment horizontal="left" vertical="center"/>
      <protection locked="0"/>
    </xf>
    <xf numFmtId="14" fontId="25" fillId="0" borderId="11" xfId="0" applyNumberFormat="1" applyFont="1" applyBorder="1" applyAlignment="1" applyProtection="1">
      <alignment horizontal="center"/>
    </xf>
    <xf numFmtId="186" fontId="20" fillId="0" borderId="17" xfId="0" applyNumberFormat="1" applyFont="1" applyBorder="1" applyAlignment="1" applyProtection="1">
      <alignment horizontal="center"/>
    </xf>
    <xf numFmtId="0" fontId="25" fillId="0" borderId="18" xfId="0" applyFont="1" applyBorder="1" applyAlignment="1" applyProtection="1">
      <alignment horizontal="center" vertical="center" wrapText="1"/>
    </xf>
    <xf numFmtId="0" fontId="25" fillId="0" borderId="19" xfId="0" applyFont="1" applyBorder="1" applyAlignment="1" applyProtection="1">
      <alignment horizontal="center" vertical="center" wrapText="1"/>
    </xf>
    <xf numFmtId="0" fontId="25" fillId="0" borderId="22" xfId="0" applyFont="1" applyBorder="1" applyAlignment="1" applyProtection="1">
      <alignment horizontal="center" vertical="center" wrapText="1"/>
    </xf>
    <xf numFmtId="0" fontId="25" fillId="0" borderId="44" xfId="0" applyFont="1" applyBorder="1" applyAlignment="1" applyProtection="1">
      <alignment horizontal="center" vertical="top" wrapText="1"/>
    </xf>
    <xf numFmtId="0" fontId="25" fillId="0" borderId="5" xfId="0" applyFont="1" applyBorder="1" applyAlignment="1" applyProtection="1">
      <alignment horizontal="center" vertical="top" wrapText="1"/>
    </xf>
    <xf numFmtId="0" fontId="25" fillId="0" borderId="6" xfId="0" applyFont="1" applyBorder="1" applyAlignment="1" applyProtection="1">
      <alignment horizontal="center" vertical="top" wrapText="1"/>
    </xf>
    <xf numFmtId="0" fontId="25" fillId="0" borderId="47" xfId="0" applyFont="1" applyBorder="1" applyAlignment="1" applyProtection="1">
      <alignment horizontal="center" vertical="top" wrapText="1"/>
    </xf>
    <xf numFmtId="0" fontId="25" fillId="0" borderId="0" xfId="0" applyFont="1" applyBorder="1" applyAlignment="1" applyProtection="1">
      <alignment horizontal="center" vertical="top" wrapText="1"/>
    </xf>
    <xf numFmtId="0" fontId="25" fillId="0" borderId="3" xfId="0" applyFont="1" applyBorder="1" applyAlignment="1" applyProtection="1">
      <alignment horizontal="center" vertical="top" wrapText="1"/>
    </xf>
    <xf numFmtId="0" fontId="5" fillId="0" borderId="18"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20" fillId="2" borderId="18" xfId="0" applyFont="1" applyFill="1" applyBorder="1" applyAlignment="1" applyProtection="1">
      <alignment horizontal="left"/>
      <protection locked="0"/>
    </xf>
    <xf numFmtId="0" fontId="20" fillId="2" borderId="19" xfId="0" applyFont="1" applyFill="1" applyBorder="1" applyAlignment="1" applyProtection="1">
      <alignment horizontal="left"/>
      <protection locked="0"/>
    </xf>
    <xf numFmtId="0" fontId="20" fillId="2" borderId="75" xfId="0" applyFont="1" applyFill="1" applyBorder="1" applyAlignment="1" applyProtection="1">
      <alignment horizontal="left"/>
      <protection locked="0"/>
    </xf>
    <xf numFmtId="0" fontId="20" fillId="2" borderId="0" xfId="0" applyFont="1" applyFill="1" applyBorder="1" applyAlignment="1" applyProtection="1">
      <alignment horizontal="left"/>
      <protection locked="0"/>
    </xf>
    <xf numFmtId="0" fontId="61" fillId="0" borderId="77" xfId="0" applyFont="1" applyBorder="1" applyAlignment="1" applyProtection="1">
      <alignment horizontal="left"/>
      <protection locked="0"/>
    </xf>
    <xf numFmtId="0" fontId="61" fillId="0" borderId="78" xfId="0" applyFont="1" applyBorder="1" applyAlignment="1" applyProtection="1">
      <alignment horizontal="left"/>
      <protection locked="0"/>
    </xf>
    <xf numFmtId="0" fontId="57" fillId="0" borderId="19" xfId="20" applyBorder="1" applyAlignment="1" applyProtection="1">
      <alignment horizontal="center" vertical="center" wrapText="1"/>
    </xf>
    <xf numFmtId="0" fontId="57" fillId="0" borderId="22" xfId="20" applyBorder="1" applyAlignment="1" applyProtection="1">
      <alignment horizontal="center" vertical="center" wrapText="1"/>
    </xf>
    <xf numFmtId="0" fontId="76" fillId="0" borderId="13" xfId="0" applyFont="1" applyFill="1" applyBorder="1" applyAlignment="1" applyProtection="1">
      <alignment horizontal="center"/>
    </xf>
    <xf numFmtId="0" fontId="76" fillId="0" borderId="0" xfId="0" applyFont="1" applyFill="1" applyBorder="1" applyAlignment="1" applyProtection="1">
      <alignment horizontal="center"/>
    </xf>
    <xf numFmtId="0" fontId="66" fillId="0" borderId="11" xfId="0" applyFont="1" applyBorder="1" applyAlignment="1" applyProtection="1">
      <alignment horizontal="center" vertical="center" wrapText="1"/>
    </xf>
    <xf numFmtId="0" fontId="66" fillId="0" borderId="24" xfId="0" applyFont="1" applyBorder="1" applyAlignment="1" applyProtection="1">
      <alignment horizontal="center" vertical="center" wrapText="1"/>
    </xf>
    <xf numFmtId="0" fontId="66" fillId="0" borderId="17" xfId="0" applyFont="1" applyBorder="1" applyAlignment="1" applyProtection="1">
      <alignment horizontal="center" vertical="center" wrapText="1"/>
    </xf>
    <xf numFmtId="0" fontId="66" fillId="0" borderId="23" xfId="0" applyFont="1" applyBorder="1" applyAlignment="1" applyProtection="1">
      <alignment horizontal="center" vertical="center" wrapText="1"/>
    </xf>
    <xf numFmtId="0" fontId="123" fillId="0" borderId="0" xfId="0" applyFont="1" applyBorder="1" applyAlignment="1" applyProtection="1">
      <alignment horizontal="center"/>
    </xf>
    <xf numFmtId="0" fontId="123" fillId="0" borderId="47" xfId="0" applyFont="1" applyBorder="1" applyAlignment="1" applyProtection="1">
      <alignment vertical="center"/>
    </xf>
    <xf numFmtId="1" fontId="57" fillId="0" borderId="19" xfId="20" applyNumberFormat="1" applyBorder="1" applyAlignment="1" applyProtection="1">
      <alignment horizontal="center"/>
    </xf>
    <xf numFmtId="0" fontId="76" fillId="0" borderId="0" xfId="0" applyFont="1" applyFill="1" applyBorder="1" applyAlignment="1" applyProtection="1">
      <alignment horizontal="left"/>
    </xf>
    <xf numFmtId="49" fontId="25" fillId="0" borderId="19" xfId="0" applyNumberFormat="1" applyFont="1" applyBorder="1" applyAlignment="1" applyProtection="1">
      <alignment horizontal="left"/>
    </xf>
    <xf numFmtId="0" fontId="20" fillId="0" borderId="20" xfId="0" applyFont="1" applyBorder="1" applyAlignment="1" applyProtection="1">
      <alignment horizontal="left"/>
    </xf>
    <xf numFmtId="0" fontId="20" fillId="0" borderId="11" xfId="0" applyFont="1" applyBorder="1" applyAlignment="1" applyProtection="1">
      <alignment horizontal="left"/>
    </xf>
    <xf numFmtId="0" fontId="20" fillId="0" borderId="24" xfId="0" applyFont="1" applyBorder="1" applyAlignment="1" applyProtection="1">
      <alignment horizontal="left"/>
    </xf>
    <xf numFmtId="0" fontId="57" fillId="0" borderId="19" xfId="20" applyFill="1" applyBorder="1" applyAlignment="1">
      <alignment vertical="center"/>
    </xf>
    <xf numFmtId="0" fontId="6" fillId="0" borderId="19" xfId="0" applyFont="1" applyFill="1" applyBorder="1" applyAlignment="1">
      <alignment vertical="center"/>
    </xf>
    <xf numFmtId="0" fontId="6" fillId="0" borderId="22" xfId="0" applyFont="1" applyFill="1" applyBorder="1" applyAlignment="1">
      <alignment vertical="center"/>
    </xf>
    <xf numFmtId="186" fontId="25" fillId="0" borderId="0" xfId="0" applyNumberFormat="1" applyFont="1" applyBorder="1" applyAlignment="1" applyProtection="1">
      <alignment horizontal="left" vertical="center"/>
    </xf>
    <xf numFmtId="0" fontId="83" fillId="14" borderId="0" xfId="0" applyFont="1" applyFill="1" applyBorder="1" applyAlignment="1" applyProtection="1">
      <alignment horizontal="center" vertical="center" wrapText="1"/>
    </xf>
    <xf numFmtId="0" fontId="83" fillId="14" borderId="3" xfId="0" applyFont="1" applyFill="1" applyBorder="1" applyAlignment="1" applyProtection="1">
      <alignment horizontal="center" vertical="center" wrapText="1"/>
    </xf>
    <xf numFmtId="0" fontId="83" fillId="14" borderId="17" xfId="0" applyFont="1" applyFill="1" applyBorder="1" applyAlignment="1" applyProtection="1">
      <alignment horizontal="center" vertical="center" wrapText="1"/>
    </xf>
    <xf numFmtId="0" fontId="83" fillId="14" borderId="68" xfId="0" applyFont="1" applyFill="1" applyBorder="1" applyAlignment="1" applyProtection="1">
      <alignment horizontal="center" vertical="center" wrapText="1"/>
    </xf>
    <xf numFmtId="0" fontId="124" fillId="0" borderId="0" xfId="0" applyFont="1" applyAlignment="1" applyProtection="1">
      <alignment horizontal="center" vertical="top" wrapText="1"/>
    </xf>
    <xf numFmtId="0" fontId="25" fillId="0" borderId="0" xfId="0" applyNumberFormat="1" applyFont="1" applyBorder="1" applyAlignment="1" applyProtection="1">
      <alignment horizontal="left" vertical="center"/>
    </xf>
    <xf numFmtId="0" fontId="76" fillId="0" borderId="56" xfId="10" applyFont="1" applyFill="1" applyBorder="1" applyAlignment="1" applyProtection="1">
      <alignment horizontal="left"/>
      <protection hidden="1"/>
    </xf>
    <xf numFmtId="0" fontId="76" fillId="0" borderId="38" xfId="10" applyFont="1" applyFill="1" applyBorder="1" applyAlignment="1" applyProtection="1">
      <alignment horizontal="left"/>
      <protection hidden="1"/>
    </xf>
    <xf numFmtId="0" fontId="76" fillId="0" borderId="39" xfId="10" applyFont="1" applyFill="1" applyBorder="1" applyAlignment="1" applyProtection="1">
      <alignment horizontal="left"/>
      <protection hidden="1"/>
    </xf>
    <xf numFmtId="0" fontId="76" fillId="0" borderId="74" xfId="10" applyFont="1" applyFill="1" applyBorder="1" applyAlignment="1" applyProtection="1">
      <alignment horizontal="left"/>
      <protection hidden="1"/>
    </xf>
    <xf numFmtId="0" fontId="76" fillId="0" borderId="19" xfId="10" applyFont="1" applyFill="1" applyBorder="1" applyAlignment="1" applyProtection="1">
      <alignment horizontal="left"/>
      <protection hidden="1"/>
    </xf>
    <xf numFmtId="0" fontId="76" fillId="0" borderId="22" xfId="10" applyFont="1" applyFill="1" applyBorder="1" applyAlignment="1" applyProtection="1">
      <alignment horizontal="left"/>
      <protection hidden="1"/>
    </xf>
    <xf numFmtId="0" fontId="80" fillId="15" borderId="19" xfId="0" applyFont="1" applyFill="1" applyBorder="1" applyAlignment="1" applyProtection="1">
      <alignment horizontal="left"/>
    </xf>
    <xf numFmtId="0" fontId="80" fillId="15" borderId="22" xfId="0" applyFont="1" applyFill="1" applyBorder="1" applyAlignment="1" applyProtection="1">
      <alignment horizontal="left"/>
    </xf>
    <xf numFmtId="0" fontId="25" fillId="0" borderId="20" xfId="0" applyFont="1" applyBorder="1" applyAlignment="1">
      <alignment horizontal="left" vertical="top" wrapText="1"/>
    </xf>
    <xf numFmtId="0" fontId="25" fillId="0" borderId="13" xfId="0" applyFont="1" applyBorder="1" applyAlignment="1">
      <alignment horizontal="left" vertical="top" wrapText="1"/>
    </xf>
    <xf numFmtId="0" fontId="25" fillId="0" borderId="21" xfId="0" applyFont="1" applyBorder="1" applyAlignment="1">
      <alignment horizontal="left" vertical="top" wrapText="1"/>
    </xf>
    <xf numFmtId="0" fontId="66" fillId="0" borderId="20" xfId="0" applyFont="1" applyBorder="1" applyAlignment="1">
      <alignment horizontal="center" vertical="center" wrapText="1"/>
    </xf>
    <xf numFmtId="0" fontId="66" fillId="0" borderId="13" xfId="0" applyFont="1" applyBorder="1" applyAlignment="1">
      <alignment horizontal="center" vertical="center" wrapText="1"/>
    </xf>
    <xf numFmtId="0" fontId="27" fillId="0" borderId="19" xfId="0" applyFont="1" applyBorder="1" applyAlignment="1" applyProtection="1">
      <alignment horizontal="center"/>
      <protection locked="0"/>
    </xf>
    <xf numFmtId="0" fontId="25" fillId="0" borderId="18" xfId="0" applyFont="1" applyFill="1" applyBorder="1" applyAlignment="1">
      <alignment horizontal="center"/>
    </xf>
    <xf numFmtId="0" fontId="25" fillId="0" borderId="19" xfId="0" applyFont="1" applyFill="1" applyBorder="1" applyAlignment="1">
      <alignment horizontal="center"/>
    </xf>
    <xf numFmtId="0" fontId="25" fillId="0" borderId="22" xfId="0" applyFont="1" applyFill="1" applyBorder="1" applyAlignment="1">
      <alignment horizontal="center"/>
    </xf>
    <xf numFmtId="0" fontId="25" fillId="0" borderId="29" xfId="0" applyFont="1" applyBorder="1" applyAlignment="1" applyProtection="1">
      <alignment vertical="center"/>
    </xf>
    <xf numFmtId="0" fontId="25" fillId="0" borderId="28" xfId="0" applyFont="1" applyBorder="1" applyAlignment="1" applyProtection="1">
      <alignment vertical="center"/>
    </xf>
    <xf numFmtId="0" fontId="25" fillId="0" borderId="18" xfId="0" applyFont="1" applyBorder="1" applyAlignment="1" applyProtection="1">
      <alignment horizontal="center"/>
    </xf>
    <xf numFmtId="0" fontId="25" fillId="0" borderId="19" xfId="0" applyFont="1" applyBorder="1" applyAlignment="1" applyProtection="1">
      <alignment horizontal="center"/>
    </xf>
    <xf numFmtId="0" fontId="25" fillId="0" borderId="22" xfId="0" applyFont="1" applyBorder="1" applyAlignment="1" applyProtection="1">
      <alignment horizontal="center"/>
    </xf>
    <xf numFmtId="167" fontId="25" fillId="15" borderId="18" xfId="0" applyNumberFormat="1" applyFont="1" applyFill="1" applyBorder="1" applyAlignment="1" applyProtection="1">
      <alignment horizontal="left"/>
    </xf>
    <xf numFmtId="167" fontId="25" fillId="15" borderId="19" xfId="0" applyNumberFormat="1" applyFont="1" applyFill="1" applyBorder="1" applyAlignment="1" applyProtection="1">
      <alignment horizontal="left"/>
    </xf>
    <xf numFmtId="167" fontId="25" fillId="15" borderId="22" xfId="0" applyNumberFormat="1" applyFont="1" applyFill="1" applyBorder="1" applyAlignment="1" applyProtection="1">
      <alignment horizontal="left"/>
    </xf>
    <xf numFmtId="0" fontId="29" fillId="15" borderId="18" xfId="0" applyFont="1" applyFill="1" applyBorder="1" applyAlignment="1">
      <alignment horizontal="center"/>
    </xf>
    <xf numFmtId="0" fontId="29" fillId="15" borderId="19" xfId="0" applyFont="1" applyFill="1" applyBorder="1" applyAlignment="1">
      <alignment horizontal="center"/>
    </xf>
    <xf numFmtId="0" fontId="29" fillId="15" borderId="22" xfId="0" applyFont="1" applyFill="1" applyBorder="1" applyAlignment="1">
      <alignment horizontal="center"/>
    </xf>
    <xf numFmtId="10" fontId="23" fillId="0" borderId="29" xfId="0" applyNumberFormat="1" applyFont="1" applyBorder="1" applyAlignment="1">
      <alignment horizontal="center" vertical="center" wrapText="1"/>
    </xf>
    <xf numFmtId="10" fontId="23" fillId="0" borderId="27" xfId="0" applyNumberFormat="1" applyFont="1" applyBorder="1" applyAlignment="1">
      <alignment horizontal="center" vertical="center" wrapText="1"/>
    </xf>
    <xf numFmtId="0" fontId="25" fillId="0" borderId="29" xfId="0" applyFont="1" applyFill="1" applyBorder="1" applyAlignment="1" applyProtection="1">
      <alignment horizontal="center" vertical="center" wrapText="1"/>
    </xf>
    <xf numFmtId="0" fontId="25" fillId="0" borderId="28" xfId="0" applyFont="1" applyFill="1" applyBorder="1" applyAlignment="1" applyProtection="1">
      <alignment horizontal="center" vertical="center" wrapText="1"/>
    </xf>
    <xf numFmtId="0" fontId="23" fillId="0" borderId="18" xfId="0" applyFont="1" applyBorder="1" applyAlignment="1">
      <alignment horizontal="left" vertical="center"/>
    </xf>
    <xf numFmtId="0" fontId="23" fillId="0" borderId="19" xfId="0" applyFont="1" applyBorder="1" applyAlignment="1">
      <alignment horizontal="left" vertical="center"/>
    </xf>
    <xf numFmtId="0" fontId="23" fillId="0" borderId="22" xfId="0" applyFont="1" applyBorder="1" applyAlignment="1">
      <alignment horizontal="left" vertical="center"/>
    </xf>
    <xf numFmtId="0" fontId="25" fillId="0" borderId="29" xfId="0" applyFont="1" applyBorder="1" applyAlignment="1">
      <alignment vertical="center"/>
    </xf>
    <xf numFmtId="0" fontId="25" fillId="0" borderId="28" xfId="0" applyFont="1" applyBorder="1" applyAlignment="1">
      <alignment vertical="center"/>
    </xf>
    <xf numFmtId="0" fontId="20" fillId="0" borderId="29" xfId="0" applyFont="1" applyFill="1" applyBorder="1" applyAlignment="1" applyProtection="1">
      <alignment horizontal="center" vertical="center" wrapText="1"/>
    </xf>
    <xf numFmtId="0" fontId="20" fillId="0" borderId="28" xfId="0" applyFont="1" applyFill="1" applyBorder="1" applyAlignment="1" applyProtection="1">
      <alignment horizontal="center" vertical="center" wrapText="1"/>
    </xf>
    <xf numFmtId="0" fontId="25" fillId="15" borderId="18" xfId="0" applyFont="1" applyFill="1" applyBorder="1" applyAlignment="1">
      <alignment horizontal="left"/>
    </xf>
    <xf numFmtId="0" fontId="25" fillId="15" borderId="19" xfId="0" applyFont="1" applyFill="1" applyBorder="1" applyAlignment="1">
      <alignment horizontal="left"/>
    </xf>
    <xf numFmtId="0" fontId="25" fillId="15" borderId="22" xfId="0" applyFont="1" applyFill="1" applyBorder="1" applyAlignment="1">
      <alignment horizontal="left"/>
    </xf>
    <xf numFmtId="0" fontId="25" fillId="0" borderId="18" xfId="0" applyFont="1" applyBorder="1" applyAlignment="1">
      <alignment horizontal="center"/>
    </xf>
    <xf numFmtId="0" fontId="25" fillId="0" borderId="19" xfId="0" applyFont="1" applyBorder="1" applyAlignment="1">
      <alignment horizontal="center"/>
    </xf>
    <xf numFmtId="0" fontId="25" fillId="0" borderId="22" xfId="0" applyFont="1" applyBorder="1" applyAlignment="1">
      <alignment horizontal="center"/>
    </xf>
    <xf numFmtId="0" fontId="20" fillId="0" borderId="20" xfId="0" applyFont="1" applyBorder="1" applyAlignment="1" applyProtection="1">
      <alignment horizontal="center"/>
      <protection locked="0"/>
    </xf>
    <xf numFmtId="0" fontId="20" fillId="0" borderId="11" xfId="0" applyFont="1" applyBorder="1" applyAlignment="1" applyProtection="1">
      <alignment horizontal="center"/>
      <protection locked="0"/>
    </xf>
    <xf numFmtId="0" fontId="20" fillId="0" borderId="24" xfId="0" applyFont="1" applyBorder="1" applyAlignment="1" applyProtection="1">
      <alignment horizontal="center"/>
      <protection locked="0"/>
    </xf>
    <xf numFmtId="0" fontId="23" fillId="0" borderId="20" xfId="0" applyFont="1" applyBorder="1" applyAlignment="1" applyProtection="1">
      <alignment horizontal="center"/>
      <protection locked="0"/>
    </xf>
    <xf numFmtId="0" fontId="23" fillId="0" borderId="11" xfId="0" applyFont="1" applyBorder="1" applyAlignment="1" applyProtection="1">
      <alignment horizontal="center"/>
      <protection locked="0"/>
    </xf>
    <xf numFmtId="0" fontId="23" fillId="0" borderId="21" xfId="0" applyFont="1" applyBorder="1" applyAlignment="1" applyProtection="1">
      <alignment horizontal="center"/>
      <protection locked="0"/>
    </xf>
    <xf numFmtId="0" fontId="23" fillId="0" borderId="17" xfId="0" applyFont="1" applyBorder="1" applyAlignment="1" applyProtection="1">
      <alignment horizontal="center"/>
      <protection locked="0"/>
    </xf>
    <xf numFmtId="0" fontId="23" fillId="0" borderId="29"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31" xfId="19" applyFont="1" applyBorder="1" applyAlignment="1">
      <alignment horizontal="left" vertical="center"/>
    </xf>
    <xf numFmtId="0" fontId="23" fillId="0" borderId="32" xfId="19" applyFont="1" applyBorder="1" applyAlignment="1">
      <alignment horizontal="left" vertical="center"/>
    </xf>
    <xf numFmtId="0" fontId="23" fillId="0" borderId="21" xfId="0" applyFont="1" applyBorder="1" applyAlignment="1">
      <alignment horizontal="left" vertical="center"/>
    </xf>
    <xf numFmtId="0" fontId="23" fillId="0" borderId="23" xfId="0" applyFont="1" applyBorder="1" applyAlignment="1">
      <alignment horizontal="left" vertical="center"/>
    </xf>
    <xf numFmtId="0" fontId="23" fillId="0" borderId="31" xfId="0" applyFont="1" applyBorder="1" applyAlignment="1">
      <alignment horizontal="left" vertical="center"/>
    </xf>
    <xf numFmtId="0" fontId="23" fillId="0" borderId="32" xfId="0" applyFont="1" applyBorder="1" applyAlignment="1">
      <alignment horizontal="left" vertical="center"/>
    </xf>
    <xf numFmtId="0" fontId="23" fillId="0" borderId="18" xfId="19" applyFont="1" applyBorder="1" applyAlignment="1">
      <alignment horizontal="left" vertical="center"/>
    </xf>
    <xf numFmtId="0" fontId="23" fillId="0" borderId="22" xfId="19" applyFont="1" applyBorder="1" applyAlignment="1">
      <alignment horizontal="left" vertical="center"/>
    </xf>
    <xf numFmtId="0" fontId="23" fillId="0" borderId="21" xfId="19" applyFont="1" applyBorder="1" applyAlignment="1">
      <alignment horizontal="left" vertical="center"/>
    </xf>
    <xf numFmtId="0" fontId="23" fillId="0" borderId="23" xfId="19" applyFont="1" applyBorder="1" applyAlignment="1">
      <alignment horizontal="left" vertical="center"/>
    </xf>
    <xf numFmtId="182" fontId="76" fillId="0" borderId="0" xfId="0" applyNumberFormat="1" applyFont="1" applyFill="1" applyBorder="1" applyAlignment="1">
      <alignment horizontal="left"/>
    </xf>
    <xf numFmtId="0" fontId="66" fillId="0" borderId="13" xfId="0" applyFont="1" applyBorder="1" applyAlignment="1">
      <alignment horizontal="center" vertical="top" wrapText="1"/>
    </xf>
    <xf numFmtId="0" fontId="76" fillId="0" borderId="0" xfId="0" applyFont="1" applyFill="1" applyBorder="1" applyAlignment="1">
      <alignment horizontal="left" vertical="center"/>
    </xf>
    <xf numFmtId="0" fontId="20" fillId="0" borderId="0" xfId="0" applyFont="1" applyBorder="1" applyAlignment="1" applyProtection="1">
      <alignment horizontal="center"/>
      <protection locked="0"/>
    </xf>
    <xf numFmtId="0" fontId="20" fillId="0" borderId="17" xfId="0" applyFont="1" applyBorder="1" applyAlignment="1" applyProtection="1">
      <alignment horizontal="center"/>
      <protection locked="0"/>
    </xf>
    <xf numFmtId="0" fontId="66" fillId="0" borderId="24" xfId="0" applyFont="1" applyBorder="1" applyAlignment="1">
      <alignment horizontal="center" vertical="center" wrapText="1"/>
    </xf>
    <xf numFmtId="0" fontId="66" fillId="0" borderId="14" xfId="0" applyFont="1" applyBorder="1" applyAlignment="1">
      <alignment horizontal="center" vertical="center" wrapText="1"/>
    </xf>
    <xf numFmtId="0" fontId="66" fillId="0" borderId="21" xfId="0" applyFont="1" applyBorder="1" applyAlignment="1">
      <alignment horizontal="center" vertical="center" wrapText="1"/>
    </xf>
    <xf numFmtId="0" fontId="66" fillId="0" borderId="23" xfId="0" applyFont="1" applyBorder="1" applyAlignment="1">
      <alignment horizontal="center" vertical="center" wrapText="1"/>
    </xf>
    <xf numFmtId="0" fontId="65" fillId="0" borderId="11" xfId="0" applyFont="1" applyBorder="1" applyAlignment="1">
      <alignment horizontal="center" vertical="top" wrapText="1"/>
    </xf>
    <xf numFmtId="0" fontId="65" fillId="0" borderId="0" xfId="0" applyFont="1" applyBorder="1" applyAlignment="1">
      <alignment horizontal="center" vertical="top" wrapText="1"/>
    </xf>
    <xf numFmtId="0" fontId="25" fillId="0" borderId="20" xfId="0" applyNumberFormat="1" applyFont="1" applyBorder="1" applyAlignment="1">
      <alignment horizontal="center" vertical="top" wrapText="1"/>
    </xf>
    <xf numFmtId="0" fontId="25" fillId="0" borderId="24" xfId="0" applyNumberFormat="1" applyFont="1" applyBorder="1" applyAlignment="1">
      <alignment horizontal="center" vertical="top" wrapText="1"/>
    </xf>
    <xf numFmtId="0" fontId="25" fillId="0" borderId="13" xfId="0" applyNumberFormat="1" applyFont="1" applyBorder="1" applyAlignment="1">
      <alignment horizontal="center" vertical="top" wrapText="1"/>
    </xf>
    <xf numFmtId="0" fontId="25" fillId="0" borderId="14" xfId="0" applyNumberFormat="1" applyFont="1" applyBorder="1" applyAlignment="1">
      <alignment horizontal="center" vertical="top" wrapText="1"/>
    </xf>
    <xf numFmtId="0" fontId="25" fillId="0" borderId="21" xfId="0" applyNumberFormat="1" applyFont="1" applyBorder="1" applyAlignment="1">
      <alignment horizontal="center" vertical="top" wrapText="1"/>
    </xf>
    <xf numFmtId="0" fontId="25" fillId="0" borderId="23" xfId="0" applyNumberFormat="1" applyFont="1" applyBorder="1" applyAlignment="1">
      <alignment horizontal="center" vertical="top" wrapText="1"/>
    </xf>
    <xf numFmtId="0" fontId="29" fillId="15" borderId="18" xfId="0" applyFont="1" applyFill="1" applyBorder="1" applyAlignment="1" applyProtection="1">
      <alignment horizontal="center"/>
    </xf>
    <xf numFmtId="0" fontId="29" fillId="15" borderId="19" xfId="0" applyFont="1" applyFill="1" applyBorder="1" applyAlignment="1" applyProtection="1">
      <alignment horizontal="center"/>
    </xf>
    <xf numFmtId="0" fontId="29" fillId="15" borderId="22" xfId="0" applyFont="1" applyFill="1" applyBorder="1" applyAlignment="1" applyProtection="1">
      <alignment horizontal="center"/>
    </xf>
    <xf numFmtId="0" fontId="22" fillId="0" borderId="19" xfId="0" applyFont="1" applyBorder="1" applyAlignment="1" applyProtection="1">
      <alignment horizontal="center" vertical="center"/>
    </xf>
    <xf numFmtId="0" fontId="22" fillId="0" borderId="22" xfId="0" applyFont="1" applyBorder="1" applyAlignment="1" applyProtection="1">
      <alignment horizontal="center" vertical="center"/>
    </xf>
    <xf numFmtId="0" fontId="66" fillId="0" borderId="29" xfId="0" applyFont="1" applyBorder="1" applyAlignment="1">
      <alignment horizontal="center" vertical="top" wrapText="1"/>
    </xf>
    <xf numFmtId="0" fontId="66" fillId="0" borderId="27" xfId="0" applyFont="1" applyBorder="1" applyAlignment="1">
      <alignment horizontal="center" vertical="top" wrapText="1"/>
    </xf>
    <xf numFmtId="0" fontId="66" fillId="0" borderId="28" xfId="0" applyFont="1" applyBorder="1" applyAlignment="1">
      <alignment horizontal="center" vertical="top" wrapText="1"/>
    </xf>
    <xf numFmtId="0" fontId="76" fillId="0" borderId="18" xfId="0" applyFont="1" applyFill="1" applyBorder="1" applyAlignment="1">
      <alignment horizontal="center"/>
    </xf>
    <xf numFmtId="0" fontId="76" fillId="0" borderId="19" xfId="0" applyFont="1" applyFill="1" applyBorder="1" applyAlignment="1">
      <alignment horizontal="center"/>
    </xf>
    <xf numFmtId="0" fontId="76" fillId="0" borderId="22" xfId="0" applyFont="1" applyFill="1" applyBorder="1" applyAlignment="1">
      <alignment horizontal="center"/>
    </xf>
    <xf numFmtId="167" fontId="25" fillId="0" borderId="18" xfId="0" applyNumberFormat="1" applyFont="1" applyFill="1" applyBorder="1" applyAlignment="1" applyProtection="1">
      <alignment horizontal="left" vertical="center"/>
    </xf>
    <xf numFmtId="167" fontId="25" fillId="0" borderId="19" xfId="0" applyNumberFormat="1" applyFont="1" applyFill="1" applyBorder="1" applyAlignment="1" applyProtection="1">
      <alignment horizontal="left" vertical="center"/>
    </xf>
    <xf numFmtId="167" fontId="25" fillId="0" borderId="22" xfId="0" applyNumberFormat="1" applyFont="1" applyFill="1" applyBorder="1" applyAlignment="1" applyProtection="1">
      <alignment horizontal="left" vertical="center"/>
    </xf>
    <xf numFmtId="0" fontId="20" fillId="0" borderId="21" xfId="0" applyFont="1" applyBorder="1" applyAlignment="1" applyProtection="1">
      <alignment horizontal="center"/>
      <protection locked="0"/>
    </xf>
    <xf numFmtId="4" fontId="23" fillId="0" borderId="33" xfId="0" applyNumberFormat="1" applyFont="1" applyBorder="1" applyAlignment="1">
      <alignment horizontal="left" vertical="center"/>
    </xf>
    <xf numFmtId="4" fontId="23" fillId="0" borderId="8" xfId="0" applyNumberFormat="1" applyFont="1" applyBorder="1" applyAlignment="1">
      <alignment horizontal="left" vertical="center"/>
    </xf>
    <xf numFmtId="0" fontId="27" fillId="0" borderId="20" xfId="0" applyFont="1" applyFill="1" applyBorder="1" applyAlignment="1">
      <alignment horizontal="left" vertical="center"/>
    </xf>
    <xf numFmtId="0" fontId="27" fillId="0" borderId="11" xfId="0" applyFont="1" applyFill="1" applyBorder="1" applyAlignment="1">
      <alignment horizontal="left" vertical="center"/>
    </xf>
    <xf numFmtId="0" fontId="27" fillId="0" borderId="24" xfId="0" applyFont="1" applyFill="1" applyBorder="1" applyAlignment="1">
      <alignment horizontal="left" vertical="center"/>
    </xf>
    <xf numFmtId="0" fontId="27" fillId="0" borderId="21" xfId="0" applyFont="1" applyFill="1" applyBorder="1" applyAlignment="1">
      <alignment horizontal="left" vertical="center"/>
    </xf>
    <xf numFmtId="0" fontId="27" fillId="0" borderId="17" xfId="0" applyFont="1" applyFill="1" applyBorder="1" applyAlignment="1">
      <alignment horizontal="left" vertical="center"/>
    </xf>
    <xf numFmtId="0" fontId="27" fillId="0" borderId="26" xfId="0" applyFont="1" applyBorder="1" applyAlignment="1">
      <alignment horizontal="left" vertical="center"/>
    </xf>
    <xf numFmtId="0" fontId="43" fillId="0" borderId="13" xfId="0" applyFont="1" applyBorder="1" applyAlignment="1">
      <alignment horizontal="left" vertical="center"/>
    </xf>
    <xf numFmtId="0" fontId="43" fillId="0" borderId="0" xfId="0" applyFont="1" applyBorder="1" applyAlignment="1">
      <alignment horizontal="left" vertical="center"/>
    </xf>
    <xf numFmtId="0" fontId="23" fillId="0" borderId="20" xfId="0" applyFont="1" applyBorder="1" applyAlignment="1" applyProtection="1">
      <alignment horizontal="center" vertical="top" wrapText="1"/>
    </xf>
    <xf numFmtId="0" fontId="23" fillId="0" borderId="13" xfId="0" applyFont="1" applyBorder="1" applyAlignment="1" applyProtection="1">
      <alignment horizontal="center" vertical="top" wrapText="1"/>
    </xf>
    <xf numFmtId="0" fontId="23" fillId="0" borderId="21" xfId="0" applyFont="1" applyBorder="1" applyAlignment="1" applyProtection="1">
      <alignment horizontal="center" vertical="top" wrapText="1"/>
    </xf>
    <xf numFmtId="0" fontId="27" fillId="0" borderId="20" xfId="0" applyFont="1" applyBorder="1" applyAlignment="1" applyProtection="1">
      <alignment horizontal="left" vertical="center"/>
    </xf>
    <xf numFmtId="0" fontId="27" fillId="0" borderId="11" xfId="0" applyFont="1" applyBorder="1" applyAlignment="1" applyProtection="1">
      <alignment horizontal="left" vertical="center"/>
    </xf>
    <xf numFmtId="0" fontId="93" fillId="25" borderId="20" xfId="0" applyFont="1" applyFill="1" applyBorder="1" applyAlignment="1">
      <alignment horizontal="center" vertical="top" wrapText="1"/>
    </xf>
    <xf numFmtId="0" fontId="93" fillId="25" borderId="13" xfId="0" applyFont="1" applyFill="1" applyBorder="1" applyAlignment="1">
      <alignment horizontal="center" vertical="top" wrapText="1"/>
    </xf>
    <xf numFmtId="0" fontId="23" fillId="0" borderId="18" xfId="0" applyFont="1" applyBorder="1" applyAlignment="1" applyProtection="1">
      <alignment vertical="center"/>
      <protection locked="0"/>
    </xf>
    <xf numFmtId="0" fontId="23" fillId="0" borderId="19" xfId="0" applyFont="1" applyBorder="1" applyAlignment="1" applyProtection="1">
      <alignment vertical="center"/>
      <protection locked="0"/>
    </xf>
    <xf numFmtId="0" fontId="23" fillId="0" borderId="22" xfId="0" applyFont="1" applyBorder="1" applyAlignment="1" applyProtection="1">
      <alignment vertical="center"/>
      <protection locked="0"/>
    </xf>
    <xf numFmtId="0" fontId="34" fillId="0" borderId="20"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24"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0"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21" xfId="0" applyFont="1" applyBorder="1" applyAlignment="1">
      <alignment horizontal="center" vertical="center" wrapText="1"/>
    </xf>
    <xf numFmtId="0" fontId="34" fillId="0" borderId="17" xfId="0" applyFont="1" applyBorder="1" applyAlignment="1">
      <alignment horizontal="center" vertical="center" wrapText="1"/>
    </xf>
    <xf numFmtId="0" fontId="34" fillId="0" borderId="23" xfId="0" applyFont="1" applyBorder="1" applyAlignment="1">
      <alignment horizontal="center" vertical="center" wrapText="1"/>
    </xf>
    <xf numFmtId="0" fontId="60" fillId="25" borderId="26" xfId="20" applyFont="1" applyFill="1" applyBorder="1" applyAlignment="1" applyProtection="1">
      <alignment horizontal="left" vertical="top"/>
      <protection locked="0" hidden="1"/>
    </xf>
    <xf numFmtId="0" fontId="58" fillId="4" borderId="19" xfId="20" applyFont="1" applyFill="1" applyBorder="1" applyAlignment="1" applyProtection="1">
      <alignment horizontal="center" vertical="center"/>
      <protection locked="0" hidden="1"/>
    </xf>
    <xf numFmtId="0" fontId="58" fillId="4" borderId="22" xfId="20" applyFont="1" applyFill="1" applyBorder="1" applyAlignment="1" applyProtection="1">
      <alignment horizontal="center" vertical="center"/>
      <protection locked="0" hidden="1"/>
    </xf>
    <xf numFmtId="0" fontId="15" fillId="6" borderId="19" xfId="0" applyFont="1" applyFill="1" applyBorder="1" applyAlignment="1">
      <alignment horizontal="left" vertical="center"/>
    </xf>
    <xf numFmtId="0" fontId="104" fillId="0" borderId="13" xfId="0" applyFont="1" applyFill="1" applyBorder="1" applyAlignment="1">
      <alignment horizontal="center" vertical="top" wrapText="1"/>
    </xf>
    <xf numFmtId="0" fontId="104" fillId="0" borderId="14" xfId="0" applyFont="1" applyFill="1" applyBorder="1" applyAlignment="1">
      <alignment horizontal="center" vertical="top" wrapText="1"/>
    </xf>
    <xf numFmtId="0" fontId="104" fillId="0" borderId="21" xfId="0" applyFont="1" applyFill="1" applyBorder="1" applyAlignment="1">
      <alignment horizontal="center" vertical="top" wrapText="1"/>
    </xf>
    <xf numFmtId="0" fontId="104" fillId="0" borderId="23" xfId="0" applyFont="1" applyFill="1" applyBorder="1" applyAlignment="1">
      <alignment horizontal="center" vertical="top" wrapText="1"/>
    </xf>
    <xf numFmtId="0" fontId="23" fillId="0" borderId="18" xfId="0" applyFont="1" applyBorder="1" applyAlignment="1">
      <alignment horizontal="center" vertical="center"/>
    </xf>
    <xf numFmtId="0" fontId="23" fillId="0" borderId="19" xfId="0" applyFont="1" applyBorder="1" applyAlignment="1">
      <alignment horizontal="center" vertical="center"/>
    </xf>
    <xf numFmtId="0" fontId="23" fillId="0" borderId="17" xfId="0" applyFont="1" applyBorder="1" applyAlignment="1">
      <alignment horizontal="left" vertical="center"/>
    </xf>
    <xf numFmtId="0" fontId="43" fillId="0" borderId="13" xfId="0" applyFont="1" applyBorder="1" applyAlignment="1">
      <alignment horizontal="left" vertical="top" wrapText="1"/>
    </xf>
    <xf numFmtId="0" fontId="43" fillId="0" borderId="0" xfId="0" applyFont="1" applyBorder="1" applyAlignment="1">
      <alignment horizontal="left" vertical="top" wrapText="1"/>
    </xf>
    <xf numFmtId="0" fontId="43" fillId="0" borderId="14" xfId="0" applyFont="1" applyBorder="1" applyAlignment="1">
      <alignment horizontal="left" vertical="center" wrapText="1"/>
    </xf>
    <xf numFmtId="0" fontId="27" fillId="0" borderId="18" xfId="0" applyFont="1" applyBorder="1" applyAlignment="1">
      <alignment horizontal="left" vertical="center"/>
    </xf>
    <xf numFmtId="0" fontId="27" fillId="0" borderId="19" xfId="0" applyFont="1" applyBorder="1" applyAlignment="1">
      <alignment horizontal="left" vertical="center"/>
    </xf>
    <xf numFmtId="0" fontId="87" fillId="8" borderId="19" xfId="0" applyFont="1" applyFill="1" applyBorder="1" applyAlignment="1">
      <alignment horizontal="left" vertical="center"/>
    </xf>
    <xf numFmtId="0" fontId="23" fillId="0" borderId="13" xfId="0" applyFont="1" applyBorder="1" applyAlignment="1" applyProtection="1">
      <alignment horizontal="center"/>
    </xf>
    <xf numFmtId="0" fontId="23" fillId="0" borderId="0" xfId="0" applyFont="1" applyBorder="1" applyAlignment="1" applyProtection="1">
      <alignment horizontal="center"/>
    </xf>
    <xf numFmtId="0" fontId="23" fillId="0" borderId="37" xfId="0" applyFont="1" applyBorder="1" applyAlignment="1">
      <alignment horizontal="left" vertical="center"/>
    </xf>
    <xf numFmtId="0" fontId="23" fillId="0" borderId="38" xfId="0" applyFont="1" applyBorder="1" applyAlignment="1">
      <alignment horizontal="left" vertical="center"/>
    </xf>
    <xf numFmtId="0" fontId="23" fillId="0" borderId="39" xfId="0" applyFont="1" applyBorder="1" applyAlignment="1">
      <alignment horizontal="left" vertical="center"/>
    </xf>
    <xf numFmtId="0" fontId="23" fillId="0" borderId="20" xfId="0" applyFont="1" applyBorder="1" applyAlignment="1">
      <alignment horizontal="center" vertical="center"/>
    </xf>
    <xf numFmtId="0" fontId="23" fillId="0" borderId="11" xfId="0" applyFont="1" applyBorder="1" applyAlignment="1">
      <alignment horizontal="center" vertical="center"/>
    </xf>
    <xf numFmtId="0" fontId="23" fillId="0" borderId="24" xfId="0" applyFont="1" applyBorder="1" applyAlignment="1">
      <alignment horizontal="center" vertical="center"/>
    </xf>
    <xf numFmtId="0" fontId="23" fillId="0" borderId="21" xfId="0" applyFont="1" applyBorder="1" applyAlignment="1">
      <alignment horizontal="center" vertical="center"/>
    </xf>
    <xf numFmtId="0" fontId="23" fillId="0" borderId="17" xfId="0" applyFont="1" applyBorder="1" applyAlignment="1">
      <alignment horizontal="center" vertical="center"/>
    </xf>
    <xf numFmtId="0" fontId="23" fillId="0" borderId="23" xfId="0" applyFont="1" applyBorder="1" applyAlignment="1">
      <alignment horizontal="center" vertical="center"/>
    </xf>
    <xf numFmtId="0" fontId="23" fillId="2" borderId="20" xfId="0" applyFont="1" applyFill="1" applyBorder="1" applyAlignment="1" applyProtection="1">
      <alignment horizontal="left" vertical="top" wrapText="1"/>
      <protection locked="0"/>
    </xf>
    <xf numFmtId="0" fontId="23" fillId="2" borderId="11" xfId="0" applyFont="1" applyFill="1" applyBorder="1" applyAlignment="1" applyProtection="1">
      <alignment horizontal="left" vertical="top" wrapText="1"/>
      <protection locked="0"/>
    </xf>
    <xf numFmtId="0" fontId="23" fillId="2" borderId="21" xfId="0" applyFont="1" applyFill="1" applyBorder="1" applyAlignment="1" applyProtection="1">
      <alignment horizontal="left" vertical="top" wrapText="1"/>
      <protection locked="0"/>
    </xf>
    <xf numFmtId="0" fontId="23" fillId="2" borderId="17" xfId="0" applyFont="1" applyFill="1" applyBorder="1" applyAlignment="1" applyProtection="1">
      <alignment horizontal="left" vertical="top" wrapText="1"/>
      <protection locked="0"/>
    </xf>
    <xf numFmtId="0" fontId="23" fillId="2" borderId="31" xfId="0" applyFont="1" applyFill="1" applyBorder="1" applyAlignment="1" applyProtection="1">
      <alignment horizontal="left" vertical="center"/>
      <protection locked="0"/>
    </xf>
    <xf numFmtId="0" fontId="23" fillId="2" borderId="43" xfId="0" applyFont="1" applyFill="1" applyBorder="1" applyAlignment="1" applyProtection="1">
      <alignment horizontal="left" vertical="center"/>
      <protection locked="0"/>
    </xf>
    <xf numFmtId="0" fontId="23" fillId="2" borderId="32" xfId="0" applyFont="1" applyFill="1" applyBorder="1" applyAlignment="1" applyProtection="1">
      <alignment horizontal="left" vertical="center"/>
      <protection locked="0"/>
    </xf>
    <xf numFmtId="0" fontId="43" fillId="0" borderId="13" xfId="0" applyFont="1" applyBorder="1" applyAlignment="1">
      <alignment horizontal="left" vertical="center" wrapText="1"/>
    </xf>
    <xf numFmtId="0" fontId="43" fillId="0" borderId="0" xfId="0" applyFont="1" applyBorder="1" applyAlignment="1">
      <alignment horizontal="left" vertical="center" wrapText="1"/>
    </xf>
    <xf numFmtId="167" fontId="23" fillId="0" borderId="43" xfId="0" applyNumberFormat="1" applyFont="1" applyBorder="1" applyAlignment="1">
      <alignment horizontal="right" vertical="center"/>
    </xf>
    <xf numFmtId="167" fontId="23" fillId="0" borderId="5" xfId="0" applyNumberFormat="1" applyFont="1" applyBorder="1" applyAlignment="1">
      <alignment horizontal="left" vertical="center"/>
    </xf>
    <xf numFmtId="0" fontId="88" fillId="20" borderId="18" xfId="0" applyFont="1" applyFill="1" applyBorder="1" applyAlignment="1">
      <alignment horizontal="center"/>
    </xf>
    <xf numFmtId="0" fontId="88" fillId="20" borderId="19" xfId="0" applyFont="1" applyFill="1" applyBorder="1" applyAlignment="1">
      <alignment horizontal="center"/>
    </xf>
    <xf numFmtId="0" fontId="88" fillId="20" borderId="22" xfId="0" applyFont="1" applyFill="1" applyBorder="1" applyAlignment="1">
      <alignment horizontal="center"/>
    </xf>
    <xf numFmtId="0" fontId="23" fillId="2" borderId="20" xfId="0" applyFont="1" applyFill="1" applyBorder="1" applyAlignment="1" applyProtection="1">
      <alignment horizontal="left" vertical="center"/>
      <protection locked="0"/>
    </xf>
    <xf numFmtId="0" fontId="23" fillId="2" borderId="11" xfId="0" applyFont="1" applyFill="1" applyBorder="1" applyAlignment="1" applyProtection="1">
      <alignment horizontal="left" vertical="center"/>
      <protection locked="0"/>
    </xf>
    <xf numFmtId="0" fontId="23" fillId="0" borderId="20" xfId="0" applyFont="1" applyBorder="1" applyAlignment="1" applyProtection="1">
      <alignment horizontal="left" vertical="center"/>
    </xf>
    <xf numFmtId="0" fontId="23" fillId="0" borderId="11" xfId="0" applyFont="1" applyBorder="1" applyAlignment="1" applyProtection="1">
      <alignment horizontal="left" vertical="center"/>
    </xf>
    <xf numFmtId="0" fontId="23" fillId="0" borderId="24" xfId="0" applyFont="1" applyBorder="1" applyAlignment="1" applyProtection="1">
      <alignment horizontal="left" vertical="center"/>
    </xf>
    <xf numFmtId="49" fontId="23" fillId="2" borderId="0" xfId="0" applyNumberFormat="1" applyFont="1" applyFill="1" applyBorder="1" applyAlignment="1" applyProtection="1">
      <alignment horizontal="left" vertical="center"/>
      <protection locked="0"/>
    </xf>
    <xf numFmtId="0" fontId="23" fillId="0" borderId="13" xfId="0" applyFont="1" applyBorder="1" applyAlignment="1" applyProtection="1">
      <alignment horizontal="left" vertical="center"/>
    </xf>
    <xf numFmtId="0" fontId="23" fillId="0" borderId="0" xfId="0" applyFont="1" applyBorder="1" applyAlignment="1" applyProtection="1">
      <alignment horizontal="left" vertical="center"/>
    </xf>
    <xf numFmtId="0" fontId="23" fillId="0" borderId="21" xfId="0" applyFont="1" applyBorder="1" applyAlignment="1" applyProtection="1">
      <alignment horizontal="left" vertical="center"/>
    </xf>
    <xf numFmtId="0" fontId="23" fillId="0" borderId="17" xfId="0" applyFont="1" applyBorder="1" applyAlignment="1" applyProtection="1">
      <alignment horizontal="left" vertical="center"/>
    </xf>
    <xf numFmtId="0" fontId="23" fillId="0" borderId="23" xfId="0" applyFont="1" applyBorder="1" applyAlignment="1" applyProtection="1">
      <alignment horizontal="left" vertical="center"/>
    </xf>
    <xf numFmtId="0" fontId="23" fillId="0" borderId="18" xfId="0" applyFont="1" applyBorder="1" applyAlignment="1" applyProtection="1">
      <alignment horizontal="left" vertical="center"/>
    </xf>
    <xf numFmtId="0" fontId="23" fillId="0" borderId="19" xfId="0" applyFont="1" applyBorder="1" applyAlignment="1" applyProtection="1">
      <alignment horizontal="left" vertical="center"/>
    </xf>
    <xf numFmtId="0" fontId="23" fillId="0" borderId="22" xfId="0" applyFont="1" applyBorder="1" applyAlignment="1" applyProtection="1">
      <alignment horizontal="left" vertical="center"/>
    </xf>
    <xf numFmtId="49" fontId="23" fillId="2" borderId="9" xfId="0" applyNumberFormat="1" applyFont="1" applyFill="1" applyBorder="1" applyAlignment="1" applyProtection="1">
      <alignment horizontal="left" vertical="center"/>
      <protection locked="0"/>
    </xf>
    <xf numFmtId="0" fontId="27" fillId="0" borderId="18" xfId="0" applyFont="1" applyBorder="1" applyAlignment="1">
      <alignment horizontal="center" vertical="center"/>
    </xf>
    <xf numFmtId="0" fontId="27" fillId="0" borderId="19" xfId="0" applyFont="1" applyBorder="1" applyAlignment="1">
      <alignment horizontal="center" vertical="center"/>
    </xf>
    <xf numFmtId="0" fontId="23" fillId="0" borderId="29" xfId="0" applyFont="1" applyBorder="1" applyAlignment="1" applyProtection="1">
      <alignment horizontal="center" vertical="top" wrapText="1"/>
    </xf>
    <xf numFmtId="0" fontId="23" fillId="0" borderId="27" xfId="0" applyFont="1" applyBorder="1" applyAlignment="1" applyProtection="1">
      <alignment horizontal="center" vertical="top" wrapText="1"/>
    </xf>
    <xf numFmtId="0" fontId="23" fillId="0" borderId="28" xfId="0" applyFont="1" applyBorder="1" applyAlignment="1" applyProtection="1">
      <alignment horizontal="center" vertical="top" wrapText="1"/>
    </xf>
    <xf numFmtId="0" fontId="29" fillId="6" borderId="18" xfId="0" applyFont="1" applyFill="1" applyBorder="1" applyAlignment="1">
      <alignment horizontal="center" vertical="center"/>
    </xf>
    <xf numFmtId="0" fontId="29" fillId="6" borderId="19" xfId="0" applyFont="1" applyFill="1" applyBorder="1" applyAlignment="1">
      <alignment horizontal="center" vertical="center"/>
    </xf>
    <xf numFmtId="0" fontId="23" fillId="0" borderId="40" xfId="0" applyFont="1" applyBorder="1" applyAlignment="1" applyProtection="1">
      <alignment horizontal="center" vertical="top" wrapText="1"/>
    </xf>
    <xf numFmtId="0" fontId="23" fillId="0" borderId="26" xfId="0" applyFont="1" applyBorder="1" applyAlignment="1" applyProtection="1">
      <alignment horizontal="left" vertical="center"/>
    </xf>
    <xf numFmtId="0" fontId="87" fillId="8" borderId="22" xfId="0" applyFont="1" applyFill="1" applyBorder="1" applyAlignment="1">
      <alignment horizontal="left" vertical="center"/>
    </xf>
    <xf numFmtId="0" fontId="34" fillId="0" borderId="18" xfId="0" applyFont="1" applyBorder="1" applyAlignment="1">
      <alignment horizontal="left" vertical="center"/>
    </xf>
    <xf numFmtId="0" fontId="34" fillId="0" borderId="19" xfId="0" applyFont="1" applyBorder="1" applyAlignment="1">
      <alignment horizontal="left" vertical="center"/>
    </xf>
    <xf numFmtId="0" fontId="23" fillId="2" borderId="30" xfId="0" applyFont="1" applyFill="1" applyBorder="1" applyAlignment="1" applyProtection="1">
      <alignment horizontal="left" vertical="center"/>
      <protection locked="0"/>
    </xf>
    <xf numFmtId="0" fontId="23" fillId="0" borderId="20" xfId="0" applyFont="1" applyFill="1" applyBorder="1" applyAlignment="1" applyProtection="1">
      <alignment horizontal="center" vertical="center" wrapText="1"/>
    </xf>
    <xf numFmtId="0" fontId="23" fillId="0" borderId="11" xfId="0" applyFont="1" applyFill="1" applyBorder="1" applyAlignment="1" applyProtection="1">
      <alignment horizontal="center" vertical="center" wrapText="1"/>
    </xf>
    <xf numFmtId="0" fontId="23" fillId="0" borderId="13"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23" fillId="0" borderId="21" xfId="0" applyFont="1" applyFill="1" applyBorder="1" applyAlignment="1" applyProtection="1">
      <alignment horizontal="center" vertical="center" wrapText="1"/>
    </xf>
    <xf numFmtId="0" fontId="23" fillId="0" borderId="17" xfId="0" applyFont="1" applyFill="1" applyBorder="1" applyAlignment="1" applyProtection="1">
      <alignment horizontal="center" vertical="center" wrapText="1"/>
    </xf>
    <xf numFmtId="0" fontId="23" fillId="2" borderId="13" xfId="0" applyFont="1" applyFill="1" applyBorder="1" applyAlignment="1" applyProtection="1">
      <alignment horizontal="left" vertical="top" wrapText="1"/>
      <protection locked="0"/>
    </xf>
    <xf numFmtId="0" fontId="23" fillId="2" borderId="0" xfId="0" applyFont="1" applyFill="1" applyBorder="1" applyAlignment="1" applyProtection="1">
      <alignment horizontal="left" vertical="top" wrapText="1"/>
      <protection locked="0"/>
    </xf>
    <xf numFmtId="0" fontId="23" fillId="0" borderId="18" xfId="0" applyFont="1" applyFill="1" applyBorder="1" applyAlignment="1" applyProtection="1">
      <alignment horizontal="center"/>
    </xf>
    <xf numFmtId="0" fontId="23" fillId="0" borderId="19" xfId="0" applyFont="1" applyFill="1" applyBorder="1" applyAlignment="1" applyProtection="1">
      <alignment horizontal="center"/>
    </xf>
    <xf numFmtId="0" fontId="23" fillId="2" borderId="26" xfId="0" applyFont="1" applyFill="1" applyBorder="1" applyAlignment="1" applyProtection="1">
      <alignment horizontal="left" vertical="center"/>
      <protection locked="0"/>
    </xf>
    <xf numFmtId="0" fontId="27" fillId="0" borderId="21" xfId="0" applyFont="1" applyBorder="1" applyAlignment="1">
      <alignment horizontal="left" vertical="center"/>
    </xf>
    <xf numFmtId="0" fontId="27" fillId="0" borderId="17" xfId="0" applyFont="1" applyBorder="1" applyAlignment="1">
      <alignment horizontal="left" vertical="center"/>
    </xf>
    <xf numFmtId="0" fontId="27" fillId="0" borderId="23" xfId="0" applyFont="1" applyBorder="1" applyAlignment="1">
      <alignment horizontal="left" vertical="center"/>
    </xf>
    <xf numFmtId="0" fontId="97" fillId="0" borderId="18" xfId="0" applyFont="1" applyFill="1" applyBorder="1" applyAlignment="1">
      <alignment horizontal="center" vertical="center"/>
    </xf>
    <xf numFmtId="0" fontId="97" fillId="0" borderId="22" xfId="0" applyFont="1" applyFill="1" applyBorder="1" applyAlignment="1">
      <alignment horizontal="center" vertical="center"/>
    </xf>
    <xf numFmtId="0" fontId="88" fillId="8" borderId="21" xfId="0" applyFont="1" applyFill="1" applyBorder="1" applyAlignment="1">
      <alignment horizontal="center"/>
    </xf>
    <xf numFmtId="0" fontId="88" fillId="8" borderId="17" xfId="0" applyFont="1" applyFill="1" applyBorder="1" applyAlignment="1">
      <alignment horizontal="center"/>
    </xf>
    <xf numFmtId="0" fontId="23" fillId="2" borderId="21" xfId="0" applyFont="1" applyFill="1" applyBorder="1" applyAlignment="1" applyProtection="1">
      <alignment horizontal="left" vertical="center"/>
      <protection locked="0"/>
    </xf>
    <xf numFmtId="0" fontId="23" fillId="2" borderId="17" xfId="0" applyFont="1" applyFill="1" applyBorder="1" applyAlignment="1" applyProtection="1">
      <alignment horizontal="left" vertical="center"/>
      <protection locked="0"/>
    </xf>
    <xf numFmtId="0" fontId="23" fillId="2" borderId="13" xfId="0" applyFont="1" applyFill="1" applyBorder="1" applyAlignment="1" applyProtection="1">
      <alignment horizontal="left" vertical="center"/>
      <protection locked="0"/>
    </xf>
    <xf numFmtId="0" fontId="23" fillId="2" borderId="0" xfId="0" applyFont="1" applyFill="1" applyBorder="1" applyAlignment="1" applyProtection="1">
      <alignment horizontal="left" vertical="center"/>
      <protection locked="0"/>
    </xf>
    <xf numFmtId="0" fontId="23" fillId="0" borderId="37" xfId="0" applyFont="1" applyBorder="1" applyAlignment="1">
      <alignment horizontal="center" vertical="center"/>
    </xf>
    <xf numFmtId="0" fontId="23" fillId="0" borderId="39" xfId="0" applyFont="1" applyBorder="1" applyAlignment="1">
      <alignment horizontal="center" vertical="center"/>
    </xf>
    <xf numFmtId="0" fontId="27" fillId="0" borderId="20" xfId="0" applyFont="1" applyBorder="1" applyAlignment="1" applyProtection="1">
      <alignment vertical="center" wrapText="1"/>
    </xf>
    <xf numFmtId="0" fontId="27" fillId="0" borderId="11" xfId="0" applyFont="1" applyBorder="1" applyAlignment="1" applyProtection="1">
      <alignment vertical="center" wrapText="1"/>
    </xf>
    <xf numFmtId="0" fontId="27" fillId="0" borderId="24" xfId="0" applyFont="1" applyBorder="1" applyAlignment="1" applyProtection="1">
      <alignment vertical="center" wrapText="1"/>
    </xf>
    <xf numFmtId="0" fontId="27" fillId="0" borderId="13" xfId="0" applyFont="1" applyBorder="1" applyAlignment="1" applyProtection="1">
      <alignment vertical="center" wrapText="1"/>
    </xf>
    <xf numFmtId="0" fontId="27" fillId="0" borderId="0" xfId="0" applyFont="1" applyBorder="1" applyAlignment="1" applyProtection="1">
      <alignment vertical="center" wrapText="1"/>
    </xf>
    <xf numFmtId="0" fontId="27" fillId="0" borderId="14" xfId="0" applyFont="1" applyBorder="1" applyAlignment="1" applyProtection="1">
      <alignment vertical="center" wrapText="1"/>
    </xf>
    <xf numFmtId="0" fontId="27" fillId="0" borderId="25" xfId="0" applyFont="1" applyBorder="1" applyAlignment="1" applyProtection="1">
      <alignment vertical="center" wrapText="1"/>
    </xf>
    <xf numFmtId="0" fontId="27" fillId="0" borderId="9" xfId="0" applyFont="1" applyBorder="1" applyAlignment="1" applyProtection="1">
      <alignment vertical="center" wrapText="1"/>
    </xf>
    <xf numFmtId="0" fontId="27" fillId="0" borderId="15" xfId="0" applyFont="1" applyBorder="1" applyAlignment="1" applyProtection="1">
      <alignment vertical="center" wrapText="1"/>
    </xf>
    <xf numFmtId="167" fontId="23" fillId="0" borderId="9" xfId="0" applyNumberFormat="1" applyFont="1" applyBorder="1" applyAlignment="1">
      <alignment horizontal="right" vertical="center"/>
    </xf>
    <xf numFmtId="0" fontId="23" fillId="0" borderId="18" xfId="0" applyFont="1" applyBorder="1" applyAlignment="1" applyProtection="1">
      <alignment horizontal="center"/>
      <protection locked="0"/>
    </xf>
    <xf numFmtId="0" fontId="23" fillId="0" borderId="19" xfId="0" applyFont="1" applyBorder="1" applyAlignment="1" applyProtection="1">
      <alignment horizontal="center"/>
      <protection locked="0"/>
    </xf>
    <xf numFmtId="0" fontId="27" fillId="0" borderId="22" xfId="0" applyFont="1" applyBorder="1" applyAlignment="1">
      <alignment horizontal="left" vertical="center"/>
    </xf>
    <xf numFmtId="0" fontId="23" fillId="2" borderId="18" xfId="0" applyFont="1" applyFill="1" applyBorder="1" applyAlignment="1" applyProtection="1">
      <alignment horizontal="left" vertical="center"/>
      <protection locked="0"/>
    </xf>
    <xf numFmtId="0" fontId="23" fillId="2" borderId="19" xfId="0" applyFont="1" applyFill="1" applyBorder="1" applyAlignment="1" applyProtection="1">
      <alignment horizontal="left" vertical="center"/>
      <protection locked="0"/>
    </xf>
    <xf numFmtId="0" fontId="23" fillId="0" borderId="13"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23" fillId="2" borderId="18" xfId="0" applyFont="1" applyFill="1" applyBorder="1" applyAlignment="1" applyProtection="1">
      <alignment vertical="center"/>
      <protection locked="0"/>
    </xf>
    <xf numFmtId="0" fontId="23" fillId="2" borderId="19" xfId="0" applyFont="1" applyFill="1" applyBorder="1" applyAlignment="1" applyProtection="1">
      <alignment vertical="center"/>
      <protection locked="0"/>
    </xf>
    <xf numFmtId="0" fontId="23" fillId="2" borderId="22" xfId="0" applyFont="1" applyFill="1" applyBorder="1" applyAlignment="1" applyProtection="1">
      <alignment vertical="center"/>
      <protection locked="0"/>
    </xf>
    <xf numFmtId="0" fontId="23" fillId="2" borderId="22" xfId="0" applyFont="1" applyFill="1" applyBorder="1" applyAlignment="1" applyProtection="1">
      <alignment horizontal="left" vertical="center"/>
      <protection locked="0"/>
    </xf>
    <xf numFmtId="0" fontId="23" fillId="0" borderId="20" xfId="0" applyFont="1" applyBorder="1" applyAlignment="1" applyProtection="1">
      <alignment horizontal="center" vertical="center"/>
      <protection locked="0"/>
    </xf>
    <xf numFmtId="0" fontId="23" fillId="0" borderId="11" xfId="0" applyFont="1" applyBorder="1" applyAlignment="1" applyProtection="1">
      <alignment horizontal="center" vertical="center"/>
      <protection locked="0"/>
    </xf>
    <xf numFmtId="0" fontId="27" fillId="4" borderId="13" xfId="0" applyFont="1" applyFill="1" applyBorder="1" applyAlignment="1">
      <alignment horizontal="left" vertical="center"/>
    </xf>
    <xf numFmtId="0" fontId="27" fillId="4" borderId="0" xfId="0" applyFont="1" applyFill="1" applyBorder="1" applyAlignment="1">
      <alignment horizontal="left" vertical="center"/>
    </xf>
    <xf numFmtId="0" fontId="23" fillId="0" borderId="13" xfId="0" applyFont="1" applyBorder="1" applyAlignment="1">
      <alignment horizontal="center" vertical="center" wrapText="1"/>
    </xf>
    <xf numFmtId="0" fontId="23" fillId="0" borderId="0" xfId="0" applyFont="1" applyBorder="1" applyAlignment="1">
      <alignment horizontal="center" vertical="center"/>
    </xf>
    <xf numFmtId="0" fontId="23" fillId="0" borderId="14" xfId="0" applyFont="1" applyBorder="1" applyAlignment="1">
      <alignment horizontal="center" vertical="center"/>
    </xf>
    <xf numFmtId="4" fontId="27" fillId="0" borderId="20" xfId="0" applyNumberFormat="1" applyFont="1" applyBorder="1" applyAlignment="1">
      <alignment horizontal="left" vertical="center" wrapText="1"/>
    </xf>
    <xf numFmtId="4" fontId="27" fillId="0" borderId="24" xfId="0" applyNumberFormat="1" applyFont="1" applyBorder="1" applyAlignment="1">
      <alignment horizontal="left" vertical="center" wrapText="1"/>
    </xf>
    <xf numFmtId="4" fontId="23" fillId="0" borderId="33" xfId="0" applyNumberFormat="1" applyFont="1" applyFill="1" applyBorder="1" applyAlignment="1">
      <alignment horizontal="left" vertical="center"/>
    </xf>
    <xf numFmtId="4" fontId="23" fillId="0" borderId="8" xfId="0" applyNumberFormat="1" applyFont="1" applyFill="1" applyBorder="1" applyAlignment="1">
      <alignment horizontal="left" vertical="center"/>
    </xf>
    <xf numFmtId="4" fontId="23" fillId="0" borderId="35" xfId="0" applyNumberFormat="1" applyFont="1" applyFill="1" applyBorder="1" applyAlignment="1">
      <alignment horizontal="left" vertical="center"/>
    </xf>
    <xf numFmtId="0" fontId="27" fillId="4" borderId="20" xfId="0" applyFont="1" applyFill="1" applyBorder="1" applyAlignment="1">
      <alignment horizontal="left" vertical="center"/>
    </xf>
    <xf numFmtId="0" fontId="27" fillId="4" borderId="11" xfId="0" applyFont="1" applyFill="1" applyBorder="1" applyAlignment="1">
      <alignment horizontal="left" vertical="center"/>
    </xf>
    <xf numFmtId="10" fontId="23" fillId="0" borderId="13" xfId="9" applyNumberFormat="1" applyFont="1" applyBorder="1" applyAlignment="1">
      <alignment horizontal="right" vertical="center"/>
    </xf>
    <xf numFmtId="10" fontId="23" fillId="0" borderId="25" xfId="9" applyNumberFormat="1" applyFont="1" applyBorder="1" applyAlignment="1">
      <alignment horizontal="right" vertical="center"/>
    </xf>
    <xf numFmtId="0" fontId="23" fillId="0" borderId="31" xfId="0" applyFont="1" applyBorder="1" applyAlignment="1">
      <alignment horizontal="left"/>
    </xf>
    <xf numFmtId="0" fontId="23" fillId="0" borderId="43" xfId="0" applyFont="1" applyBorder="1" applyAlignment="1">
      <alignment horizontal="left"/>
    </xf>
    <xf numFmtId="4" fontId="23" fillId="0" borderId="26" xfId="0" applyNumberFormat="1" applyFont="1" applyBorder="1" applyAlignment="1" applyProtection="1">
      <alignment horizontal="center" vertical="center" wrapText="1"/>
    </xf>
    <xf numFmtId="4" fontId="23" fillId="0" borderId="30" xfId="0" applyNumberFormat="1" applyFont="1" applyBorder="1" applyAlignment="1" applyProtection="1">
      <alignment horizontal="center" vertical="center" wrapText="1"/>
    </xf>
    <xf numFmtId="4" fontId="23" fillId="0" borderId="50" xfId="0" applyNumberFormat="1" applyFont="1" applyBorder="1" applyAlignment="1">
      <alignment horizontal="center" vertical="center" wrapText="1"/>
    </xf>
    <xf numFmtId="4" fontId="23" fillId="0" borderId="26" xfId="0" applyNumberFormat="1" applyFont="1" applyBorder="1" applyAlignment="1">
      <alignment horizontal="center" vertical="center" wrapText="1"/>
    </xf>
    <xf numFmtId="4" fontId="23" fillId="0" borderId="30" xfId="0" applyNumberFormat="1" applyFont="1" applyBorder="1" applyAlignment="1">
      <alignment horizontal="center" vertical="center" wrapText="1"/>
    </xf>
    <xf numFmtId="4" fontId="23" fillId="0" borderId="13" xfId="0" applyNumberFormat="1" applyFont="1" applyBorder="1" applyAlignment="1">
      <alignment horizontal="left" vertical="center"/>
    </xf>
    <xf numFmtId="4" fontId="23" fillId="0" borderId="0" xfId="0" applyNumberFormat="1" applyFont="1" applyBorder="1" applyAlignment="1">
      <alignment horizontal="left" vertical="center"/>
    </xf>
    <xf numFmtId="4" fontId="23" fillId="0" borderId="14" xfId="0" applyNumberFormat="1" applyFont="1" applyBorder="1" applyAlignment="1">
      <alignment horizontal="left" vertical="center"/>
    </xf>
    <xf numFmtId="4" fontId="23" fillId="0" borderId="16" xfId="0" applyNumberFormat="1" applyFont="1" applyBorder="1" applyAlignment="1">
      <alignment horizontal="left" vertical="top" wrapText="1"/>
    </xf>
    <xf numFmtId="4" fontId="23" fillId="0" borderId="45" xfId="0" applyNumberFormat="1" applyFont="1" applyBorder="1" applyAlignment="1">
      <alignment horizontal="left" vertical="top" wrapText="1"/>
    </xf>
    <xf numFmtId="4" fontId="23" fillId="0" borderId="13" xfId="0" applyNumberFormat="1" applyFont="1" applyBorder="1" applyAlignment="1">
      <alignment horizontal="left" vertical="top" wrapText="1"/>
    </xf>
    <xf numFmtId="4" fontId="23" fillId="0" borderId="14" xfId="0" applyNumberFormat="1" applyFont="1" applyBorder="1" applyAlignment="1">
      <alignment horizontal="left" vertical="top" wrapText="1"/>
    </xf>
    <xf numFmtId="4" fontId="23" fillId="0" borderId="25" xfId="0" applyNumberFormat="1" applyFont="1" applyBorder="1" applyAlignment="1">
      <alignment horizontal="left" vertical="top" wrapText="1"/>
    </xf>
    <xf numFmtId="4" fontId="23" fillId="0" borderId="15" xfId="0" applyNumberFormat="1" applyFont="1" applyBorder="1" applyAlignment="1">
      <alignment horizontal="left" vertical="top" wrapText="1"/>
    </xf>
    <xf numFmtId="4" fontId="23" fillId="5" borderId="14" xfId="0" applyNumberFormat="1" applyFont="1" applyFill="1" applyBorder="1" applyAlignment="1">
      <alignment horizontal="center" vertical="center"/>
    </xf>
    <xf numFmtId="4" fontId="23" fillId="5" borderId="40" xfId="0" applyNumberFormat="1" applyFont="1" applyFill="1" applyBorder="1" applyAlignment="1">
      <alignment horizontal="center" vertical="center"/>
    </xf>
    <xf numFmtId="4" fontId="23" fillId="0" borderId="48" xfId="0" applyNumberFormat="1" applyFont="1" applyBorder="1" applyAlignment="1">
      <alignment horizontal="center" vertical="center" wrapText="1"/>
    </xf>
    <xf numFmtId="4" fontId="23" fillId="0" borderId="27" xfId="0" applyNumberFormat="1" applyFont="1" applyBorder="1" applyAlignment="1">
      <alignment horizontal="center" vertical="center" wrapText="1"/>
    </xf>
    <xf numFmtId="4" fontId="23" fillId="0" borderId="28" xfId="0" applyNumberFormat="1" applyFont="1" applyBorder="1" applyAlignment="1">
      <alignment horizontal="center" vertical="center" wrapText="1"/>
    </xf>
    <xf numFmtId="4" fontId="27" fillId="0" borderId="16" xfId="0" applyNumberFormat="1" applyFont="1" applyBorder="1" applyAlignment="1">
      <alignment horizontal="left" vertical="top" wrapText="1"/>
    </xf>
    <xf numFmtId="4" fontId="27" fillId="0" borderId="5" xfId="0" applyNumberFormat="1" applyFont="1" applyBorder="1" applyAlignment="1">
      <alignment horizontal="left" vertical="top" wrapText="1"/>
    </xf>
    <xf numFmtId="4" fontId="27" fillId="0" borderId="45" xfId="0" applyNumberFormat="1" applyFont="1" applyBorder="1" applyAlignment="1">
      <alignment horizontal="left" vertical="top" wrapText="1"/>
    </xf>
    <xf numFmtId="4" fontId="27" fillId="0" borderId="13" xfId="0" applyNumberFormat="1" applyFont="1" applyBorder="1" applyAlignment="1">
      <alignment horizontal="left" vertical="top" wrapText="1"/>
    </xf>
    <xf numFmtId="4" fontId="27" fillId="0" borderId="0" xfId="0" applyNumberFormat="1" applyFont="1" applyBorder="1" applyAlignment="1">
      <alignment horizontal="left" vertical="top" wrapText="1"/>
    </xf>
    <xf numFmtId="4" fontId="27" fillId="0" borderId="14" xfId="0" applyNumberFormat="1" applyFont="1" applyBorder="1" applyAlignment="1">
      <alignment horizontal="left" vertical="top" wrapText="1"/>
    </xf>
    <xf numFmtId="4" fontId="27" fillId="0" borderId="25" xfId="0" applyNumberFormat="1" applyFont="1" applyBorder="1" applyAlignment="1">
      <alignment horizontal="left" vertical="top" wrapText="1"/>
    </xf>
    <xf numFmtId="4" fontId="27" fillId="0" borderId="9" xfId="0" applyNumberFormat="1" applyFont="1" applyBorder="1" applyAlignment="1">
      <alignment horizontal="left" vertical="top" wrapText="1"/>
    </xf>
    <xf numFmtId="4" fontId="27" fillId="0" borderId="15" xfId="0" applyNumberFormat="1" applyFont="1" applyBorder="1" applyAlignment="1">
      <alignment horizontal="left" vertical="top" wrapText="1"/>
    </xf>
    <xf numFmtId="4" fontId="23" fillId="0" borderId="25" xfId="0" applyNumberFormat="1" applyFont="1" applyFill="1" applyBorder="1" applyAlignment="1" applyProtection="1">
      <alignment horizontal="left" vertical="center"/>
    </xf>
    <xf numFmtId="4" fontId="23" fillId="0" borderId="9" xfId="0" applyNumberFormat="1" applyFont="1" applyFill="1" applyBorder="1" applyAlignment="1" applyProtection="1">
      <alignment horizontal="left" vertical="center"/>
    </xf>
    <xf numFmtId="4" fontId="23" fillId="0" borderId="15" xfId="0" applyNumberFormat="1" applyFont="1" applyFill="1" applyBorder="1" applyAlignment="1" applyProtection="1">
      <alignment horizontal="left" vertical="center"/>
    </xf>
    <xf numFmtId="49" fontId="23" fillId="2" borderId="21" xfId="0" applyNumberFormat="1" applyFont="1" applyFill="1" applyBorder="1" applyAlignment="1" applyProtection="1">
      <alignment vertical="center"/>
      <protection locked="0"/>
    </xf>
    <xf numFmtId="49" fontId="23" fillId="2" borderId="17" xfId="0" applyNumberFormat="1" applyFont="1" applyFill="1" applyBorder="1" applyAlignment="1" applyProtection="1">
      <alignment vertical="center"/>
      <protection locked="0"/>
    </xf>
    <xf numFmtId="49" fontId="23" fillId="2" borderId="23" xfId="0" applyNumberFormat="1" applyFont="1" applyFill="1" applyBorder="1" applyAlignment="1" applyProtection="1">
      <alignment vertical="center"/>
      <protection locked="0"/>
    </xf>
    <xf numFmtId="4" fontId="23" fillId="0" borderId="26" xfId="0" applyNumberFormat="1" applyFont="1" applyBorder="1" applyAlignment="1" applyProtection="1">
      <alignment horizontal="center"/>
    </xf>
    <xf numFmtId="4" fontId="23" fillId="0" borderId="18" xfId="0" applyNumberFormat="1" applyFont="1" applyBorder="1" applyAlignment="1" applyProtection="1">
      <alignment horizontal="center"/>
    </xf>
    <xf numFmtId="4" fontId="23" fillId="0" borderId="18" xfId="0" applyNumberFormat="1" applyFont="1" applyBorder="1" applyAlignment="1" applyProtection="1">
      <alignment horizontal="center" vertical="center" wrapText="1"/>
    </xf>
    <xf numFmtId="4" fontId="23" fillId="0" borderId="31" xfId="0" applyNumberFormat="1" applyFont="1" applyBorder="1" applyAlignment="1" applyProtection="1">
      <alignment horizontal="center" vertical="center" wrapText="1"/>
    </xf>
    <xf numFmtId="4" fontId="27" fillId="0" borderId="26" xfId="0" applyNumberFormat="1" applyFont="1" applyBorder="1" applyAlignment="1" applyProtection="1">
      <alignment horizontal="left" vertical="top" wrapText="1"/>
    </xf>
    <xf numFmtId="4" fontId="27" fillId="0" borderId="30" xfId="0" applyNumberFormat="1" applyFont="1" applyBorder="1" applyAlignment="1" applyProtection="1">
      <alignment horizontal="left" vertical="top" wrapText="1"/>
    </xf>
    <xf numFmtId="4" fontId="23" fillId="2" borderId="20" xfId="0" applyNumberFormat="1" applyFont="1" applyFill="1" applyBorder="1" applyAlignment="1" applyProtection="1">
      <alignment horizontal="left" vertical="top" wrapText="1"/>
      <protection locked="0"/>
    </xf>
    <xf numFmtId="4" fontId="23" fillId="2" borderId="24" xfId="0" applyNumberFormat="1" applyFont="1" applyFill="1" applyBorder="1" applyAlignment="1" applyProtection="1">
      <alignment horizontal="left" vertical="top" wrapText="1"/>
      <protection locked="0"/>
    </xf>
    <xf numFmtId="0" fontId="34" fillId="0" borderId="21" xfId="0" applyFont="1" applyBorder="1" applyAlignment="1">
      <alignment horizontal="center" vertical="center"/>
    </xf>
    <xf numFmtId="0" fontId="34" fillId="0" borderId="23" xfId="0" applyFont="1" applyBorder="1" applyAlignment="1">
      <alignment horizontal="center" vertical="center"/>
    </xf>
    <xf numFmtId="4" fontId="23" fillId="5" borderId="29" xfId="0" applyNumberFormat="1" applyFont="1" applyFill="1" applyBorder="1" applyAlignment="1">
      <alignment horizontal="center" vertical="center"/>
    </xf>
    <xf numFmtId="0" fontId="27" fillId="0" borderId="11" xfId="0" applyFont="1" applyBorder="1" applyAlignment="1">
      <alignment horizontal="left" vertical="center"/>
    </xf>
    <xf numFmtId="0" fontId="77" fillId="0" borderId="64" xfId="0" applyFont="1" applyBorder="1" applyAlignment="1">
      <alignment horizontal="center" vertical="center" wrapText="1"/>
    </xf>
    <xf numFmtId="0" fontId="77" fillId="0" borderId="69" xfId="0" applyFont="1" applyBorder="1" applyAlignment="1">
      <alignment horizontal="center" vertical="center" wrapText="1"/>
    </xf>
    <xf numFmtId="0" fontId="34" fillId="0" borderId="48" xfId="0" applyFont="1" applyBorder="1" applyAlignment="1">
      <alignment horizontal="center" vertical="top" wrapText="1"/>
    </xf>
    <xf numFmtId="0" fontId="34" fillId="0" borderId="40" xfId="0" applyFont="1" applyBorder="1" applyAlignment="1">
      <alignment horizontal="center" vertical="top" wrapText="1"/>
    </xf>
    <xf numFmtId="0" fontId="34" fillId="0" borderId="16" xfId="0" applyFont="1" applyBorder="1" applyAlignment="1">
      <alignment horizontal="center" vertical="top" wrapText="1"/>
    </xf>
    <xf numFmtId="0" fontId="34" fillId="0" borderId="25" xfId="0" applyFont="1" applyBorder="1" applyAlignment="1">
      <alignment horizontal="center" vertical="top" wrapText="1"/>
    </xf>
    <xf numFmtId="0" fontId="23" fillId="0" borderId="29" xfId="0" applyFont="1" applyBorder="1" applyAlignment="1">
      <alignment horizontal="center" vertical="top" wrapText="1"/>
    </xf>
    <xf numFmtId="0" fontId="23" fillId="0" borderId="28" xfId="0" applyFont="1" applyBorder="1" applyAlignment="1">
      <alignment horizontal="center" vertical="top" wrapText="1"/>
    </xf>
    <xf numFmtId="0" fontId="23" fillId="2" borderId="37" xfId="0" applyFont="1" applyFill="1" applyBorder="1" applyAlignment="1" applyProtection="1">
      <alignment horizontal="left" vertical="center"/>
      <protection locked="0"/>
    </xf>
    <xf numFmtId="0" fontId="23" fillId="2" borderId="38" xfId="0" applyFont="1" applyFill="1" applyBorder="1" applyAlignment="1" applyProtection="1">
      <alignment horizontal="left" vertical="center"/>
      <protection locked="0"/>
    </xf>
    <xf numFmtId="0" fontId="23" fillId="2" borderId="39" xfId="0" applyFont="1" applyFill="1" applyBorder="1" applyAlignment="1" applyProtection="1">
      <alignment horizontal="left" vertical="center"/>
      <protection locked="0"/>
    </xf>
    <xf numFmtId="0" fontId="23" fillId="0" borderId="13" xfId="0" applyFont="1" applyBorder="1" applyAlignment="1">
      <alignment horizontal="left" vertical="center"/>
    </xf>
    <xf numFmtId="0" fontId="23" fillId="0" borderId="0" xfId="0" applyFont="1" applyBorder="1" applyAlignment="1">
      <alignment horizontal="left" vertical="center"/>
    </xf>
    <xf numFmtId="173" fontId="34" fillId="0" borderId="9" xfId="0" applyNumberFormat="1" applyFont="1" applyBorder="1" applyAlignment="1">
      <alignment horizontal="right" vertical="center"/>
    </xf>
    <xf numFmtId="0" fontId="14" fillId="0" borderId="25" xfId="0" applyFont="1" applyBorder="1" applyAlignment="1">
      <alignment horizontal="right" vertical="center"/>
    </xf>
    <xf numFmtId="0" fontId="14" fillId="0" borderId="9" xfId="0" applyFont="1" applyBorder="1" applyAlignment="1">
      <alignment horizontal="right" vertical="center"/>
    </xf>
    <xf numFmtId="49" fontId="23" fillId="2" borderId="18" xfId="0" applyNumberFormat="1" applyFont="1" applyFill="1" applyBorder="1" applyAlignment="1" applyProtection="1">
      <alignment vertical="center"/>
      <protection locked="0"/>
    </xf>
    <xf numFmtId="49" fontId="23" fillId="2" borderId="19" xfId="0" applyNumberFormat="1" applyFont="1" applyFill="1" applyBorder="1" applyAlignment="1" applyProtection="1">
      <alignment vertical="center"/>
      <protection locked="0"/>
    </xf>
    <xf numFmtId="49" fontId="23" fillId="2" borderId="22" xfId="0" applyNumberFormat="1" applyFont="1" applyFill="1" applyBorder="1" applyAlignment="1" applyProtection="1">
      <alignment vertical="center"/>
      <protection locked="0"/>
    </xf>
    <xf numFmtId="4" fontId="23" fillId="0" borderId="40" xfId="0" applyNumberFormat="1" applyFont="1" applyBorder="1" applyAlignment="1">
      <alignment horizontal="center" vertical="center" wrapText="1"/>
    </xf>
    <xf numFmtId="4" fontId="23" fillId="2" borderId="26" xfId="0" applyNumberFormat="1" applyFont="1" applyFill="1" applyBorder="1" applyAlignment="1" applyProtection="1">
      <alignment horizontal="left" vertical="center"/>
      <protection locked="0"/>
    </xf>
    <xf numFmtId="4" fontId="23" fillId="0" borderId="16" xfId="0" applyNumberFormat="1" applyFont="1" applyFill="1" applyBorder="1" applyAlignment="1">
      <alignment horizontal="left" vertical="center"/>
    </xf>
    <xf numFmtId="4" fontId="23" fillId="0" borderId="5" xfId="0" applyNumberFormat="1" applyFont="1" applyFill="1" applyBorder="1" applyAlignment="1">
      <alignment horizontal="left" vertical="center"/>
    </xf>
    <xf numFmtId="4" fontId="23" fillId="0" borderId="45" xfId="0" applyNumberFormat="1" applyFont="1" applyFill="1" applyBorder="1" applyAlignment="1">
      <alignment horizontal="left" vertical="center"/>
    </xf>
    <xf numFmtId="0" fontId="27" fillId="0" borderId="13" xfId="0" applyFont="1" applyBorder="1" applyAlignment="1">
      <alignment horizontal="left" vertical="center"/>
    </xf>
    <xf numFmtId="0" fontId="27" fillId="0" borderId="0" xfId="0" applyFont="1" applyBorder="1" applyAlignment="1">
      <alignment horizontal="left" vertical="center"/>
    </xf>
    <xf numFmtId="4" fontId="23" fillId="0" borderId="37" xfId="0" applyNumberFormat="1" applyFont="1" applyBorder="1" applyAlignment="1">
      <alignment horizontal="left" vertical="center"/>
    </xf>
    <xf numFmtId="4" fontId="23" fillId="0" borderId="38" xfId="0" applyNumberFormat="1" applyFont="1" applyBorder="1" applyAlignment="1">
      <alignment horizontal="left" vertical="center"/>
    </xf>
    <xf numFmtId="49" fontId="23" fillId="2" borderId="31" xfId="0" applyNumberFormat="1" applyFont="1" applyFill="1" applyBorder="1" applyAlignment="1" applyProtection="1">
      <alignment vertical="center"/>
      <protection locked="0"/>
    </xf>
    <xf numFmtId="49" fontId="23" fillId="2" borderId="43" xfId="0" applyNumberFormat="1" applyFont="1" applyFill="1" applyBorder="1" applyAlignment="1" applyProtection="1">
      <alignment vertical="center"/>
      <protection locked="0"/>
    </xf>
    <xf numFmtId="49" fontId="23" fillId="2" borderId="32" xfId="0" applyNumberFormat="1" applyFont="1" applyFill="1" applyBorder="1" applyAlignment="1" applyProtection="1">
      <alignment vertical="center"/>
      <protection locked="0"/>
    </xf>
    <xf numFmtId="0" fontId="23" fillId="2" borderId="23" xfId="0" applyFont="1" applyFill="1" applyBorder="1" applyAlignment="1" applyProtection="1">
      <alignment horizontal="left" vertical="center"/>
      <protection locked="0"/>
    </xf>
    <xf numFmtId="0" fontId="23" fillId="0" borderId="18" xfId="0" applyFont="1" applyFill="1" applyBorder="1" applyAlignment="1" applyProtection="1">
      <alignment horizontal="center" vertical="center"/>
      <protection locked="0"/>
    </xf>
    <xf numFmtId="0" fontId="23" fillId="0" borderId="19" xfId="0" applyFont="1" applyFill="1" applyBorder="1" applyAlignment="1" applyProtection="1">
      <alignment horizontal="center" vertical="center"/>
      <protection locked="0"/>
    </xf>
    <xf numFmtId="0" fontId="23" fillId="2" borderId="62" xfId="0" applyFont="1" applyFill="1" applyBorder="1" applyAlignment="1" applyProtection="1">
      <alignment horizontal="left" vertical="center"/>
      <protection locked="0"/>
    </xf>
    <xf numFmtId="0" fontId="23" fillId="2" borderId="2" xfId="0" applyFont="1" applyFill="1" applyBorder="1" applyAlignment="1" applyProtection="1">
      <alignment horizontal="left" vertical="center"/>
      <protection locked="0"/>
    </xf>
    <xf numFmtId="0" fontId="23" fillId="2" borderId="63" xfId="0" applyFont="1" applyFill="1" applyBorder="1" applyAlignment="1" applyProtection="1">
      <alignment horizontal="left" vertical="center"/>
      <protection locked="0"/>
    </xf>
    <xf numFmtId="0" fontId="96" fillId="0" borderId="18" xfId="0" applyFont="1" applyBorder="1" applyAlignment="1">
      <alignment horizontal="center" vertical="center"/>
    </xf>
    <xf numFmtId="0" fontId="96" fillId="0" borderId="19" xfId="0" applyFont="1" applyBorder="1" applyAlignment="1">
      <alignment horizontal="center" vertical="center"/>
    </xf>
    <xf numFmtId="0" fontId="23" fillId="0" borderId="38" xfId="0" applyFont="1" applyBorder="1" applyAlignment="1">
      <alignment horizontal="center" vertical="center"/>
    </xf>
    <xf numFmtId="4" fontId="23" fillId="0" borderId="25" xfId="0" applyNumberFormat="1" applyFont="1" applyBorder="1" applyAlignment="1">
      <alignment horizontal="left" vertical="center"/>
    </xf>
    <xf numFmtId="4" fontId="23" fillId="0" borderId="9" xfId="0" applyNumberFormat="1" applyFont="1" applyBorder="1" applyAlignment="1">
      <alignment horizontal="left" vertical="center"/>
    </xf>
    <xf numFmtId="4" fontId="27" fillId="0" borderId="20" xfId="0" applyNumberFormat="1" applyFont="1" applyBorder="1" applyAlignment="1">
      <alignment horizontal="left" vertical="top" wrapText="1"/>
    </xf>
    <xf numFmtId="4" fontId="27" fillId="0" borderId="24" xfId="0" applyNumberFormat="1" applyFont="1" applyBorder="1" applyAlignment="1">
      <alignment horizontal="left" vertical="top" wrapText="1"/>
    </xf>
    <xf numFmtId="49" fontId="23" fillId="2" borderId="18" xfId="0" applyNumberFormat="1" applyFont="1" applyFill="1" applyBorder="1" applyAlignment="1" applyProtection="1">
      <alignment horizontal="left" vertical="center" wrapText="1"/>
      <protection locked="0"/>
    </xf>
    <xf numFmtId="49" fontId="23" fillId="2" borderId="22" xfId="0" applyNumberFormat="1" applyFont="1" applyFill="1" applyBorder="1" applyAlignment="1" applyProtection="1">
      <alignment horizontal="left" vertical="center" wrapText="1"/>
      <protection locked="0"/>
    </xf>
    <xf numFmtId="0" fontId="23" fillId="0" borderId="18" xfId="0" applyFont="1" applyBorder="1" applyAlignment="1" applyProtection="1">
      <alignment horizontal="center" vertical="center"/>
      <protection locked="0"/>
    </xf>
    <xf numFmtId="0" fontId="23" fillId="0" borderId="19" xfId="0" applyFont="1" applyBorder="1" applyAlignment="1" applyProtection="1">
      <alignment horizontal="center" vertical="center"/>
      <protection locked="0"/>
    </xf>
    <xf numFmtId="0" fontId="14" fillId="0" borderId="21" xfId="0" applyFont="1" applyBorder="1" applyAlignment="1">
      <alignment horizontal="left" vertical="center"/>
    </xf>
    <xf numFmtId="0" fontId="14" fillId="0" borderId="23" xfId="0" applyFont="1" applyBorder="1" applyAlignment="1">
      <alignment horizontal="left" vertical="center"/>
    </xf>
    <xf numFmtId="167" fontId="23" fillId="0" borderId="25" xfId="0" applyNumberFormat="1" applyFont="1" applyBorder="1" applyAlignment="1">
      <alignment horizontal="left" vertical="center"/>
    </xf>
    <xf numFmtId="167" fontId="23" fillId="0" borderId="9" xfId="0" applyNumberFormat="1" applyFont="1" applyBorder="1" applyAlignment="1">
      <alignment horizontal="left" vertical="center"/>
    </xf>
    <xf numFmtId="167" fontId="23" fillId="0" borderId="15" xfId="0" applyNumberFormat="1" applyFont="1" applyBorder="1" applyAlignment="1">
      <alignment horizontal="left" vertical="center"/>
    </xf>
    <xf numFmtId="0" fontId="27" fillId="0" borderId="31" xfId="0" applyFont="1" applyBorder="1" applyAlignment="1">
      <alignment horizontal="left" vertical="center"/>
    </xf>
    <xf numFmtId="0" fontId="27" fillId="0" borderId="43" xfId="0" applyFont="1" applyBorder="1" applyAlignment="1">
      <alignment horizontal="left" vertical="center"/>
    </xf>
    <xf numFmtId="0" fontId="27" fillId="0" borderId="32" xfId="0" applyFont="1" applyBorder="1" applyAlignment="1">
      <alignment horizontal="left" vertical="center"/>
    </xf>
    <xf numFmtId="0" fontId="27" fillId="0" borderId="20" xfId="0" applyFont="1" applyBorder="1" applyAlignment="1">
      <alignment horizontal="left" vertical="center" wrapText="1"/>
    </xf>
    <xf numFmtId="0" fontId="27" fillId="0" borderId="11" xfId="0" applyFont="1" applyBorder="1" applyAlignment="1">
      <alignment horizontal="left" vertical="center" wrapText="1"/>
    </xf>
    <xf numFmtId="0" fontId="27" fillId="0" borderId="21" xfId="0" applyFont="1" applyBorder="1" applyAlignment="1">
      <alignment horizontal="left" vertical="center" wrapText="1"/>
    </xf>
    <xf numFmtId="0" fontId="27" fillId="0" borderId="17" xfId="0" applyFont="1" applyBorder="1" applyAlignment="1">
      <alignment horizontal="left" vertical="center" wrapText="1"/>
    </xf>
    <xf numFmtId="0" fontId="23" fillId="0" borderId="20" xfId="0" applyFont="1" applyBorder="1" applyAlignment="1">
      <alignment horizontal="center" vertical="center" wrapText="1"/>
    </xf>
    <xf numFmtId="0" fontId="23" fillId="0" borderId="21" xfId="0" applyFont="1" applyBorder="1" applyAlignment="1">
      <alignment horizontal="center" vertical="center" wrapText="1"/>
    </xf>
    <xf numFmtId="0" fontId="99" fillId="0" borderId="29" xfId="0" applyFont="1" applyBorder="1" applyAlignment="1">
      <alignment horizontal="center" vertical="center" wrapText="1"/>
    </xf>
    <xf numFmtId="0" fontId="99" fillId="0" borderId="28" xfId="0" applyFont="1" applyBorder="1" applyAlignment="1">
      <alignment horizontal="center" vertical="center" wrapText="1"/>
    </xf>
    <xf numFmtId="0" fontId="77" fillId="0" borderId="18" xfId="0" applyFont="1" applyBorder="1" applyAlignment="1">
      <alignment horizontal="left" vertical="center"/>
    </xf>
    <xf numFmtId="0" fontId="77" fillId="0" borderId="19" xfId="0" applyFont="1" applyBorder="1" applyAlignment="1">
      <alignment horizontal="left" vertical="center"/>
    </xf>
    <xf numFmtId="0" fontId="77" fillId="0" borderId="22" xfId="0" applyFont="1" applyBorder="1" applyAlignment="1">
      <alignment horizontal="left" vertical="center"/>
    </xf>
    <xf numFmtId="167" fontId="23" fillId="0" borderId="37" xfId="0" applyNumberFormat="1" applyFont="1" applyBorder="1" applyAlignment="1">
      <alignment horizontal="left" vertical="center"/>
    </xf>
    <xf numFmtId="167" fontId="23" fillId="0" borderId="38" xfId="0" applyNumberFormat="1" applyFont="1" applyBorder="1" applyAlignment="1">
      <alignment horizontal="left" vertical="center"/>
    </xf>
    <xf numFmtId="167" fontId="23" fillId="0" borderId="39" xfId="0" applyNumberFormat="1" applyFont="1" applyBorder="1" applyAlignment="1">
      <alignment horizontal="left" vertical="center"/>
    </xf>
    <xf numFmtId="9" fontId="23" fillId="0" borderId="18" xfId="9" applyNumberFormat="1" applyFont="1" applyBorder="1" applyAlignment="1">
      <alignment horizontal="left" vertical="center"/>
    </xf>
    <xf numFmtId="9" fontId="23" fillId="0" borderId="19" xfId="9" applyNumberFormat="1" applyFont="1" applyBorder="1" applyAlignment="1">
      <alignment horizontal="left" vertical="center"/>
    </xf>
    <xf numFmtId="0" fontId="27" fillId="4" borderId="18" xfId="0" applyFont="1" applyFill="1" applyBorder="1" applyAlignment="1">
      <alignment horizontal="left" vertical="center"/>
    </xf>
    <xf numFmtId="0" fontId="27" fillId="4" borderId="19" xfId="0" applyFont="1" applyFill="1" applyBorder="1" applyAlignment="1">
      <alignment horizontal="left" vertical="center"/>
    </xf>
    <xf numFmtId="4" fontId="23" fillId="0" borderId="20" xfId="0" applyNumberFormat="1" applyFont="1" applyBorder="1" applyAlignment="1">
      <alignment horizontal="center" vertical="center"/>
    </xf>
    <xf numFmtId="4" fontId="23" fillId="0" borderId="11" xfId="0" applyNumberFormat="1" applyFont="1" applyBorder="1" applyAlignment="1">
      <alignment horizontal="center" vertical="center"/>
    </xf>
    <xf numFmtId="4" fontId="23" fillId="0" borderId="24" xfId="0" applyNumberFormat="1" applyFont="1" applyBorder="1" applyAlignment="1">
      <alignment horizontal="center" vertical="center"/>
    </xf>
    <xf numFmtId="4" fontId="23" fillId="0" borderId="25" xfId="0" applyNumberFormat="1" applyFont="1" applyBorder="1" applyAlignment="1">
      <alignment horizontal="center" vertical="center"/>
    </xf>
    <xf numFmtId="4" fontId="23" fillId="0" borderId="9" xfId="0" applyNumberFormat="1" applyFont="1" applyBorder="1" applyAlignment="1">
      <alignment horizontal="center" vertical="center"/>
    </xf>
    <xf numFmtId="4" fontId="23" fillId="0" borderId="15" xfId="0" applyNumberFormat="1" applyFont="1" applyBorder="1" applyAlignment="1">
      <alignment horizontal="center" vertical="center"/>
    </xf>
    <xf numFmtId="0" fontId="23" fillId="0" borderId="18" xfId="0" applyFont="1" applyFill="1" applyBorder="1" applyAlignment="1" applyProtection="1">
      <alignment horizontal="center"/>
      <protection locked="0"/>
    </xf>
    <xf numFmtId="0" fontId="23" fillId="0" borderId="19" xfId="0" applyFont="1" applyFill="1" applyBorder="1" applyAlignment="1" applyProtection="1">
      <alignment horizontal="center"/>
      <protection locked="0"/>
    </xf>
    <xf numFmtId="4" fontId="23" fillId="2" borderId="21" xfId="0" applyNumberFormat="1" applyFont="1" applyFill="1" applyBorder="1" applyAlignment="1" applyProtection="1">
      <alignment horizontal="left" vertical="top" wrapText="1"/>
      <protection locked="0"/>
    </xf>
    <xf numFmtId="4" fontId="23" fillId="2" borderId="23" xfId="0" applyNumberFormat="1" applyFont="1" applyFill="1" applyBorder="1" applyAlignment="1" applyProtection="1">
      <alignment horizontal="left" vertical="top" wrapText="1"/>
      <protection locked="0"/>
    </xf>
    <xf numFmtId="4" fontId="23" fillId="2" borderId="18" xfId="0" applyNumberFormat="1" applyFont="1" applyFill="1" applyBorder="1" applyAlignment="1" applyProtection="1">
      <alignment horizontal="left" vertical="top" wrapText="1"/>
      <protection locked="0"/>
    </xf>
    <xf numFmtId="4" fontId="23" fillId="2" borderId="22" xfId="0" applyNumberFormat="1" applyFont="1" applyFill="1" applyBorder="1" applyAlignment="1" applyProtection="1">
      <alignment horizontal="left" vertical="top" wrapText="1"/>
      <protection locked="0"/>
    </xf>
    <xf numFmtId="4" fontId="23" fillId="0" borderId="15" xfId="0" applyNumberFormat="1" applyFont="1" applyBorder="1" applyAlignment="1">
      <alignment horizontal="left" vertical="center"/>
    </xf>
    <xf numFmtId="9" fontId="23" fillId="0" borderId="17" xfId="9" applyNumberFormat="1" applyFont="1" applyBorder="1" applyAlignment="1">
      <alignment horizontal="left" vertical="center"/>
    </xf>
    <xf numFmtId="4" fontId="23" fillId="0" borderId="31" xfId="0" applyNumberFormat="1" applyFont="1" applyBorder="1" applyAlignment="1">
      <alignment horizontal="left" vertical="center"/>
    </xf>
    <xf numFmtId="4" fontId="23" fillId="0" borderId="43" xfId="0" applyNumberFormat="1" applyFont="1" applyBorder="1" applyAlignment="1">
      <alignment horizontal="left" vertical="center"/>
    </xf>
    <xf numFmtId="0" fontId="23" fillId="0" borderId="22" xfId="0" applyFont="1" applyBorder="1" applyAlignment="1">
      <alignment horizontal="center" vertical="center"/>
    </xf>
    <xf numFmtId="4" fontId="23" fillId="0" borderId="29" xfId="0" applyNumberFormat="1" applyFont="1" applyBorder="1" applyAlignment="1">
      <alignment horizontal="center" vertical="center" wrapText="1"/>
    </xf>
    <xf numFmtId="49" fontId="23" fillId="2" borderId="21" xfId="0" applyNumberFormat="1" applyFont="1" applyFill="1" applyBorder="1" applyAlignment="1" applyProtection="1">
      <alignment horizontal="left" vertical="center" wrapText="1"/>
      <protection locked="0"/>
    </xf>
    <xf numFmtId="49" fontId="23" fillId="2" borderId="17" xfId="0" applyNumberFormat="1" applyFont="1" applyFill="1" applyBorder="1" applyAlignment="1" applyProtection="1">
      <alignment horizontal="left" vertical="center" wrapText="1"/>
      <protection locked="0"/>
    </xf>
    <xf numFmtId="4" fontId="23" fillId="0" borderId="20" xfId="0" applyNumberFormat="1" applyFont="1" applyBorder="1" applyAlignment="1">
      <alignment horizontal="left" vertical="center"/>
    </xf>
    <xf numFmtId="4" fontId="23" fillId="0" borderId="11" xfId="0" applyNumberFormat="1" applyFont="1" applyBorder="1" applyAlignment="1">
      <alignment horizontal="left" vertical="center"/>
    </xf>
    <xf numFmtId="4" fontId="23" fillId="0" borderId="24" xfId="0" applyNumberFormat="1" applyFont="1" applyBorder="1" applyAlignment="1">
      <alignment horizontal="left" vertical="center"/>
    </xf>
    <xf numFmtId="49" fontId="23" fillId="2" borderId="20" xfId="0" applyNumberFormat="1" applyFont="1" applyFill="1" applyBorder="1" applyAlignment="1" applyProtection="1">
      <alignment horizontal="left" vertical="center" wrapText="1"/>
      <protection locked="0"/>
    </xf>
    <xf numFmtId="49" fontId="23" fillId="2" borderId="24" xfId="0" applyNumberFormat="1" applyFont="1" applyFill="1" applyBorder="1" applyAlignment="1" applyProtection="1">
      <alignment horizontal="left" vertical="center" wrapText="1"/>
      <protection locked="0"/>
    </xf>
    <xf numFmtId="4" fontId="23" fillId="0" borderId="18" xfId="0" applyNumberFormat="1" applyFont="1" applyBorder="1" applyAlignment="1">
      <alignment horizontal="left" vertical="center"/>
    </xf>
    <xf numFmtId="4" fontId="23" fillId="0" borderId="19" xfId="0" applyNumberFormat="1" applyFont="1" applyBorder="1" applyAlignment="1">
      <alignment horizontal="left" vertical="center"/>
    </xf>
    <xf numFmtId="4" fontId="23" fillId="0" borderId="22" xfId="0" applyNumberFormat="1" applyFont="1" applyBorder="1" applyAlignment="1">
      <alignment horizontal="left" vertical="center"/>
    </xf>
    <xf numFmtId="0" fontId="43" fillId="0" borderId="13" xfId="0" applyFont="1" applyFill="1" applyBorder="1" applyAlignment="1">
      <alignment horizontal="left" vertical="center" wrapText="1"/>
    </xf>
    <xf numFmtId="0" fontId="43" fillId="0" borderId="0" xfId="0" applyFont="1" applyFill="1" applyBorder="1" applyAlignment="1">
      <alignment horizontal="left" vertical="center" wrapText="1"/>
    </xf>
    <xf numFmtId="0" fontId="43" fillId="0" borderId="13" xfId="0" applyFont="1" applyBorder="1" applyAlignment="1">
      <alignment horizontal="center" vertical="center" wrapText="1"/>
    </xf>
    <xf numFmtId="0" fontId="43" fillId="0" borderId="0" xfId="0" applyFont="1" applyBorder="1" applyAlignment="1">
      <alignment horizontal="center" vertical="center" wrapText="1"/>
    </xf>
    <xf numFmtId="0" fontId="43" fillId="0" borderId="14" xfId="0" applyFont="1" applyBorder="1" applyAlignment="1">
      <alignment horizontal="center" vertical="center" wrapText="1"/>
    </xf>
    <xf numFmtId="0" fontId="43" fillId="0" borderId="13" xfId="0" applyFont="1" applyBorder="1" applyAlignment="1">
      <alignment horizontal="center" vertical="center"/>
    </xf>
    <xf numFmtId="0" fontId="43" fillId="0" borderId="0" xfId="0" applyFont="1" applyBorder="1" applyAlignment="1">
      <alignment horizontal="center" vertical="center"/>
    </xf>
    <xf numFmtId="0" fontId="43" fillId="0" borderId="14" xfId="0" applyFont="1" applyBorder="1" applyAlignment="1">
      <alignment horizontal="left" vertical="top" wrapText="1"/>
    </xf>
    <xf numFmtId="0" fontId="43" fillId="0" borderId="13" xfId="0" applyFont="1" applyBorder="1" applyAlignment="1">
      <alignment vertical="center" wrapText="1"/>
    </xf>
    <xf numFmtId="0" fontId="43" fillId="0" borderId="0" xfId="0" applyFont="1" applyBorder="1" applyAlignment="1">
      <alignment vertical="center" wrapText="1"/>
    </xf>
    <xf numFmtId="0" fontId="84" fillId="0" borderId="13" xfId="0" applyFont="1" applyBorder="1" applyAlignment="1">
      <alignment horizontal="center" vertical="center" wrapText="1"/>
    </xf>
    <xf numFmtId="0" fontId="84" fillId="0" borderId="0" xfId="0" applyFont="1" applyBorder="1" applyAlignment="1">
      <alignment horizontal="center" vertical="center" wrapText="1"/>
    </xf>
    <xf numFmtId="0" fontId="84" fillId="0" borderId="14" xfId="0" applyFont="1" applyBorder="1" applyAlignment="1">
      <alignment horizontal="center" vertical="center" wrapText="1"/>
    </xf>
    <xf numFmtId="0" fontId="43" fillId="0" borderId="14" xfId="0" applyFont="1" applyBorder="1" applyAlignment="1">
      <alignment horizontal="center" vertical="top" wrapText="1"/>
    </xf>
    <xf numFmtId="4" fontId="23" fillId="0" borderId="18" xfId="0" applyNumberFormat="1" applyFont="1" applyBorder="1" applyAlignment="1">
      <alignment horizontal="center" vertical="center" wrapText="1"/>
    </xf>
    <xf numFmtId="4" fontId="23" fillId="0" borderId="31" xfId="0" applyNumberFormat="1" applyFont="1" applyBorder="1" applyAlignment="1">
      <alignment horizontal="center" vertical="center" wrapText="1"/>
    </xf>
    <xf numFmtId="4" fontId="23" fillId="0" borderId="21" xfId="0" applyNumberFormat="1" applyFont="1" applyBorder="1" applyAlignment="1">
      <alignment horizontal="center"/>
    </xf>
    <xf numFmtId="4" fontId="23" fillId="0" borderId="17" xfId="0" applyNumberFormat="1" applyFont="1" applyBorder="1" applyAlignment="1">
      <alignment horizontal="center"/>
    </xf>
    <xf numFmtId="4" fontId="23" fillId="2" borderId="28" xfId="0" applyNumberFormat="1" applyFont="1" applyFill="1" applyBorder="1" applyAlignment="1" applyProtection="1">
      <alignment horizontal="left" vertical="center"/>
      <protection locked="0"/>
    </xf>
    <xf numFmtId="4" fontId="23" fillId="2" borderId="30" xfId="0" applyNumberFormat="1" applyFont="1" applyFill="1" applyBorder="1" applyAlignment="1" applyProtection="1">
      <alignment horizontal="left" vertical="center"/>
      <protection locked="0"/>
    </xf>
    <xf numFmtId="4" fontId="23" fillId="0" borderId="27" xfId="0" applyNumberFormat="1" applyFont="1" applyBorder="1" applyAlignment="1">
      <alignment horizontal="center" vertical="top" wrapText="1"/>
    </xf>
    <xf numFmtId="4" fontId="23" fillId="0" borderId="40" xfId="0" applyNumberFormat="1" applyFont="1" applyBorder="1" applyAlignment="1">
      <alignment horizontal="center" vertical="top" wrapText="1"/>
    </xf>
    <xf numFmtId="4" fontId="23" fillId="0" borderId="16" xfId="0" applyNumberFormat="1" applyFont="1" applyBorder="1" applyAlignment="1">
      <alignment horizontal="center" vertical="center" wrapText="1"/>
    </xf>
    <xf numFmtId="4" fontId="23" fillId="0" borderId="13" xfId="0" applyNumberFormat="1" applyFont="1" applyBorder="1" applyAlignment="1">
      <alignment horizontal="center" vertical="center" wrapText="1"/>
    </xf>
    <xf numFmtId="4" fontId="23" fillId="0" borderId="21" xfId="0" applyNumberFormat="1" applyFont="1" applyBorder="1" applyAlignment="1">
      <alignment horizontal="center" vertical="center" wrapText="1"/>
    </xf>
    <xf numFmtId="4" fontId="23" fillId="2" borderId="18" xfId="0" applyNumberFormat="1" applyFont="1" applyFill="1" applyBorder="1" applyAlignment="1" applyProtection="1">
      <alignment vertical="center"/>
      <protection locked="0"/>
    </xf>
    <xf numFmtId="4" fontId="23" fillId="2" borderId="22" xfId="0" applyNumberFormat="1" applyFont="1" applyFill="1" applyBorder="1" applyAlignment="1" applyProtection="1">
      <alignment vertical="center"/>
      <protection locked="0"/>
    </xf>
    <xf numFmtId="0" fontId="23" fillId="0" borderId="48"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40" xfId="0" applyFont="1" applyBorder="1" applyAlignment="1">
      <alignment horizontal="center" vertical="center" wrapText="1"/>
    </xf>
    <xf numFmtId="4" fontId="27" fillId="0" borderId="25" xfId="0" applyNumberFormat="1" applyFont="1" applyBorder="1" applyAlignment="1">
      <alignment horizontal="left" vertical="center"/>
    </xf>
    <xf numFmtId="4" fontId="27" fillId="0" borderId="15" xfId="0" applyNumberFormat="1" applyFont="1" applyBorder="1" applyAlignment="1">
      <alignment horizontal="left" vertical="center"/>
    </xf>
    <xf numFmtId="4" fontId="23" fillId="0" borderId="16" xfId="0" applyNumberFormat="1" applyFont="1" applyBorder="1" applyAlignment="1">
      <alignment horizontal="center" vertical="center"/>
    </xf>
    <xf numFmtId="4" fontId="23" fillId="0" borderId="5" xfId="0" applyNumberFormat="1" applyFont="1" applyBorder="1" applyAlignment="1">
      <alignment horizontal="center" vertical="center"/>
    </xf>
    <xf numFmtId="4" fontId="23" fillId="0" borderId="13" xfId="0" applyNumberFormat="1" applyFont="1" applyBorder="1" applyAlignment="1">
      <alignment horizontal="center" vertical="center"/>
    </xf>
    <xf numFmtId="4" fontId="23" fillId="0" borderId="0" xfId="0" applyNumberFormat="1" applyFont="1" applyBorder="1" applyAlignment="1">
      <alignment horizontal="center" vertical="center"/>
    </xf>
    <xf numFmtId="4" fontId="23" fillId="0" borderId="21" xfId="0" applyNumberFormat="1" applyFont="1" applyBorder="1" applyAlignment="1">
      <alignment horizontal="center" vertical="center"/>
    </xf>
    <xf numFmtId="4" fontId="23" fillId="0" borderId="17" xfId="0" applyNumberFormat="1" applyFont="1" applyBorder="1" applyAlignment="1">
      <alignment horizontal="center" vertical="center"/>
    </xf>
    <xf numFmtId="0" fontId="23" fillId="0" borderId="48" xfId="0" applyFont="1" applyFill="1" applyBorder="1" applyAlignment="1">
      <alignment horizontal="center" vertical="center" wrapText="1"/>
    </xf>
    <xf numFmtId="0" fontId="23" fillId="0" borderId="27" xfId="0" applyFont="1" applyFill="1" applyBorder="1" applyAlignment="1">
      <alignment horizontal="center" vertical="center" wrapText="1"/>
    </xf>
    <xf numFmtId="0" fontId="23" fillId="0" borderId="28" xfId="0" applyFont="1" applyFill="1" applyBorder="1" applyAlignment="1">
      <alignment horizontal="center" vertical="center" wrapText="1"/>
    </xf>
    <xf numFmtId="4" fontId="27" fillId="0" borderId="31" xfId="0" applyNumberFormat="1" applyFont="1" applyBorder="1" applyAlignment="1">
      <alignment horizontal="left" vertical="center"/>
    </xf>
    <xf numFmtId="4" fontId="27" fillId="0" borderId="32" xfId="0" applyNumberFormat="1" applyFont="1" applyBorder="1" applyAlignment="1">
      <alignment horizontal="left" vertical="center"/>
    </xf>
    <xf numFmtId="4" fontId="27" fillId="0" borderId="37" xfId="0" applyNumberFormat="1" applyFont="1" applyBorder="1" applyAlignment="1">
      <alignment horizontal="left" vertical="center"/>
    </xf>
    <xf numFmtId="4" fontId="27" fillId="0" borderId="38" xfId="0" applyNumberFormat="1" applyFont="1" applyBorder="1" applyAlignment="1">
      <alignment horizontal="left" vertical="center"/>
    </xf>
    <xf numFmtId="4" fontId="23" fillId="2" borderId="19" xfId="0" applyNumberFormat="1" applyFont="1" applyFill="1" applyBorder="1" applyAlignment="1" applyProtection="1">
      <alignment vertical="center"/>
      <protection locked="0"/>
    </xf>
    <xf numFmtId="0" fontId="23" fillId="0" borderId="40" xfId="0" applyFont="1" applyFill="1" applyBorder="1" applyAlignment="1">
      <alignment horizontal="center" vertical="center" wrapText="1"/>
    </xf>
    <xf numFmtId="0" fontId="23" fillId="2" borderId="31" xfId="0" applyFont="1" applyFill="1" applyBorder="1" applyAlignment="1" applyProtection="1">
      <alignment vertical="center"/>
      <protection locked="0"/>
    </xf>
    <xf numFmtId="0" fontId="23" fillId="2" borderId="32" xfId="0" applyFont="1" applyFill="1" applyBorder="1" applyAlignment="1" applyProtection="1">
      <alignment vertical="center"/>
      <protection locked="0"/>
    </xf>
    <xf numFmtId="4" fontId="23" fillId="2" borderId="21" xfId="0" applyNumberFormat="1" applyFont="1" applyFill="1" applyBorder="1" applyAlignment="1" applyProtection="1">
      <alignment vertical="center"/>
      <protection locked="0"/>
    </xf>
    <xf numFmtId="4" fontId="23" fillId="2" borderId="17" xfId="0" applyNumberFormat="1" applyFont="1" applyFill="1" applyBorder="1" applyAlignment="1" applyProtection="1">
      <alignment vertical="center"/>
      <protection locked="0"/>
    </xf>
    <xf numFmtId="4" fontId="27" fillId="0" borderId="9" xfId="0" applyNumberFormat="1" applyFont="1" applyBorder="1" applyAlignment="1">
      <alignment horizontal="left" vertical="center"/>
    </xf>
    <xf numFmtId="4" fontId="27" fillId="0" borderId="4" xfId="0" applyNumberFormat="1" applyFont="1" applyBorder="1" applyAlignment="1">
      <alignment horizontal="left" vertical="center"/>
    </xf>
    <xf numFmtId="165" fontId="23" fillId="0" borderId="20" xfId="9" applyNumberFormat="1" applyFont="1" applyFill="1" applyBorder="1" applyAlignment="1" applyProtection="1">
      <alignment horizontal="center" vertical="center"/>
    </xf>
    <xf numFmtId="165" fontId="23" fillId="0" borderId="13" xfId="9" applyNumberFormat="1" applyFont="1" applyFill="1" applyBorder="1" applyAlignment="1" applyProtection="1">
      <alignment horizontal="center" vertical="center"/>
    </xf>
    <xf numFmtId="0" fontId="85" fillId="0" borderId="13" xfId="0" applyFont="1" applyBorder="1" applyAlignment="1">
      <alignment horizontal="center" vertical="center" wrapText="1"/>
    </xf>
    <xf numFmtId="0" fontId="85" fillId="0" borderId="0" xfId="0" applyFont="1" applyBorder="1" applyAlignment="1">
      <alignment horizontal="center" vertical="center" wrapText="1"/>
    </xf>
    <xf numFmtId="0" fontId="85" fillId="0" borderId="14" xfId="0" applyFont="1" applyBorder="1" applyAlignment="1">
      <alignment horizontal="center" vertical="center" wrapText="1"/>
    </xf>
    <xf numFmtId="0" fontId="23" fillId="0" borderId="25" xfId="0" applyFont="1" applyBorder="1" applyAlignment="1">
      <alignment horizontal="left" vertical="center"/>
    </xf>
    <xf numFmtId="0" fontId="23" fillId="0" borderId="9" xfId="0" applyFont="1" applyBorder="1" applyAlignment="1">
      <alignment horizontal="left" vertical="center"/>
    </xf>
    <xf numFmtId="0" fontId="27" fillId="0" borderId="37" xfId="0" applyFont="1" applyBorder="1" applyAlignment="1">
      <alignment horizontal="left" vertical="center"/>
    </xf>
    <xf numFmtId="0" fontId="27" fillId="0" borderId="38" xfId="0" applyFont="1" applyBorder="1" applyAlignment="1">
      <alignment horizontal="left" vertical="center"/>
    </xf>
    <xf numFmtId="0" fontId="23" fillId="2" borderId="82" xfId="0" applyFont="1" applyFill="1" applyBorder="1" applyAlignment="1" applyProtection="1">
      <alignment horizontal="left" vertical="center"/>
      <protection locked="0"/>
    </xf>
    <xf numFmtId="0" fontId="23" fillId="0" borderId="56" xfId="0" applyFont="1" applyBorder="1" applyAlignment="1">
      <alignment horizontal="left" vertical="center"/>
    </xf>
    <xf numFmtId="0" fontId="23" fillId="0" borderId="13" xfId="0" applyFont="1" applyBorder="1" applyAlignment="1">
      <alignment horizontal="left"/>
    </xf>
    <xf numFmtId="0" fontId="23" fillId="0" borderId="0" xfId="0" applyFont="1" applyBorder="1" applyAlignment="1">
      <alignment horizontal="left"/>
    </xf>
    <xf numFmtId="0" fontId="14" fillId="0" borderId="13" xfId="0" applyFont="1" applyBorder="1" applyAlignment="1">
      <alignment horizontal="right" vertical="center"/>
    </xf>
    <xf numFmtId="0" fontId="14" fillId="0" borderId="0" xfId="0" applyFont="1" applyBorder="1" applyAlignment="1">
      <alignment horizontal="right" vertical="center"/>
    </xf>
    <xf numFmtId="4" fontId="23" fillId="0" borderId="21" xfId="0" applyNumberFormat="1" applyFont="1" applyBorder="1" applyAlignment="1">
      <alignment horizontal="right" vertical="center"/>
    </xf>
    <xf numFmtId="4" fontId="23" fillId="0" borderId="17" xfId="0" applyNumberFormat="1" applyFont="1" applyBorder="1" applyAlignment="1">
      <alignment horizontal="right" vertical="center"/>
    </xf>
    <xf numFmtId="0" fontId="23" fillId="0" borderId="21" xfId="0" applyFont="1" applyBorder="1" applyAlignment="1">
      <alignment horizontal="right" vertical="center"/>
    </xf>
    <xf numFmtId="0" fontId="23" fillId="0" borderId="17" xfId="0" applyFont="1" applyBorder="1" applyAlignment="1">
      <alignment horizontal="right" vertical="center"/>
    </xf>
    <xf numFmtId="0" fontId="23" fillId="0" borderId="10" xfId="0" applyFont="1" applyBorder="1" applyAlignment="1">
      <alignment horizontal="left" vertical="center"/>
    </xf>
    <xf numFmtId="4" fontId="23" fillId="2" borderId="31" xfId="0" applyNumberFormat="1" applyFont="1" applyFill="1" applyBorder="1" applyAlignment="1" applyProtection="1">
      <alignment horizontal="left" vertical="center"/>
      <protection locked="0"/>
    </xf>
    <xf numFmtId="4" fontId="23" fillId="2" borderId="32" xfId="0" applyNumberFormat="1" applyFont="1" applyFill="1" applyBorder="1" applyAlignment="1" applyProtection="1">
      <alignment horizontal="left" vertical="center"/>
      <protection locked="0"/>
    </xf>
    <xf numFmtId="4" fontId="27" fillId="0" borderId="25" xfId="0" applyNumberFormat="1" applyFont="1" applyBorder="1" applyAlignment="1">
      <alignment horizontal="right" vertical="center"/>
    </xf>
    <xf numFmtId="4" fontId="27" fillId="0" borderId="15" xfId="0" applyNumberFormat="1" applyFont="1" applyBorder="1" applyAlignment="1">
      <alignment horizontal="right" vertical="center"/>
    </xf>
    <xf numFmtId="0" fontId="23" fillId="0" borderId="25" xfId="0" applyFont="1" applyBorder="1" applyAlignment="1">
      <alignment horizontal="center" vertical="center"/>
    </xf>
    <xf numFmtId="0" fontId="23" fillId="0" borderId="9" xfId="0" applyFont="1" applyBorder="1" applyAlignment="1">
      <alignment horizontal="center" vertical="center"/>
    </xf>
    <xf numFmtId="0" fontId="23" fillId="0" borderId="15" xfId="0" applyFont="1" applyBorder="1" applyAlignment="1">
      <alignment horizontal="center" vertical="center"/>
    </xf>
    <xf numFmtId="0" fontId="23" fillId="0" borderId="20" xfId="0" applyFont="1" applyBorder="1" applyAlignment="1">
      <alignment horizontal="left" vertical="center"/>
    </xf>
    <xf numFmtId="0" fontId="23" fillId="0" borderId="11" xfId="0" applyFont="1" applyBorder="1" applyAlignment="1">
      <alignment horizontal="left" vertical="center"/>
    </xf>
    <xf numFmtId="0" fontId="23" fillId="0" borderId="20" xfId="0" applyFont="1" applyFill="1" applyBorder="1" applyAlignment="1">
      <alignment horizontal="left" vertical="center"/>
    </xf>
    <xf numFmtId="0" fontId="23" fillId="0" borderId="11" xfId="0" applyFont="1" applyFill="1" applyBorder="1" applyAlignment="1">
      <alignment horizontal="left" vertical="center"/>
    </xf>
    <xf numFmtId="0" fontId="23" fillId="0" borderId="16" xfId="0" applyFont="1" applyBorder="1" applyAlignment="1">
      <alignment horizontal="left" vertical="center"/>
    </xf>
    <xf numFmtId="0" fontId="23" fillId="0" borderId="5" xfId="0" applyFont="1" applyBorder="1" applyAlignment="1">
      <alignment horizontal="left" vertical="center"/>
    </xf>
    <xf numFmtId="0" fontId="34" fillId="0" borderId="38" xfId="0" applyFont="1" applyBorder="1" applyAlignment="1">
      <alignment horizontal="right" vertical="center"/>
    </xf>
    <xf numFmtId="4" fontId="23" fillId="0" borderId="29" xfId="0" applyNumberFormat="1" applyFont="1" applyBorder="1" applyAlignment="1" applyProtection="1">
      <alignment horizontal="center" vertical="center" wrapText="1"/>
    </xf>
    <xf numFmtId="4" fontId="23" fillId="0" borderId="27" xfId="0" applyNumberFormat="1" applyFont="1" applyBorder="1" applyAlignment="1" applyProtection="1">
      <alignment horizontal="center" vertical="center" wrapText="1"/>
    </xf>
    <xf numFmtId="4" fontId="23" fillId="0" borderId="40" xfId="0" applyNumberFormat="1" applyFont="1" applyBorder="1" applyAlignment="1" applyProtection="1">
      <alignment horizontal="center" vertical="center" wrapText="1"/>
    </xf>
    <xf numFmtId="4" fontId="23" fillId="2" borderId="21" xfId="0" applyNumberFormat="1" applyFont="1" applyFill="1" applyBorder="1" applyAlignment="1" applyProtection="1">
      <alignment horizontal="left" vertical="center"/>
      <protection locked="0"/>
    </xf>
    <xf numFmtId="4" fontId="23" fillId="2" borderId="23" xfId="0" applyNumberFormat="1" applyFont="1" applyFill="1" applyBorder="1" applyAlignment="1" applyProtection="1">
      <alignment horizontal="left" vertical="center"/>
      <protection locked="0"/>
    </xf>
    <xf numFmtId="0" fontId="23" fillId="0" borderId="24" xfId="0" applyFont="1" applyBorder="1" applyAlignment="1">
      <alignment horizontal="left" vertical="center"/>
    </xf>
    <xf numFmtId="4" fontId="23" fillId="2" borderId="18" xfId="0" applyNumberFormat="1" applyFont="1" applyFill="1" applyBorder="1" applyAlignment="1" applyProtection="1">
      <alignment horizontal="left" vertical="center"/>
      <protection locked="0"/>
    </xf>
    <xf numFmtId="4" fontId="23" fillId="2" borderId="22" xfId="0" applyNumberFormat="1" applyFont="1" applyFill="1" applyBorder="1" applyAlignment="1" applyProtection="1">
      <alignment horizontal="left" vertical="center"/>
      <protection locked="0"/>
    </xf>
    <xf numFmtId="0" fontId="23" fillId="0" borderId="15" xfId="0" applyFont="1" applyBorder="1" applyAlignment="1">
      <alignment horizontal="left" vertical="center"/>
    </xf>
    <xf numFmtId="4" fontId="27" fillId="0" borderId="0" xfId="0" applyNumberFormat="1" applyFont="1" applyBorder="1" applyAlignment="1">
      <alignment horizontal="left" vertical="center"/>
    </xf>
    <xf numFmtId="4" fontId="27" fillId="0" borderId="14" xfId="0" applyNumberFormat="1" applyFont="1" applyBorder="1" applyAlignment="1">
      <alignment horizontal="left" vertical="center"/>
    </xf>
    <xf numFmtId="4" fontId="23" fillId="0" borderId="23" xfId="0" applyNumberFormat="1" applyFont="1" applyBorder="1" applyAlignment="1">
      <alignment horizontal="center" vertical="center" wrapText="1"/>
    </xf>
    <xf numFmtId="4" fontId="39" fillId="0" borderId="0" xfId="0" applyNumberFormat="1" applyFont="1" applyBorder="1" applyAlignment="1">
      <alignment horizontal="right" vertical="center"/>
    </xf>
    <xf numFmtId="4" fontId="39" fillId="0" borderId="14" xfId="0" applyNumberFormat="1" applyFont="1" applyBorder="1" applyAlignment="1">
      <alignment horizontal="right" vertical="center"/>
    </xf>
    <xf numFmtId="0" fontId="34" fillId="0" borderId="41" xfId="0" applyFont="1" applyBorder="1" applyAlignment="1">
      <alignment horizontal="left" vertical="center"/>
    </xf>
    <xf numFmtId="0" fontId="34" fillId="0" borderId="43" xfId="0" applyFont="1" applyBorder="1" applyAlignment="1">
      <alignment horizontal="left" vertical="center"/>
    </xf>
    <xf numFmtId="0" fontId="34" fillId="0" borderId="74" xfId="0" applyFont="1" applyBorder="1" applyAlignment="1">
      <alignment horizontal="left" vertical="center"/>
    </xf>
    <xf numFmtId="4" fontId="23" fillId="0" borderId="35" xfId="0" applyNumberFormat="1" applyFont="1" applyBorder="1" applyAlignment="1">
      <alignment horizontal="left" vertical="center"/>
    </xf>
    <xf numFmtId="178" fontId="23" fillId="0" borderId="25" xfId="0" applyNumberFormat="1" applyFont="1" applyBorder="1" applyAlignment="1">
      <alignment horizontal="left" vertical="center"/>
    </xf>
    <xf numFmtId="178" fontId="23" fillId="0" borderId="9" xfId="0" applyNumberFormat="1" applyFont="1" applyBorder="1" applyAlignment="1">
      <alignment horizontal="left" vertical="center"/>
    </xf>
    <xf numFmtId="178" fontId="23" fillId="0" borderId="15" xfId="0" applyNumberFormat="1" applyFont="1" applyBorder="1" applyAlignment="1">
      <alignment horizontal="left" vertical="center"/>
    </xf>
    <xf numFmtId="190" fontId="23" fillId="2" borderId="21" xfId="0" applyNumberFormat="1" applyFont="1" applyFill="1" applyBorder="1" applyAlignment="1" applyProtection="1">
      <alignment horizontal="left" vertical="center"/>
      <protection locked="0"/>
    </xf>
    <xf numFmtId="190" fontId="23" fillId="2" borderId="23" xfId="0" applyNumberFormat="1" applyFont="1" applyFill="1" applyBorder="1" applyAlignment="1" applyProtection="1">
      <alignment horizontal="left" vertical="center"/>
      <protection locked="0"/>
    </xf>
    <xf numFmtId="0" fontId="27" fillId="0" borderId="25" xfId="0" applyFont="1" applyFill="1" applyBorder="1" applyAlignment="1" applyProtection="1">
      <alignment horizontal="left" vertical="center"/>
    </xf>
    <xf numFmtId="0" fontId="23" fillId="0" borderId="15" xfId="0" applyFont="1" applyFill="1" applyBorder="1" applyAlignment="1" applyProtection="1">
      <alignment horizontal="left" vertical="center"/>
    </xf>
    <xf numFmtId="0" fontId="23" fillId="0" borderId="7" xfId="0" applyFont="1" applyFill="1" applyBorder="1" applyAlignment="1">
      <alignment horizontal="left" vertical="center"/>
    </xf>
    <xf numFmtId="0" fontId="23" fillId="0" borderId="8" xfId="0" applyFont="1" applyFill="1" applyBorder="1" applyAlignment="1">
      <alignment horizontal="left" vertical="center"/>
    </xf>
    <xf numFmtId="0" fontId="34" fillId="0" borderId="66" xfId="0" applyFont="1" applyBorder="1" applyAlignment="1">
      <alignment horizontal="left" vertical="center"/>
    </xf>
    <xf numFmtId="0" fontId="34" fillId="0" borderId="17" xfId="0" applyFont="1" applyBorder="1" applyAlignment="1">
      <alignment horizontal="left" vertical="center"/>
    </xf>
    <xf numFmtId="0" fontId="23" fillId="0" borderId="20" xfId="0" applyFont="1" applyBorder="1" applyAlignment="1">
      <alignment horizontal="left" vertical="top" wrapText="1"/>
    </xf>
    <xf numFmtId="0" fontId="23" fillId="0" borderId="11" xfId="0" applyFont="1" applyBorder="1" applyAlignment="1">
      <alignment horizontal="left" vertical="top"/>
    </xf>
    <xf numFmtId="0" fontId="23" fillId="0" borderId="24" xfId="0" applyFont="1" applyBorder="1" applyAlignment="1">
      <alignment horizontal="left" vertical="top"/>
    </xf>
    <xf numFmtId="0" fontId="23" fillId="0" borderId="13" xfId="0" applyFont="1" applyBorder="1" applyAlignment="1">
      <alignment horizontal="left" vertical="top" wrapText="1"/>
    </xf>
    <xf numFmtId="0" fontId="23" fillId="0" borderId="0" xfId="0" applyFont="1" applyBorder="1" applyAlignment="1">
      <alignment horizontal="left" vertical="top"/>
    </xf>
    <xf numFmtId="0" fontId="23" fillId="0" borderId="14" xfId="0" applyFont="1" applyBorder="1" applyAlignment="1">
      <alignment horizontal="left" vertical="top"/>
    </xf>
    <xf numFmtId="0" fontId="23" fillId="0" borderId="21" xfId="0" applyFont="1" applyBorder="1" applyAlignment="1">
      <alignment horizontal="left" vertical="top"/>
    </xf>
    <xf numFmtId="0" fontId="23" fillId="0" borderId="17" xfId="0" applyFont="1" applyBorder="1" applyAlignment="1">
      <alignment horizontal="left" vertical="top"/>
    </xf>
    <xf numFmtId="0" fontId="23" fillId="0" borderId="23" xfId="0" applyFont="1" applyBorder="1" applyAlignment="1">
      <alignment horizontal="left" vertical="top"/>
    </xf>
    <xf numFmtId="0" fontId="23" fillId="0" borderId="61" xfId="0" applyFont="1" applyBorder="1" applyAlignment="1">
      <alignment horizontal="center" vertical="center" wrapText="1"/>
    </xf>
    <xf numFmtId="0" fontId="23" fillId="0" borderId="58" xfId="0" applyFont="1" applyBorder="1" applyAlignment="1">
      <alignment horizontal="center" vertical="center" wrapText="1"/>
    </xf>
    <xf numFmtId="0" fontId="72" fillId="4" borderId="19" xfId="0" applyFont="1" applyFill="1" applyBorder="1" applyAlignment="1">
      <alignment horizontal="left" vertical="center"/>
    </xf>
    <xf numFmtId="0" fontId="40" fillId="0" borderId="18" xfId="0" applyFont="1" applyBorder="1" applyAlignment="1">
      <alignment horizontal="right" vertical="center"/>
    </xf>
    <xf numFmtId="0" fontId="40" fillId="0" borderId="19" xfId="0" applyFont="1" applyBorder="1" applyAlignment="1">
      <alignment horizontal="right" vertical="center"/>
    </xf>
    <xf numFmtId="0" fontId="58" fillId="0" borderId="19" xfId="20" applyFont="1" applyBorder="1" applyAlignment="1" applyProtection="1">
      <alignment horizontal="center" vertical="center"/>
      <protection locked="0" hidden="1"/>
    </xf>
    <xf numFmtId="0" fontId="58" fillId="0" borderId="22" xfId="20" applyFont="1" applyBorder="1" applyAlignment="1" applyProtection="1">
      <alignment horizontal="center" vertical="center"/>
      <protection locked="0" hidden="1"/>
    </xf>
    <xf numFmtId="0" fontId="27" fillId="0" borderId="20" xfId="0" applyFont="1" applyBorder="1" applyAlignment="1">
      <alignment horizontal="left" vertical="center"/>
    </xf>
    <xf numFmtId="0" fontId="14" fillId="4" borderId="19" xfId="0" applyFont="1" applyFill="1" applyBorder="1" applyAlignment="1">
      <alignment horizontal="center" vertical="center"/>
    </xf>
    <xf numFmtId="0" fontId="14" fillId="4" borderId="22" xfId="0" applyFont="1" applyFill="1" applyBorder="1" applyAlignment="1">
      <alignment horizontal="center" vertical="center"/>
    </xf>
    <xf numFmtId="0" fontId="27" fillId="4" borderId="26" xfId="0" applyFont="1" applyFill="1" applyBorder="1" applyAlignment="1">
      <alignment horizontal="left" vertical="center"/>
    </xf>
    <xf numFmtId="0" fontId="23" fillId="0" borderId="20" xfId="0" applyFont="1" applyBorder="1" applyAlignment="1">
      <alignment horizontal="right"/>
    </xf>
    <xf numFmtId="0" fontId="23" fillId="0" borderId="24" xfId="0" applyFont="1" applyBorder="1" applyAlignment="1">
      <alignment horizontal="right"/>
    </xf>
    <xf numFmtId="14" fontId="23" fillId="2" borderId="26" xfId="0" applyNumberFormat="1" applyFont="1" applyFill="1" applyBorder="1" applyAlignment="1" applyProtection="1">
      <alignment horizontal="center" vertical="center"/>
      <protection locked="0"/>
    </xf>
    <xf numFmtId="14" fontId="23" fillId="2" borderId="18" xfId="0" applyNumberFormat="1" applyFont="1" applyFill="1" applyBorder="1" applyAlignment="1" applyProtection="1">
      <alignment horizontal="center" vertical="center"/>
      <protection locked="0"/>
    </xf>
    <xf numFmtId="0" fontId="29" fillId="4" borderId="13" xfId="0" applyFont="1" applyFill="1" applyBorder="1" applyAlignment="1">
      <alignment horizontal="center" vertical="center"/>
    </xf>
    <xf numFmtId="0" fontId="29" fillId="4" borderId="0" xfId="0" applyFont="1" applyFill="1" applyBorder="1" applyAlignment="1">
      <alignment horizontal="center" vertical="center"/>
    </xf>
    <xf numFmtId="0" fontId="23" fillId="0" borderId="0" xfId="0" applyFont="1" applyBorder="1" applyAlignment="1">
      <alignment horizontal="center" vertical="center" wrapText="1"/>
    </xf>
    <xf numFmtId="0" fontId="72" fillId="4" borderId="18" xfId="0" applyFont="1" applyFill="1" applyBorder="1" applyAlignment="1">
      <alignment horizontal="center"/>
    </xf>
    <xf numFmtId="0" fontId="72" fillId="4" borderId="19" xfId="0" applyFont="1" applyFill="1" applyBorder="1" applyAlignment="1">
      <alignment horizontal="center"/>
    </xf>
    <xf numFmtId="0" fontId="72" fillId="4" borderId="19" xfId="0" applyFont="1" applyFill="1" applyBorder="1" applyAlignment="1">
      <alignment horizontal="right" vertical="center"/>
    </xf>
    <xf numFmtId="0" fontId="23" fillId="0" borderId="29" xfId="0" applyFont="1" applyBorder="1" applyAlignment="1">
      <alignment horizontal="center" vertical="center"/>
    </xf>
    <xf numFmtId="0" fontId="23" fillId="0" borderId="61" xfId="0" applyFont="1" applyBorder="1" applyAlignment="1">
      <alignment horizontal="center" vertical="center"/>
    </xf>
    <xf numFmtId="0" fontId="23" fillId="0" borderId="20" xfId="0" applyFont="1" applyBorder="1" applyAlignment="1">
      <alignment vertical="center" wrapText="1"/>
    </xf>
    <xf numFmtId="0" fontId="23" fillId="0" borderId="11" xfId="0" applyFont="1" applyBorder="1" applyAlignment="1">
      <alignment vertical="center"/>
    </xf>
    <xf numFmtId="0" fontId="23" fillId="0" borderId="24" xfId="0" applyFont="1" applyBorder="1" applyAlignment="1">
      <alignment vertical="center"/>
    </xf>
    <xf numFmtId="0" fontId="23" fillId="0" borderId="21" xfId="0" applyFont="1" applyBorder="1" applyAlignment="1">
      <alignment vertical="center"/>
    </xf>
    <xf numFmtId="0" fontId="23" fillId="0" borderId="17" xfId="0" applyFont="1" applyBorder="1" applyAlignment="1">
      <alignment vertical="center"/>
    </xf>
    <xf numFmtId="0" fontId="23" fillId="0" borderId="23" xfId="0" applyFont="1" applyBorder="1" applyAlignment="1">
      <alignment vertical="center"/>
    </xf>
    <xf numFmtId="0" fontId="109" fillId="0" borderId="20" xfId="0" applyFont="1" applyBorder="1" applyAlignment="1">
      <alignment horizontal="center" vertical="center"/>
    </xf>
    <xf numFmtId="0" fontId="109" fillId="0" borderId="11" xfId="0" applyFont="1" applyBorder="1" applyAlignment="1">
      <alignment horizontal="center" vertical="center"/>
    </xf>
    <xf numFmtId="0" fontId="23" fillId="0" borderId="13" xfId="0" applyFont="1" applyFill="1" applyBorder="1" applyAlignment="1" applyProtection="1">
      <alignment horizontal="left" vertical="center"/>
    </xf>
    <xf numFmtId="0" fontId="23" fillId="0" borderId="0" xfId="0" applyFont="1" applyFill="1" applyBorder="1" applyAlignment="1" applyProtection="1">
      <alignment horizontal="left" vertical="center"/>
    </xf>
    <xf numFmtId="0" fontId="23" fillId="0" borderId="21" xfId="0" applyFont="1" applyFill="1" applyBorder="1" applyAlignment="1" applyProtection="1">
      <alignment horizontal="left" vertical="center"/>
    </xf>
    <xf numFmtId="0" fontId="23" fillId="0" borderId="17" xfId="0" applyFont="1" applyFill="1" applyBorder="1" applyAlignment="1" applyProtection="1">
      <alignment horizontal="left" vertical="center"/>
    </xf>
    <xf numFmtId="0" fontId="86" fillId="4" borderId="13" xfId="0" applyFont="1" applyFill="1" applyBorder="1" applyAlignment="1">
      <alignment horizontal="center" vertical="center" wrapText="1"/>
    </xf>
    <xf numFmtId="0" fontId="86" fillId="4" borderId="0" xfId="0" applyFont="1" applyFill="1" applyBorder="1" applyAlignment="1">
      <alignment horizontal="center" vertical="center" wrapText="1"/>
    </xf>
    <xf numFmtId="4" fontId="23" fillId="0" borderId="14" xfId="0" applyNumberFormat="1" applyFont="1" applyBorder="1" applyAlignment="1">
      <alignment horizontal="center" vertical="center" wrapText="1"/>
    </xf>
    <xf numFmtId="4" fontId="23" fillId="0" borderId="20" xfId="0" applyNumberFormat="1" applyFont="1" applyBorder="1" applyAlignment="1">
      <alignment horizontal="center" vertical="center" wrapText="1"/>
    </xf>
    <xf numFmtId="4" fontId="23" fillId="0" borderId="11" xfId="0" applyNumberFormat="1" applyFont="1" applyBorder="1" applyAlignment="1">
      <alignment horizontal="center" vertical="center" wrapText="1"/>
    </xf>
    <xf numFmtId="4" fontId="23" fillId="0" borderId="0" xfId="0" applyNumberFormat="1" applyFont="1" applyBorder="1" applyAlignment="1">
      <alignment horizontal="center" vertical="center" wrapText="1"/>
    </xf>
    <xf numFmtId="4" fontId="23" fillId="0" borderId="17" xfId="0" applyNumberFormat="1" applyFont="1" applyBorder="1" applyAlignment="1">
      <alignment horizontal="center" vertical="center" wrapText="1"/>
    </xf>
    <xf numFmtId="4" fontId="23" fillId="0" borderId="37" xfId="0" applyNumberFormat="1" applyFont="1" applyBorder="1" applyAlignment="1">
      <alignment horizontal="center"/>
    </xf>
    <xf numFmtId="4" fontId="23" fillId="0" borderId="38" xfId="0" applyNumberFormat="1" applyFont="1" applyBorder="1" applyAlignment="1">
      <alignment horizontal="center"/>
    </xf>
    <xf numFmtId="10" fontId="23" fillId="0" borderId="20" xfId="9" applyNumberFormat="1" applyFont="1" applyBorder="1" applyAlignment="1">
      <alignment horizontal="right" vertical="center"/>
    </xf>
    <xf numFmtId="4" fontId="23" fillId="0" borderId="24" xfId="0" applyNumberFormat="1" applyFont="1" applyBorder="1" applyAlignment="1">
      <alignment horizontal="center" vertical="center" wrapText="1"/>
    </xf>
    <xf numFmtId="181" fontId="11" fillId="4" borderId="18" xfId="0" applyNumberFormat="1" applyFont="1" applyFill="1" applyBorder="1" applyAlignment="1">
      <alignment horizontal="center" vertical="center"/>
    </xf>
    <xf numFmtId="181" fontId="11" fillId="4" borderId="19" xfId="0" applyNumberFormat="1" applyFont="1" applyFill="1" applyBorder="1" applyAlignment="1">
      <alignment horizontal="center" vertical="center"/>
    </xf>
    <xf numFmtId="4" fontId="23" fillId="0" borderId="18" xfId="0" applyNumberFormat="1" applyFont="1" applyBorder="1" applyAlignment="1" applyProtection="1">
      <alignment horizontal="left" vertical="center"/>
    </xf>
    <xf numFmtId="4" fontId="23" fillId="0" borderId="19" xfId="0" applyNumberFormat="1" applyFont="1" applyBorder="1" applyAlignment="1" applyProtection="1">
      <alignment horizontal="left" vertical="center"/>
    </xf>
    <xf numFmtId="4" fontId="23" fillId="0" borderId="22" xfId="0" applyNumberFormat="1" applyFont="1" applyBorder="1" applyAlignment="1" applyProtection="1">
      <alignment horizontal="left" vertical="center"/>
    </xf>
    <xf numFmtId="0" fontId="27" fillId="0" borderId="31" xfId="0" applyFont="1" applyBorder="1" applyAlignment="1" applyProtection="1">
      <alignment horizontal="left" vertical="center"/>
    </xf>
    <xf numFmtId="0" fontId="27" fillId="0" borderId="43" xfId="0" applyFont="1" applyBorder="1" applyAlignment="1" applyProtection="1">
      <alignment horizontal="left" vertical="center"/>
    </xf>
    <xf numFmtId="0" fontId="27" fillId="0" borderId="32" xfId="0" applyFont="1" applyBorder="1" applyAlignment="1" applyProtection="1">
      <alignment horizontal="left" vertical="center"/>
    </xf>
    <xf numFmtId="0" fontId="54" fillId="0" borderId="31" xfId="0" applyFont="1" applyBorder="1" applyAlignment="1" applyProtection="1">
      <alignment horizontal="center" vertical="center"/>
    </xf>
    <xf numFmtId="0" fontId="54" fillId="0" borderId="24" xfId="0" applyFont="1" applyBorder="1" applyAlignment="1" applyProtection="1">
      <alignment horizontal="center" vertical="center"/>
    </xf>
    <xf numFmtId="4" fontId="27" fillId="0" borderId="37" xfId="0" applyNumberFormat="1" applyFont="1" applyBorder="1" applyAlignment="1" applyProtection="1">
      <alignment horizontal="left" vertical="center"/>
    </xf>
    <xf numFmtId="4" fontId="27" fillId="0" borderId="38" xfId="0" applyNumberFormat="1" applyFont="1" applyBorder="1" applyAlignment="1" applyProtection="1">
      <alignment horizontal="left" vertical="center"/>
    </xf>
    <xf numFmtId="4" fontId="27" fillId="0" borderId="39" xfId="0" applyNumberFormat="1" applyFont="1" applyBorder="1" applyAlignment="1" applyProtection="1">
      <alignment horizontal="left" vertical="center"/>
    </xf>
    <xf numFmtId="0" fontId="27" fillId="4" borderId="20" xfId="0" applyFont="1" applyFill="1" applyBorder="1" applyAlignment="1" applyProtection="1">
      <alignment horizontal="left" vertical="center"/>
    </xf>
    <xf numFmtId="0" fontId="27" fillId="4" borderId="11" xfId="0" applyFont="1" applyFill="1" applyBorder="1" applyAlignment="1" applyProtection="1">
      <alignment horizontal="left" vertical="center"/>
    </xf>
    <xf numFmtId="0" fontId="23" fillId="0" borderId="47" xfId="0" applyFont="1" applyFill="1" applyBorder="1" applyAlignment="1" applyProtection="1">
      <alignment horizontal="left" vertical="center"/>
    </xf>
    <xf numFmtId="0" fontId="97" fillId="0" borderId="20" xfId="0" applyFont="1" applyFill="1" applyBorder="1" applyAlignment="1" applyProtection="1">
      <alignment horizontal="center" vertical="center" wrapText="1"/>
    </xf>
    <xf numFmtId="0" fontId="97" fillId="0" borderId="24" xfId="0" applyFont="1" applyFill="1" applyBorder="1" applyAlignment="1" applyProtection="1">
      <alignment horizontal="center" vertical="center" wrapText="1"/>
    </xf>
    <xf numFmtId="0" fontId="97" fillId="0" borderId="13" xfId="0" applyFont="1" applyFill="1" applyBorder="1" applyAlignment="1" applyProtection="1">
      <alignment horizontal="center" vertical="center" wrapText="1"/>
    </xf>
    <xf numFmtId="0" fontId="97" fillId="0" borderId="14" xfId="0" applyFont="1" applyFill="1" applyBorder="1" applyAlignment="1" applyProtection="1">
      <alignment horizontal="center" vertical="center" wrapText="1"/>
    </xf>
    <xf numFmtId="0" fontId="23" fillId="0" borderId="74" xfId="0" applyFont="1" applyBorder="1" applyAlignment="1">
      <alignment horizontal="left" vertical="center"/>
    </xf>
    <xf numFmtId="0" fontId="23" fillId="0" borderId="41" xfId="0" applyFont="1" applyBorder="1" applyAlignment="1">
      <alignment horizontal="left" vertical="center"/>
    </xf>
    <xf numFmtId="0" fontId="23" fillId="0" borderId="43" xfId="0" applyFont="1" applyBorder="1" applyAlignment="1">
      <alignment horizontal="left" vertical="center"/>
    </xf>
    <xf numFmtId="0" fontId="54" fillId="0" borderId="20" xfId="0" applyNumberFormat="1" applyFont="1" applyFill="1" applyBorder="1" applyAlignment="1" applyProtection="1">
      <alignment horizontal="center" wrapText="1"/>
    </xf>
    <xf numFmtId="0" fontId="54" fillId="0" borderId="24" xfId="0" applyNumberFormat="1" applyFont="1" applyFill="1" applyBorder="1" applyAlignment="1" applyProtection="1">
      <alignment horizontal="center" wrapText="1"/>
    </xf>
    <xf numFmtId="0" fontId="27" fillId="0" borderId="18" xfId="0" applyNumberFormat="1" applyFont="1" applyFill="1" applyBorder="1" applyAlignment="1" applyProtection="1">
      <alignment horizontal="center" vertical="center" wrapText="1"/>
    </xf>
    <xf numFmtId="0" fontId="27" fillId="0" borderId="22" xfId="0" applyNumberFormat="1" applyFont="1" applyFill="1" applyBorder="1" applyAlignment="1" applyProtection="1">
      <alignment horizontal="center" vertical="center" wrapText="1"/>
    </xf>
    <xf numFmtId="0" fontId="54" fillId="0" borderId="20" xfId="0" applyNumberFormat="1" applyFont="1" applyFill="1" applyBorder="1" applyAlignment="1" applyProtection="1">
      <alignment horizontal="center" vertical="center" wrapText="1"/>
    </xf>
    <xf numFmtId="0" fontId="54" fillId="0" borderId="24" xfId="0" applyNumberFormat="1" applyFont="1" applyFill="1" applyBorder="1" applyAlignment="1" applyProtection="1">
      <alignment horizontal="center" vertical="center" wrapText="1"/>
    </xf>
    <xf numFmtId="0" fontId="108" fillId="0" borderId="13" xfId="0" applyFont="1" applyBorder="1" applyAlignment="1" applyProtection="1">
      <alignment horizontal="center" vertical="top" wrapText="1"/>
    </xf>
    <xf numFmtId="0" fontId="108" fillId="0" borderId="14" xfId="0" applyFont="1" applyBorder="1" applyAlignment="1" applyProtection="1">
      <alignment horizontal="center" vertical="top" wrapText="1"/>
    </xf>
    <xf numFmtId="0" fontId="108" fillId="0" borderId="21" xfId="0" applyFont="1" applyBorder="1" applyAlignment="1" applyProtection="1">
      <alignment horizontal="center" vertical="top" wrapText="1"/>
    </xf>
    <xf numFmtId="0" fontId="108" fillId="0" borderId="23" xfId="0" applyFont="1" applyBorder="1" applyAlignment="1" applyProtection="1">
      <alignment horizontal="center" vertical="top" wrapText="1"/>
    </xf>
    <xf numFmtId="0" fontId="27" fillId="0" borderId="37" xfId="0" applyFont="1" applyBorder="1" applyAlignment="1" applyProtection="1">
      <alignment horizontal="left" vertical="center"/>
    </xf>
    <xf numFmtId="0" fontId="27" fillId="0" borderId="38" xfId="0" applyFont="1" applyBorder="1" applyAlignment="1" applyProtection="1">
      <alignment horizontal="left" vertical="center"/>
    </xf>
    <xf numFmtId="0" fontId="23" fillId="0" borderId="27" xfId="0" applyFont="1" applyBorder="1" applyAlignment="1" applyProtection="1">
      <alignment horizontal="left" vertical="center"/>
    </xf>
    <xf numFmtId="0" fontId="27" fillId="0" borderId="18" xfId="0" applyFont="1" applyBorder="1" applyAlignment="1" applyProtection="1">
      <alignment horizontal="left" vertical="center"/>
    </xf>
    <xf numFmtId="0" fontId="27" fillId="0" borderId="19" xfId="0" applyFont="1" applyBorder="1" applyAlignment="1" applyProtection="1">
      <alignment horizontal="left" vertical="center"/>
    </xf>
    <xf numFmtId="0" fontId="27" fillId="0" borderId="22" xfId="0" applyFont="1" applyBorder="1" applyAlignment="1" applyProtection="1">
      <alignment horizontal="left" vertical="center"/>
    </xf>
    <xf numFmtId="0" fontId="42" fillId="0" borderId="18" xfId="0" applyFont="1" applyBorder="1" applyAlignment="1">
      <alignment horizontal="center" vertical="center"/>
    </xf>
    <xf numFmtId="0" fontId="42" fillId="0" borderId="19" xfId="0" applyFont="1" applyBorder="1" applyAlignment="1">
      <alignment horizontal="center" vertical="center"/>
    </xf>
    <xf numFmtId="0" fontId="15" fillId="6" borderId="17" xfId="0" applyFont="1" applyFill="1" applyBorder="1" applyAlignment="1">
      <alignment horizontal="left" vertical="center"/>
    </xf>
    <xf numFmtId="0" fontId="15" fillId="6" borderId="23" xfId="0" applyFont="1" applyFill="1" applyBorder="1" applyAlignment="1">
      <alignment horizontal="left" vertical="center"/>
    </xf>
    <xf numFmtId="0" fontId="27" fillId="0" borderId="20" xfId="0" applyFont="1" applyBorder="1" applyAlignment="1">
      <alignment vertical="center"/>
    </xf>
    <xf numFmtId="0" fontId="27" fillId="0" borderId="11" xfId="0" applyFont="1" applyBorder="1" applyAlignment="1">
      <alignment vertical="center"/>
    </xf>
    <xf numFmtId="0" fontId="27" fillId="0" borderId="21" xfId="0" applyFont="1" applyBorder="1" applyAlignment="1" applyProtection="1">
      <alignment vertical="center" wrapText="1"/>
    </xf>
    <xf numFmtId="0" fontId="27" fillId="0" borderId="17" xfId="0" applyFont="1" applyBorder="1" applyAlignment="1" applyProtection="1">
      <alignment vertical="center" wrapText="1"/>
    </xf>
    <xf numFmtId="0" fontId="27" fillId="0" borderId="23" xfId="0" applyFont="1" applyBorder="1" applyAlignment="1" applyProtection="1">
      <alignment vertical="center" wrapText="1"/>
    </xf>
    <xf numFmtId="4" fontId="27" fillId="0" borderId="28" xfId="0" applyNumberFormat="1" applyFont="1" applyFill="1" applyBorder="1" applyAlignment="1" applyProtection="1">
      <alignment horizontal="left" vertical="center"/>
    </xf>
    <xf numFmtId="184" fontId="23" fillId="2" borderId="26" xfId="0" applyNumberFormat="1" applyFont="1" applyFill="1" applyBorder="1" applyAlignment="1" applyProtection="1">
      <alignment horizontal="center" vertical="center"/>
      <protection locked="0"/>
    </xf>
    <xf numFmtId="184" fontId="23" fillId="2" borderId="22" xfId="0" applyNumberFormat="1" applyFont="1" applyFill="1" applyBorder="1" applyAlignment="1" applyProtection="1">
      <alignment horizontal="center" vertical="center"/>
      <protection locked="0"/>
    </xf>
    <xf numFmtId="180" fontId="23" fillId="2" borderId="18" xfId="5" applyNumberFormat="1" applyFont="1" applyFill="1" applyBorder="1" applyAlignment="1" applyProtection="1">
      <alignment vertical="center"/>
      <protection locked="0"/>
    </xf>
    <xf numFmtId="180" fontId="23" fillId="2" borderId="22" xfId="5" applyNumberFormat="1" applyFont="1" applyFill="1" applyBorder="1" applyAlignment="1" applyProtection="1">
      <alignment vertical="center"/>
      <protection locked="0"/>
    </xf>
    <xf numFmtId="0" fontId="15" fillId="19" borderId="11" xfId="0" applyFont="1" applyFill="1" applyBorder="1" applyAlignment="1">
      <alignment horizontal="left" vertical="center"/>
    </xf>
    <xf numFmtId="0" fontId="29" fillId="19" borderId="18" xfId="0" applyFont="1" applyFill="1" applyBorder="1" applyAlignment="1">
      <alignment horizontal="center"/>
    </xf>
    <xf numFmtId="0" fontId="29" fillId="19" borderId="19" xfId="0" applyFont="1" applyFill="1" applyBorder="1" applyAlignment="1">
      <alignment horizontal="center"/>
    </xf>
    <xf numFmtId="0" fontId="29" fillId="19" borderId="22" xfId="0" applyFont="1" applyFill="1" applyBorder="1" applyAlignment="1">
      <alignment horizontal="center"/>
    </xf>
    <xf numFmtId="0" fontId="15" fillId="19" borderId="19" xfId="0" applyFont="1" applyFill="1" applyBorder="1" applyAlignment="1">
      <alignment horizontal="left" vertical="center"/>
    </xf>
    <xf numFmtId="0" fontId="15" fillId="19" borderId="22" xfId="0" applyFont="1" applyFill="1" applyBorder="1" applyAlignment="1">
      <alignment horizontal="left" vertical="center"/>
    </xf>
    <xf numFmtId="0" fontId="87" fillId="23" borderId="19" xfId="0" applyFont="1" applyFill="1" applyBorder="1" applyAlignment="1">
      <alignment horizontal="left" vertical="center"/>
    </xf>
    <xf numFmtId="0" fontId="88" fillId="23" borderId="18" xfId="0" applyFont="1" applyFill="1" applyBorder="1" applyAlignment="1">
      <alignment horizontal="center"/>
    </xf>
    <xf numFmtId="0" fontId="88" fillId="23" borderId="19" xfId="0" applyFont="1" applyFill="1" applyBorder="1" applyAlignment="1">
      <alignment horizontal="center"/>
    </xf>
    <xf numFmtId="0" fontId="88" fillId="23" borderId="22" xfId="0" applyFont="1" applyFill="1" applyBorder="1" applyAlignment="1">
      <alignment horizontal="center"/>
    </xf>
    <xf numFmtId="0" fontId="87" fillId="23" borderId="19" xfId="0" applyFont="1" applyFill="1" applyBorder="1" applyAlignment="1">
      <alignment horizontal="center" vertical="center"/>
    </xf>
    <xf numFmtId="0" fontId="87" fillId="23" borderId="22" xfId="0" applyFont="1" applyFill="1" applyBorder="1" applyAlignment="1">
      <alignment horizontal="center" vertical="center"/>
    </xf>
    <xf numFmtId="0" fontId="43" fillId="0" borderId="14" xfId="0" applyFont="1" applyBorder="1" applyAlignment="1">
      <alignment horizontal="center" wrapText="1"/>
    </xf>
    <xf numFmtId="0" fontId="87" fillId="20" borderId="19" xfId="0" applyFont="1" applyFill="1" applyBorder="1" applyAlignment="1">
      <alignment horizontal="left" vertical="center"/>
    </xf>
    <xf numFmtId="0" fontId="87" fillId="20" borderId="22" xfId="0" applyFont="1" applyFill="1" applyBorder="1" applyAlignment="1">
      <alignment horizontal="left" vertical="center"/>
    </xf>
    <xf numFmtId="0" fontId="87" fillId="20" borderId="11" xfId="0" applyFont="1" applyFill="1" applyBorder="1" applyAlignment="1">
      <alignment horizontal="left" vertical="center"/>
    </xf>
    <xf numFmtId="0" fontId="14" fillId="2" borderId="20" xfId="0" applyFont="1" applyFill="1" applyBorder="1" applyAlignment="1" applyProtection="1">
      <alignment horizontal="left" vertical="top" wrapText="1"/>
      <protection locked="0"/>
    </xf>
    <xf numFmtId="0" fontId="14" fillId="2" borderId="11" xfId="0" applyFont="1" applyFill="1" applyBorder="1" applyAlignment="1" applyProtection="1">
      <alignment horizontal="left" vertical="top" wrapText="1"/>
      <protection locked="0"/>
    </xf>
    <xf numFmtId="0" fontId="14" fillId="2" borderId="24" xfId="0" applyFont="1" applyFill="1" applyBorder="1" applyAlignment="1" applyProtection="1">
      <alignment horizontal="left" vertical="top" wrapText="1"/>
      <protection locked="0"/>
    </xf>
    <xf numFmtId="0" fontId="14" fillId="2" borderId="13" xfId="0" applyFont="1" applyFill="1" applyBorder="1" applyAlignment="1" applyProtection="1">
      <alignment horizontal="left" vertical="top" wrapText="1"/>
      <protection locked="0"/>
    </xf>
    <xf numFmtId="0" fontId="14" fillId="2" borderId="0" xfId="0" applyFont="1" applyFill="1" applyBorder="1" applyAlignment="1" applyProtection="1">
      <alignment horizontal="left" vertical="top" wrapText="1"/>
      <protection locked="0"/>
    </xf>
    <xf numFmtId="0" fontId="14" fillId="2" borderId="14" xfId="0" applyFont="1" applyFill="1" applyBorder="1" applyAlignment="1" applyProtection="1">
      <alignment horizontal="left" vertical="top" wrapText="1"/>
      <protection locked="0"/>
    </xf>
    <xf numFmtId="0" fontId="14" fillId="2" borderId="21" xfId="0" applyFont="1" applyFill="1" applyBorder="1" applyAlignment="1" applyProtection="1">
      <alignment horizontal="left" vertical="top" wrapText="1"/>
      <protection locked="0"/>
    </xf>
    <xf numFmtId="0" fontId="14" fillId="2" borderId="17" xfId="0" applyFont="1" applyFill="1" applyBorder="1" applyAlignment="1" applyProtection="1">
      <alignment horizontal="left" vertical="top" wrapText="1"/>
      <protection locked="0"/>
    </xf>
    <xf numFmtId="0" fontId="14" fillId="2" borderId="23" xfId="0" applyFont="1" applyFill="1" applyBorder="1" applyAlignment="1" applyProtection="1">
      <alignment horizontal="left" vertical="top" wrapText="1"/>
      <protection locked="0"/>
    </xf>
    <xf numFmtId="0" fontId="20" fillId="0" borderId="0" xfId="0" applyFont="1" applyBorder="1" applyAlignment="1">
      <alignment horizontal="left" vertical="top" wrapText="1"/>
    </xf>
    <xf numFmtId="0" fontId="20" fillId="0" borderId="14" xfId="0" applyFont="1" applyBorder="1" applyAlignment="1">
      <alignment horizontal="left" vertical="top" wrapText="1"/>
    </xf>
    <xf numFmtId="0" fontId="25" fillId="0" borderId="18" xfId="0" applyFont="1" applyBorder="1" applyAlignment="1">
      <alignment horizontal="center" vertical="top" wrapText="1"/>
    </xf>
    <xf numFmtId="0" fontId="25" fillId="0" borderId="19" xfId="0" applyFont="1" applyBorder="1" applyAlignment="1">
      <alignment horizontal="center" vertical="top" wrapText="1"/>
    </xf>
    <xf numFmtId="0" fontId="25" fillId="0" borderId="22" xfId="0" applyFont="1" applyBorder="1" applyAlignment="1">
      <alignment horizontal="center" vertical="top" wrapText="1"/>
    </xf>
    <xf numFmtId="0" fontId="91" fillId="21" borderId="18" xfId="0" applyFont="1" applyFill="1" applyBorder="1" applyAlignment="1">
      <alignment horizontal="center" vertical="top" wrapText="1"/>
    </xf>
    <xf numFmtId="0" fontId="91" fillId="21" borderId="22" xfId="0" applyFont="1" applyFill="1" applyBorder="1" applyAlignment="1">
      <alignment horizontal="center" vertical="top" wrapText="1"/>
    </xf>
    <xf numFmtId="0" fontId="91" fillId="6" borderId="18" xfId="0" applyFont="1" applyFill="1" applyBorder="1" applyAlignment="1">
      <alignment horizontal="center" vertical="top" wrapText="1"/>
    </xf>
    <xf numFmtId="0" fontId="91" fillId="6" borderId="22" xfId="0" applyFont="1" applyFill="1" applyBorder="1" applyAlignment="1">
      <alignment horizontal="center" vertical="top" wrapText="1"/>
    </xf>
    <xf numFmtId="44" fontId="23" fillId="0" borderId="19" xfId="15" applyFont="1" applyBorder="1" applyAlignment="1">
      <alignment horizontal="center" vertical="top" wrapText="1"/>
    </xf>
    <xf numFmtId="44" fontId="20" fillId="0" borderId="29" xfId="0" applyNumberFormat="1" applyFont="1" applyBorder="1" applyAlignment="1">
      <alignment horizontal="center" vertical="top" wrapText="1"/>
    </xf>
    <xf numFmtId="44" fontId="20" fillId="0" borderId="27" xfId="0" applyNumberFormat="1" applyFont="1" applyBorder="1" applyAlignment="1">
      <alignment horizontal="center" vertical="top" wrapText="1"/>
    </xf>
    <xf numFmtId="44" fontId="20" fillId="0" borderId="28" xfId="0" applyNumberFormat="1" applyFont="1" applyBorder="1" applyAlignment="1">
      <alignment horizontal="center" vertical="top" wrapText="1"/>
    </xf>
    <xf numFmtId="44" fontId="20" fillId="0" borderId="24" xfId="0" applyNumberFormat="1" applyFont="1" applyBorder="1" applyAlignment="1">
      <alignment horizontal="center" vertical="top" wrapText="1"/>
    </xf>
    <xf numFmtId="44" fontId="20" fillId="0" borderId="14" xfId="0" applyNumberFormat="1" applyFont="1" applyBorder="1" applyAlignment="1">
      <alignment horizontal="center" vertical="top" wrapText="1"/>
    </xf>
    <xf numFmtId="44" fontId="20" fillId="0" borderId="23" xfId="0" applyNumberFormat="1" applyFont="1" applyBorder="1" applyAlignment="1">
      <alignment horizontal="center" vertical="top" wrapText="1"/>
    </xf>
    <xf numFmtId="0" fontId="25" fillId="0" borderId="18" xfId="0" applyFont="1" applyBorder="1" applyAlignment="1">
      <alignment horizontal="center" vertical="center"/>
    </xf>
    <xf numFmtId="0" fontId="25" fillId="0" borderId="19" xfId="0" applyFont="1" applyBorder="1" applyAlignment="1">
      <alignment horizontal="center" vertical="center"/>
    </xf>
    <xf numFmtId="0" fontId="25" fillId="0" borderId="22" xfId="0" applyFont="1" applyBorder="1" applyAlignment="1">
      <alignment horizontal="center" vertical="center"/>
    </xf>
    <xf numFmtId="192" fontId="120" fillId="0" borderId="27" xfId="0" applyNumberFormat="1" applyFont="1" applyBorder="1" applyAlignment="1">
      <alignment horizontal="center" vertical="center" wrapText="1"/>
    </xf>
    <xf numFmtId="192" fontId="120" fillId="0" borderId="28" xfId="0" applyNumberFormat="1" applyFont="1" applyBorder="1" applyAlignment="1">
      <alignment horizontal="center" vertical="center" wrapText="1"/>
    </xf>
    <xf numFmtId="14" fontId="45" fillId="0" borderId="19" xfId="0" applyNumberFormat="1" applyFont="1" applyBorder="1" applyAlignment="1">
      <alignment horizontal="center" vertical="center"/>
    </xf>
    <xf numFmtId="14" fontId="45" fillId="0" borderId="22" xfId="0" applyNumberFormat="1" applyFont="1" applyBorder="1" applyAlignment="1">
      <alignment horizontal="center" vertical="center"/>
    </xf>
    <xf numFmtId="0" fontId="11" fillId="0" borderId="13" xfId="0" applyFont="1" applyBorder="1" applyAlignment="1">
      <alignment horizontal="center" vertical="center" wrapText="1"/>
    </xf>
    <xf numFmtId="0" fontId="11" fillId="0" borderId="21" xfId="0" applyFont="1" applyBorder="1" applyAlignment="1">
      <alignment horizontal="center" vertical="center" wrapText="1"/>
    </xf>
    <xf numFmtId="0" fontId="67" fillId="2" borderId="13" xfId="0" applyFont="1" applyFill="1" applyBorder="1" applyAlignment="1" applyProtection="1">
      <alignment horizontal="center" vertical="center" wrapText="1"/>
      <protection locked="0"/>
    </xf>
    <xf numFmtId="0" fontId="67" fillId="2" borderId="14" xfId="0" applyFont="1" applyFill="1" applyBorder="1" applyAlignment="1" applyProtection="1">
      <alignment horizontal="center" vertical="center" wrapText="1"/>
      <protection locked="0"/>
    </xf>
    <xf numFmtId="0" fontId="11" fillId="0" borderId="27"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23" xfId="0" applyFont="1" applyBorder="1" applyAlignment="1">
      <alignment horizontal="center" vertical="center" wrapText="1"/>
    </xf>
    <xf numFmtId="0" fontId="45" fillId="0" borderId="26" xfId="0" applyFont="1" applyBorder="1" applyAlignment="1">
      <alignment horizontal="left" vertical="center"/>
    </xf>
    <xf numFmtId="0" fontId="45" fillId="0" borderId="18" xfId="0" applyFont="1" applyBorder="1" applyAlignment="1">
      <alignment horizontal="left" vertical="center"/>
    </xf>
    <xf numFmtId="0" fontId="13" fillId="0" borderId="40" xfId="0" applyFont="1" applyBorder="1" applyAlignment="1">
      <alignment horizontal="center" vertical="center"/>
    </xf>
    <xf numFmtId="0" fontId="11" fillId="0" borderId="18" xfId="0" applyFont="1" applyBorder="1" applyAlignment="1">
      <alignment horizontal="right" vertical="center"/>
    </xf>
    <xf numFmtId="0" fontId="11" fillId="0" borderId="19" xfId="0" applyFont="1" applyBorder="1" applyAlignment="1">
      <alignment horizontal="right" vertical="center"/>
    </xf>
    <xf numFmtId="0" fontId="96" fillId="0" borderId="29" xfId="0" applyFont="1" applyBorder="1" applyAlignment="1">
      <alignment horizontal="center" vertical="center" wrapText="1"/>
    </xf>
    <xf numFmtId="0" fontId="96" fillId="0" borderId="27" xfId="0" applyFont="1" applyBorder="1" applyAlignment="1">
      <alignment horizontal="center" vertical="center" wrapText="1"/>
    </xf>
    <xf numFmtId="191" fontId="120" fillId="0" borderId="27" xfId="0" applyNumberFormat="1" applyFont="1" applyBorder="1" applyAlignment="1">
      <alignment horizontal="center" vertical="center" wrapText="1"/>
    </xf>
    <xf numFmtId="191" fontId="120" fillId="0" borderId="28" xfId="0" applyNumberFormat="1" applyFont="1" applyBorder="1" applyAlignment="1">
      <alignment horizontal="center" vertical="center" wrapText="1"/>
    </xf>
    <xf numFmtId="0" fontId="37" fillId="0" borderId="49" xfId="0" applyFont="1" applyFill="1" applyBorder="1" applyAlignment="1">
      <alignment horizontal="center" vertical="center" wrapText="1"/>
    </xf>
    <xf numFmtId="0" fontId="37" fillId="0" borderId="50" xfId="0" applyFont="1" applyFill="1" applyBorder="1" applyAlignment="1">
      <alignment horizontal="center" vertical="center" wrapText="1"/>
    </xf>
    <xf numFmtId="0" fontId="37" fillId="0" borderId="51" xfId="0" applyFont="1" applyFill="1" applyBorder="1" applyAlignment="1">
      <alignment horizontal="center" vertical="center" wrapText="1"/>
    </xf>
    <xf numFmtId="0" fontId="37" fillId="0" borderId="76" xfId="0" applyFont="1" applyFill="1" applyBorder="1" applyAlignment="1">
      <alignment horizontal="center" vertical="center" wrapText="1"/>
    </xf>
    <xf numFmtId="0" fontId="37" fillId="0" borderId="29" xfId="0" applyFont="1" applyFill="1" applyBorder="1" applyAlignment="1">
      <alignment horizontal="center" vertical="center" wrapText="1"/>
    </xf>
    <xf numFmtId="0" fontId="37" fillId="0" borderId="67" xfId="0" applyFont="1" applyFill="1" applyBorder="1" applyAlignment="1">
      <alignment horizontal="center" vertical="center" wrapText="1"/>
    </xf>
    <xf numFmtId="0" fontId="13" fillId="0" borderId="54" xfId="0" quotePrefix="1" applyFont="1" applyBorder="1" applyAlignment="1">
      <alignment horizontal="center"/>
    </xf>
    <xf numFmtId="0" fontId="13" fillId="0" borderId="30" xfId="0" quotePrefix="1" applyFont="1" applyBorder="1" applyAlignment="1">
      <alignment horizontal="center"/>
    </xf>
    <xf numFmtId="0" fontId="10" fillId="0" borderId="52"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1" fillId="0" borderId="20" xfId="0" applyFont="1" applyBorder="1" applyAlignment="1">
      <alignment horizontal="center" vertical="center" wrapText="1"/>
    </xf>
    <xf numFmtId="2" fontId="47" fillId="2" borderId="28" xfId="0" applyNumberFormat="1" applyFont="1" applyFill="1" applyBorder="1" applyAlignment="1" applyProtection="1">
      <alignment horizontal="left" vertical="center" wrapText="1"/>
      <protection locked="0"/>
    </xf>
    <xf numFmtId="0" fontId="11" fillId="0" borderId="29" xfId="0" applyFont="1" applyBorder="1" applyAlignment="1">
      <alignment horizontal="center" wrapText="1"/>
    </xf>
    <xf numFmtId="0" fontId="11" fillId="0" borderId="28" xfId="0" applyFont="1" applyBorder="1" applyAlignment="1">
      <alignment horizontal="center" wrapText="1"/>
    </xf>
    <xf numFmtId="2" fontId="10" fillId="0" borderId="74" xfId="0" applyNumberFormat="1" applyFont="1" applyFill="1" applyBorder="1" applyAlignment="1">
      <alignment horizontal="left" vertical="center" wrapText="1"/>
    </xf>
    <xf numFmtId="2" fontId="10" fillId="0" borderId="19" xfId="0" applyNumberFormat="1" applyFont="1" applyFill="1" applyBorder="1" applyAlignment="1">
      <alignment horizontal="left" vertical="center" wrapText="1"/>
    </xf>
    <xf numFmtId="2" fontId="10" fillId="0" borderId="22" xfId="0" applyNumberFormat="1" applyFont="1" applyFill="1" applyBorder="1" applyAlignment="1">
      <alignment horizontal="left" vertical="center" wrapText="1"/>
    </xf>
    <xf numFmtId="2" fontId="10" fillId="0" borderId="66" xfId="0" applyNumberFormat="1" applyFont="1" applyFill="1" applyBorder="1" applyAlignment="1">
      <alignment horizontal="left" vertical="center" wrapText="1"/>
    </xf>
    <xf numFmtId="2" fontId="10" fillId="0" borderId="17" xfId="0" applyNumberFormat="1" applyFont="1" applyFill="1" applyBorder="1" applyAlignment="1">
      <alignment horizontal="left" vertical="center" wrapText="1"/>
    </xf>
    <xf numFmtId="2" fontId="10" fillId="0" borderId="23" xfId="0" applyNumberFormat="1" applyFont="1" applyFill="1" applyBorder="1" applyAlignment="1">
      <alignment horizontal="left" vertical="center" wrapText="1"/>
    </xf>
    <xf numFmtId="2" fontId="10" fillId="0" borderId="47" xfId="0" applyNumberFormat="1" applyFont="1" applyFill="1" applyBorder="1" applyAlignment="1">
      <alignment horizontal="left" vertical="center" wrapText="1"/>
    </xf>
    <xf numFmtId="2" fontId="10" fillId="0" borderId="0" xfId="0" applyNumberFormat="1" applyFont="1" applyFill="1" applyBorder="1" applyAlignment="1">
      <alignment horizontal="left" vertical="center" wrapText="1"/>
    </xf>
    <xf numFmtId="2" fontId="10" fillId="0" borderId="14" xfId="0" applyNumberFormat="1" applyFont="1" applyFill="1" applyBorder="1" applyAlignment="1">
      <alignment horizontal="left" vertical="center" wrapText="1"/>
    </xf>
    <xf numFmtId="0" fontId="11" fillId="0" borderId="18" xfId="0" applyFont="1" applyBorder="1" applyAlignment="1">
      <alignment horizontal="left" vertical="top" wrapText="1"/>
    </xf>
    <xf numFmtId="0" fontId="11" fillId="0" borderId="19" xfId="0" applyFont="1" applyBorder="1" applyAlignment="1">
      <alignment horizontal="left" vertical="top" wrapText="1"/>
    </xf>
    <xf numFmtId="0" fontId="11" fillId="0" borderId="22" xfId="0" applyFont="1" applyBorder="1" applyAlignment="1">
      <alignment horizontal="left" vertical="top" wrapText="1"/>
    </xf>
    <xf numFmtId="0" fontId="121" fillId="26" borderId="18" xfId="0" applyFont="1" applyFill="1" applyBorder="1" applyAlignment="1">
      <alignment horizontal="center" vertical="top" wrapText="1"/>
    </xf>
    <xf numFmtId="0" fontId="121" fillId="26" borderId="19" xfId="0" applyFont="1" applyFill="1" applyBorder="1" applyAlignment="1">
      <alignment horizontal="center" vertical="top" wrapText="1"/>
    </xf>
    <xf numFmtId="0" fontId="121" fillId="26" borderId="22" xfId="0" applyFont="1" applyFill="1" applyBorder="1" applyAlignment="1">
      <alignment horizontal="center" vertical="top" wrapText="1"/>
    </xf>
    <xf numFmtId="0" fontId="14" fillId="0" borderId="18" xfId="20" applyFont="1" applyBorder="1" applyAlignment="1" applyProtection="1">
      <alignment horizontal="center" vertical="center" wrapText="1"/>
      <protection hidden="1"/>
    </xf>
    <xf numFmtId="0" fontId="14" fillId="0" borderId="22" xfId="0" applyFont="1" applyBorder="1" applyAlignment="1" applyProtection="1">
      <alignment horizontal="center" vertical="center"/>
      <protection hidden="1"/>
    </xf>
    <xf numFmtId="0" fontId="11" fillId="0" borderId="29"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24" xfId="0" applyFont="1" applyBorder="1" applyAlignment="1">
      <alignment horizontal="center" vertical="center" wrapText="1"/>
    </xf>
    <xf numFmtId="0" fontId="47" fillId="0" borderId="20" xfId="0" applyFont="1" applyBorder="1" applyAlignment="1">
      <alignment horizontal="left" vertical="center"/>
    </xf>
    <xf numFmtId="0" fontId="47" fillId="0" borderId="11" xfId="0" applyFont="1" applyBorder="1" applyAlignment="1">
      <alignment horizontal="left" vertical="center"/>
    </xf>
    <xf numFmtId="0" fontId="47" fillId="0" borderId="24" xfId="0" applyFont="1" applyBorder="1" applyAlignment="1">
      <alignment horizontal="left" vertical="center"/>
    </xf>
    <xf numFmtId="0" fontId="47" fillId="0" borderId="13" xfId="0" applyFont="1" applyBorder="1" applyAlignment="1">
      <alignment horizontal="left" vertical="center"/>
    </xf>
    <xf numFmtId="0" fontId="47" fillId="0" borderId="0" xfId="0" applyFont="1" applyBorder="1" applyAlignment="1">
      <alignment horizontal="left" vertical="center"/>
    </xf>
    <xf numFmtId="0" fontId="47" fillId="0" borderId="14" xfId="0" applyFont="1" applyBorder="1" applyAlignment="1">
      <alignment horizontal="left" vertical="center"/>
    </xf>
    <xf numFmtId="0" fontId="47" fillId="0" borderId="25" xfId="0" applyFont="1" applyBorder="1" applyAlignment="1">
      <alignment horizontal="left" vertical="center"/>
    </xf>
    <xf numFmtId="0" fontId="47" fillId="0" borderId="9" xfId="0" applyFont="1" applyBorder="1" applyAlignment="1">
      <alignment horizontal="left" vertical="center"/>
    </xf>
    <xf numFmtId="0" fontId="47" fillId="0" borderId="15" xfId="0" applyFont="1" applyBorder="1" applyAlignment="1">
      <alignment horizontal="left" vertical="center"/>
    </xf>
    <xf numFmtId="0" fontId="111" fillId="0" borderId="13" xfId="20" applyFont="1" applyBorder="1" applyAlignment="1" applyProtection="1">
      <alignment horizontal="center" vertical="center" wrapText="1"/>
      <protection locked="0" hidden="1"/>
    </xf>
    <xf numFmtId="0" fontId="111" fillId="0" borderId="14" xfId="20" applyFont="1" applyBorder="1" applyAlignment="1" applyProtection="1">
      <alignment horizontal="center" vertical="center" wrapText="1"/>
      <protection locked="0" hidden="1"/>
    </xf>
    <xf numFmtId="0" fontId="45" fillId="0" borderId="22" xfId="0" applyFont="1" applyBorder="1" applyAlignment="1">
      <alignment horizontal="left" vertical="top" wrapText="1"/>
    </xf>
    <xf numFmtId="0" fontId="45" fillId="0" borderId="26" xfId="0" applyFont="1" applyBorder="1" applyAlignment="1">
      <alignment horizontal="left" vertical="top" wrapText="1"/>
    </xf>
    <xf numFmtId="0" fontId="45" fillId="0" borderId="29" xfId="0" applyFont="1" applyBorder="1" applyAlignment="1">
      <alignment horizontal="left" vertical="top" wrapText="1"/>
    </xf>
    <xf numFmtId="0" fontId="45" fillId="0" borderId="30" xfId="0" applyFont="1" applyBorder="1" applyAlignment="1">
      <alignment horizontal="left" vertical="center"/>
    </xf>
    <xf numFmtId="0" fontId="13" fillId="0" borderId="30" xfId="0" applyFont="1" applyBorder="1" applyAlignment="1">
      <alignment horizontal="center" vertical="center"/>
    </xf>
    <xf numFmtId="0" fontId="11" fillId="0" borderId="27" xfId="21" applyFont="1" applyBorder="1" applyAlignment="1">
      <alignment horizontal="center" vertical="center" wrapText="1"/>
    </xf>
    <xf numFmtId="0" fontId="11" fillId="0" borderId="28" xfId="21" applyFont="1" applyBorder="1" applyAlignment="1">
      <alignment horizontal="center" vertical="center" wrapText="1"/>
    </xf>
    <xf numFmtId="0" fontId="47" fillId="0" borderId="20" xfId="21" applyFont="1" applyFill="1" applyBorder="1" applyAlignment="1" applyProtection="1">
      <alignment horizontal="left" vertical="center"/>
    </xf>
    <xf numFmtId="0" fontId="47" fillId="0" borderId="11" xfId="21" applyFont="1" applyFill="1" applyBorder="1" applyAlignment="1" applyProtection="1">
      <alignment horizontal="left" vertical="center"/>
    </xf>
    <xf numFmtId="0" fontId="47" fillId="0" borderId="24" xfId="21" applyFont="1" applyFill="1" applyBorder="1" applyAlignment="1" applyProtection="1">
      <alignment horizontal="left" vertical="center"/>
    </xf>
    <xf numFmtId="0" fontId="47" fillId="0" borderId="25" xfId="21" applyFont="1" applyFill="1" applyBorder="1" applyAlignment="1" applyProtection="1">
      <alignment horizontal="left" vertical="top"/>
    </xf>
    <xf numFmtId="0" fontId="47" fillId="0" borderId="9" xfId="21" applyFont="1" applyFill="1" applyBorder="1" applyAlignment="1" applyProtection="1">
      <alignment horizontal="left" vertical="top"/>
    </xf>
    <xf numFmtId="0" fontId="47" fillId="0" borderId="15" xfId="21" applyFont="1" applyFill="1" applyBorder="1" applyAlignment="1" applyProtection="1">
      <alignment horizontal="left" vertical="top"/>
    </xf>
    <xf numFmtId="0" fontId="11" fillId="0" borderId="13" xfId="21" applyFont="1" applyBorder="1" applyAlignment="1">
      <alignment horizontal="center" vertical="center" wrapText="1"/>
    </xf>
    <xf numFmtId="0" fontId="11" fillId="0" borderId="14" xfId="21" applyFont="1" applyBorder="1" applyAlignment="1">
      <alignment horizontal="center" vertical="center" wrapText="1"/>
    </xf>
    <xf numFmtId="182" fontId="47" fillId="0" borderId="26" xfId="21" applyNumberFormat="1" applyFont="1" applyFill="1" applyBorder="1" applyAlignment="1" applyProtection="1">
      <alignment horizontal="left" vertical="center" wrapText="1"/>
    </xf>
    <xf numFmtId="0" fontId="47" fillId="0" borderId="13" xfId="21" applyFont="1" applyFill="1" applyBorder="1" applyAlignment="1" applyProtection="1">
      <alignment horizontal="left" vertical="top"/>
    </xf>
    <xf numFmtId="0" fontId="47" fillId="0" borderId="0" xfId="21" applyFont="1" applyFill="1" applyBorder="1" applyAlignment="1" applyProtection="1">
      <alignment horizontal="left" vertical="top"/>
    </xf>
    <xf numFmtId="0" fontId="47" fillId="0" borderId="14" xfId="21" applyFont="1" applyFill="1" applyBorder="1" applyAlignment="1" applyProtection="1">
      <alignment horizontal="left" vertical="top"/>
    </xf>
    <xf numFmtId="0" fontId="13" fillId="0" borderId="29" xfId="22" applyFont="1" applyBorder="1" applyAlignment="1">
      <alignment horizontal="center" vertical="center"/>
    </xf>
    <xf numFmtId="0" fontId="13" fillId="0" borderId="20" xfId="22" applyFont="1" applyBorder="1" applyAlignment="1">
      <alignment horizontal="center" vertical="center"/>
    </xf>
    <xf numFmtId="0" fontId="13" fillId="0" borderId="11" xfId="22" applyFont="1" applyBorder="1" applyAlignment="1">
      <alignment horizontal="center" vertical="center"/>
    </xf>
    <xf numFmtId="0" fontId="82" fillId="0" borderId="7" xfId="22" applyFont="1" applyBorder="1" applyAlignment="1">
      <alignment horizontal="center" vertical="center"/>
    </xf>
    <xf numFmtId="0" fontId="82" fillId="0" borderId="8" xfId="22" applyFont="1" applyBorder="1" applyAlignment="1">
      <alignment horizontal="center" vertical="center"/>
    </xf>
    <xf numFmtId="0" fontId="82" fillId="0" borderId="35" xfId="22" applyFont="1" applyBorder="1" applyAlignment="1">
      <alignment horizontal="center" vertical="center"/>
    </xf>
    <xf numFmtId="0" fontId="45" fillId="2" borderId="13" xfId="21" applyFont="1" applyFill="1" applyBorder="1" applyAlignment="1" applyProtection="1">
      <alignment horizontal="center" vertical="center" wrapText="1"/>
      <protection locked="0"/>
    </xf>
    <xf numFmtId="0" fontId="45" fillId="2" borderId="14" xfId="21" applyFont="1" applyFill="1" applyBorder="1" applyAlignment="1" applyProtection="1">
      <alignment horizontal="center" vertical="center" wrapText="1"/>
      <protection locked="0"/>
    </xf>
    <xf numFmtId="0" fontId="11" fillId="0" borderId="29" xfId="22" applyFont="1" applyBorder="1" applyAlignment="1">
      <alignment horizontal="center" wrapText="1"/>
    </xf>
    <xf numFmtId="0" fontId="11" fillId="0" borderId="28" xfId="22" applyFont="1" applyBorder="1" applyAlignment="1">
      <alignment horizontal="center" wrapText="1"/>
    </xf>
    <xf numFmtId="0" fontId="21" fillId="0" borderId="18" xfId="21" applyFont="1" applyBorder="1" applyAlignment="1">
      <alignment horizontal="left" vertical="top" wrapText="1"/>
    </xf>
    <xf numFmtId="0" fontId="21" fillId="0" borderId="22" xfId="21" applyFont="1" applyBorder="1" applyAlignment="1">
      <alignment horizontal="left" vertical="top" wrapText="1"/>
    </xf>
    <xf numFmtId="0" fontId="11" fillId="0" borderId="21" xfId="21" applyFont="1" applyBorder="1" applyAlignment="1">
      <alignment horizontal="center" vertical="center" wrapText="1"/>
    </xf>
    <xf numFmtId="0" fontId="11" fillId="0" borderId="23" xfId="21" applyFont="1" applyBorder="1" applyAlignment="1">
      <alignment horizontal="center" vertical="center" wrapText="1"/>
    </xf>
    <xf numFmtId="182" fontId="14" fillId="0" borderId="74" xfId="23" applyNumberFormat="1" applyFont="1" applyFill="1" applyBorder="1" applyAlignment="1" applyProtection="1">
      <alignment horizontal="left" vertical="center" wrapText="1"/>
    </xf>
    <xf numFmtId="182" fontId="14" fillId="0" borderId="19" xfId="23" applyNumberFormat="1" applyFont="1" applyFill="1" applyBorder="1" applyAlignment="1" applyProtection="1">
      <alignment horizontal="left" vertical="center" wrapText="1"/>
    </xf>
    <xf numFmtId="10" fontId="15" fillId="0" borderId="18" xfId="23" applyNumberFormat="1" applyFont="1" applyFill="1" applyBorder="1" applyAlignment="1">
      <alignment horizontal="center" vertical="center"/>
    </xf>
    <xf numFmtId="10" fontId="15" fillId="0" borderId="75" xfId="23" applyNumberFormat="1" applyFont="1" applyFill="1" applyBorder="1" applyAlignment="1">
      <alignment horizontal="center" vertical="center"/>
    </xf>
    <xf numFmtId="0" fontId="45" fillId="0" borderId="22" xfId="21" applyNumberFormat="1" applyFont="1" applyFill="1" applyBorder="1" applyAlignment="1" applyProtection="1">
      <alignment horizontal="left" vertical="top" wrapText="1"/>
    </xf>
    <xf numFmtId="0" fontId="45" fillId="0" borderId="26" xfId="21" applyNumberFormat="1" applyFont="1" applyFill="1" applyBorder="1" applyAlignment="1" applyProtection="1">
      <alignment horizontal="left" vertical="top" wrapText="1"/>
    </xf>
    <xf numFmtId="0" fontId="45" fillId="0" borderId="29" xfId="21" applyNumberFormat="1" applyFont="1" applyFill="1" applyBorder="1" applyAlignment="1" applyProtection="1">
      <alignment horizontal="left" vertical="top" wrapText="1"/>
    </xf>
    <xf numFmtId="0" fontId="45" fillId="0" borderId="26" xfId="21" applyFont="1" applyFill="1" applyBorder="1" applyAlignment="1" applyProtection="1">
      <alignment horizontal="center" vertical="center"/>
    </xf>
    <xf numFmtId="0" fontId="45" fillId="0" borderId="18" xfId="21" applyFont="1" applyFill="1" applyBorder="1" applyAlignment="1" applyProtection="1">
      <alignment horizontal="center" vertical="center"/>
    </xf>
    <xf numFmtId="0" fontId="11" fillId="0" borderId="18" xfId="21" applyFont="1" applyFill="1" applyBorder="1" applyAlignment="1" applyProtection="1">
      <alignment horizontal="right" vertical="center"/>
    </xf>
    <xf numFmtId="0" fontId="11" fillId="0" borderId="19" xfId="21" applyFont="1" applyFill="1" applyBorder="1" applyAlignment="1" applyProtection="1">
      <alignment horizontal="right" vertical="center"/>
    </xf>
    <xf numFmtId="14" fontId="45" fillId="0" borderId="19" xfId="21" applyNumberFormat="1" applyFont="1" applyFill="1" applyBorder="1" applyAlignment="1" applyProtection="1">
      <alignment horizontal="center" vertical="center"/>
    </xf>
    <xf numFmtId="14" fontId="45" fillId="0" borderId="22" xfId="21" applyNumberFormat="1" applyFont="1" applyFill="1" applyBorder="1" applyAlignment="1" applyProtection="1">
      <alignment horizontal="center" vertical="center"/>
    </xf>
    <xf numFmtId="0" fontId="45" fillId="0" borderId="30" xfId="21" applyFont="1" applyFill="1" applyBorder="1" applyAlignment="1" applyProtection="1">
      <alignment horizontal="center" vertical="center"/>
    </xf>
    <xf numFmtId="0" fontId="13" fillId="0" borderId="40" xfId="21" applyFont="1" applyFill="1" applyBorder="1" applyAlignment="1" applyProtection="1">
      <alignment horizontal="center" vertical="center"/>
    </xf>
    <xf numFmtId="0" fontId="118" fillId="0" borderId="29" xfId="0" applyFont="1" applyBorder="1" applyAlignment="1">
      <alignment horizontal="center" vertical="center" wrapText="1"/>
    </xf>
    <xf numFmtId="0" fontId="118" fillId="0" borderId="27" xfId="0" applyFont="1" applyBorder="1" applyAlignment="1">
      <alignment horizontal="center" vertical="center" wrapText="1"/>
    </xf>
    <xf numFmtId="0" fontId="119" fillId="0" borderId="27" xfId="21" applyFont="1" applyBorder="1" applyAlignment="1">
      <alignment horizontal="center" wrapText="1"/>
    </xf>
    <xf numFmtId="0" fontId="119" fillId="0" borderId="28" xfId="21" applyFont="1" applyBorder="1" applyAlignment="1">
      <alignment horizontal="center" wrapText="1"/>
    </xf>
    <xf numFmtId="0" fontId="59" fillId="0" borderId="18" xfId="0" applyFont="1" applyBorder="1" applyAlignment="1">
      <alignment horizontal="left" vertical="top" wrapText="1"/>
    </xf>
    <xf numFmtId="0" fontId="59" fillId="0" borderId="19" xfId="0" applyFont="1" applyBorder="1" applyAlignment="1">
      <alignment horizontal="left" vertical="top" wrapText="1"/>
    </xf>
    <xf numFmtId="0" fontId="59" fillId="0" borderId="22" xfId="0" applyFont="1" applyBorder="1" applyAlignment="1">
      <alignment horizontal="left" vertical="top" wrapText="1"/>
    </xf>
    <xf numFmtId="0" fontId="121" fillId="26" borderId="37" xfId="0" applyFont="1" applyFill="1" applyBorder="1" applyAlignment="1" applyProtection="1">
      <alignment horizontal="center" vertical="top" wrapText="1"/>
      <protection locked="0"/>
    </xf>
    <xf numFmtId="0" fontId="121" fillId="26" borderId="38" xfId="0" applyFont="1" applyFill="1" applyBorder="1" applyAlignment="1" applyProtection="1">
      <alignment horizontal="center" vertical="top" wrapText="1"/>
      <protection locked="0"/>
    </xf>
    <xf numFmtId="0" fontId="121" fillId="26" borderId="39" xfId="0" applyFont="1" applyFill="1" applyBorder="1" applyAlignment="1" applyProtection="1">
      <alignment horizontal="center" vertical="top" wrapText="1"/>
      <protection locked="0"/>
    </xf>
    <xf numFmtId="0" fontId="54" fillId="0" borderId="18" xfId="20" applyFont="1" applyBorder="1" applyAlignment="1" applyProtection="1">
      <alignment horizontal="center" vertical="center" wrapText="1"/>
      <protection hidden="1"/>
    </xf>
    <xf numFmtId="0" fontId="54" fillId="0" borderId="22" xfId="0" applyFont="1" applyBorder="1" applyAlignment="1" applyProtection="1">
      <alignment horizontal="center" vertical="center"/>
      <protection hidden="1"/>
    </xf>
    <xf numFmtId="182" fontId="14" fillId="0" borderId="41" xfId="23" applyNumberFormat="1" applyFont="1" applyFill="1" applyBorder="1" applyAlignment="1" applyProtection="1">
      <alignment horizontal="left" vertical="center" wrapText="1"/>
    </xf>
    <xf numFmtId="182" fontId="14" fillId="0" borderId="43" xfId="23" applyNumberFormat="1" applyFont="1" applyFill="1" applyBorder="1" applyAlignment="1" applyProtection="1">
      <alignment horizontal="left" vertical="center" wrapText="1"/>
    </xf>
    <xf numFmtId="10" fontId="15" fillId="0" borderId="31" xfId="23" applyNumberFormat="1" applyFont="1" applyFill="1" applyBorder="1" applyAlignment="1">
      <alignment horizontal="center" vertical="center"/>
    </xf>
    <xf numFmtId="10" fontId="15" fillId="0" borderId="42" xfId="23" applyNumberFormat="1" applyFont="1" applyFill="1" applyBorder="1" applyAlignment="1">
      <alignment horizontal="center" vertical="center"/>
    </xf>
    <xf numFmtId="0" fontId="110" fillId="0" borderId="47" xfId="20" applyFont="1" applyFill="1" applyBorder="1" applyAlignment="1" applyProtection="1">
      <alignment horizontal="center" vertical="center"/>
      <protection locked="0" hidden="1"/>
    </xf>
    <xf numFmtId="0" fontId="110" fillId="0" borderId="0" xfId="20" applyFont="1" applyFill="1" applyBorder="1" applyAlignment="1" applyProtection="1">
      <alignment horizontal="center" vertical="center"/>
      <protection locked="0" hidden="1"/>
    </xf>
    <xf numFmtId="0" fontId="110" fillId="0" borderId="3" xfId="20" applyFont="1" applyFill="1" applyBorder="1" applyAlignment="1" applyProtection="1">
      <alignment horizontal="center" vertical="center"/>
      <protection locked="0" hidden="1"/>
    </xf>
    <xf numFmtId="0" fontId="13" fillId="0" borderId="74" xfId="22" applyFont="1" applyFill="1" applyBorder="1" applyAlignment="1">
      <alignment horizontal="center" vertical="center"/>
    </xf>
    <xf numFmtId="0" fontId="13" fillId="0" borderId="19" xfId="22" applyFont="1" applyFill="1" applyBorder="1" applyAlignment="1">
      <alignment horizontal="center" vertical="center"/>
    </xf>
    <xf numFmtId="0" fontId="13" fillId="0" borderId="75" xfId="22" applyFont="1" applyFill="1" applyBorder="1" applyAlignment="1">
      <alignment horizontal="center" vertical="center"/>
    </xf>
    <xf numFmtId="0" fontId="13" fillId="0" borderId="10" xfId="22" applyFont="1" applyFill="1" applyBorder="1" applyAlignment="1">
      <alignment horizontal="center" vertical="center"/>
    </xf>
    <xf numFmtId="0" fontId="13" fillId="0" borderId="9" xfId="22" applyFont="1" applyFill="1" applyBorder="1" applyAlignment="1">
      <alignment horizontal="center" vertical="center"/>
    </xf>
    <xf numFmtId="0" fontId="13" fillId="0" borderId="4" xfId="22" applyFont="1" applyFill="1" applyBorder="1" applyAlignment="1">
      <alignment horizontal="center" vertical="center"/>
    </xf>
    <xf numFmtId="0" fontId="82" fillId="0" borderId="44" xfId="22" applyFont="1" applyBorder="1" applyAlignment="1">
      <alignment horizontal="center" vertical="center"/>
    </xf>
    <xf numFmtId="0" fontId="82" fillId="0" borderId="5" xfId="22" applyFont="1" applyBorder="1" applyAlignment="1">
      <alignment horizontal="center" vertical="center"/>
    </xf>
    <xf numFmtId="0" fontId="82" fillId="0" borderId="6" xfId="22" applyFont="1" applyBorder="1" applyAlignment="1">
      <alignment horizontal="center" vertical="center"/>
    </xf>
    <xf numFmtId="0" fontId="10" fillId="0" borderId="44" xfId="21" applyFont="1" applyFill="1" applyBorder="1" applyAlignment="1">
      <alignment horizontal="center" vertical="center" wrapText="1"/>
    </xf>
    <xf numFmtId="0" fontId="10" fillId="0" borderId="5" xfId="21" applyFont="1" applyFill="1" applyBorder="1" applyAlignment="1">
      <alignment horizontal="center" vertical="center" wrapText="1"/>
    </xf>
    <xf numFmtId="0" fontId="10" fillId="0" borderId="6" xfId="21" applyFont="1" applyFill="1" applyBorder="1" applyAlignment="1">
      <alignment horizontal="center" vertical="center" wrapText="1"/>
    </xf>
    <xf numFmtId="0" fontId="10" fillId="0" borderId="47" xfId="21" applyFont="1" applyFill="1" applyBorder="1" applyAlignment="1">
      <alignment horizontal="center" vertical="center" wrapText="1"/>
    </xf>
    <xf numFmtId="0" fontId="10" fillId="0" borderId="0" xfId="21" applyFont="1" applyFill="1" applyBorder="1" applyAlignment="1">
      <alignment horizontal="center" vertical="center" wrapText="1"/>
    </xf>
    <xf numFmtId="0" fontId="10" fillId="0" borderId="3" xfId="21" applyFont="1" applyFill="1" applyBorder="1" applyAlignment="1">
      <alignment horizontal="center" vertical="center" wrapText="1"/>
    </xf>
    <xf numFmtId="0" fontId="19" fillId="0" borderId="13" xfId="21" applyFont="1" applyBorder="1" applyAlignment="1">
      <alignment horizontal="center" vertical="center" wrapText="1"/>
    </xf>
    <xf numFmtId="0" fontId="19" fillId="0" borderId="14" xfId="21" applyFont="1" applyBorder="1" applyAlignment="1">
      <alignment horizontal="center" vertical="center" wrapText="1"/>
    </xf>
    <xf numFmtId="0" fontId="45" fillId="2" borderId="0" xfId="21" applyFont="1" applyFill="1" applyBorder="1" applyAlignment="1" applyProtection="1">
      <alignment horizontal="center" vertical="center" wrapText="1"/>
      <protection locked="0"/>
    </xf>
    <xf numFmtId="0" fontId="11" fillId="0" borderId="18" xfId="0" applyFont="1" applyBorder="1" applyAlignment="1" applyProtection="1">
      <alignment horizontal="center" vertical="center" wrapText="1"/>
    </xf>
    <xf numFmtId="0" fontId="11" fillId="0" borderId="19" xfId="0" applyFont="1" applyBorder="1" applyAlignment="1" applyProtection="1">
      <alignment horizontal="center" vertical="center"/>
    </xf>
    <xf numFmtId="0" fontId="11" fillId="0" borderId="22" xfId="0" applyFont="1" applyBorder="1" applyAlignment="1" applyProtection="1">
      <alignment horizontal="center" vertical="center"/>
    </xf>
    <xf numFmtId="0" fontId="122" fillId="26" borderId="19" xfId="0" applyFont="1" applyFill="1" applyBorder="1" applyAlignment="1" applyProtection="1">
      <alignment horizontal="center" vertical="top" wrapText="1"/>
      <protection locked="0"/>
    </xf>
    <xf numFmtId="0" fontId="13" fillId="0" borderId="19" xfId="0" applyFont="1" applyBorder="1" applyAlignment="1">
      <alignment vertical="top" wrapText="1"/>
    </xf>
    <xf numFmtId="0" fontId="13" fillId="0" borderId="22" xfId="0" applyFont="1" applyBorder="1" applyAlignment="1">
      <alignment vertical="top" wrapText="1"/>
    </xf>
    <xf numFmtId="167" fontId="46" fillId="0" borderId="25" xfId="0" applyNumberFormat="1" applyFont="1" applyBorder="1" applyAlignment="1">
      <alignment horizontal="center" vertical="center"/>
    </xf>
    <xf numFmtId="167" fontId="46" fillId="0" borderId="15" xfId="0" applyNumberFormat="1" applyFont="1" applyBorder="1" applyAlignment="1">
      <alignment horizontal="center" vertical="center"/>
    </xf>
    <xf numFmtId="0" fontId="15" fillId="2" borderId="33" xfId="0" applyFont="1" applyFill="1" applyBorder="1" applyAlignment="1">
      <alignment horizontal="left" vertical="center"/>
    </xf>
    <xf numFmtId="0" fontId="15" fillId="2" borderId="8" xfId="0" applyFont="1" applyFill="1" applyBorder="1" applyAlignment="1">
      <alignment horizontal="left" vertical="center"/>
    </xf>
    <xf numFmtId="0" fontId="15" fillId="2" borderId="35" xfId="0" applyFont="1" applyFill="1" applyBorder="1" applyAlignment="1">
      <alignment horizontal="left" vertical="center"/>
    </xf>
    <xf numFmtId="0" fontId="45" fillId="0" borderId="13" xfId="0" applyNumberFormat="1" applyFont="1" applyBorder="1" applyAlignment="1">
      <alignment horizontal="left" vertical="center"/>
    </xf>
    <xf numFmtId="0" fontId="45" fillId="0" borderId="0" xfId="0" applyNumberFormat="1" applyFont="1" applyBorder="1" applyAlignment="1">
      <alignment horizontal="left" vertical="center"/>
    </xf>
    <xf numFmtId="0" fontId="45" fillId="0" borderId="14" xfId="0" applyNumberFormat="1" applyFont="1" applyBorder="1" applyAlignment="1">
      <alignment horizontal="left" vertical="center"/>
    </xf>
    <xf numFmtId="167" fontId="45" fillId="0" borderId="25" xfId="0" applyNumberFormat="1" applyFont="1" applyBorder="1" applyAlignment="1">
      <alignment horizontal="center" vertical="center"/>
    </xf>
    <xf numFmtId="167" fontId="45" fillId="0" borderId="9" xfId="0" applyNumberFormat="1" applyFont="1" applyBorder="1" applyAlignment="1">
      <alignment horizontal="center" vertical="center"/>
    </xf>
    <xf numFmtId="10" fontId="45" fillId="0" borderId="18" xfId="0" applyNumberFormat="1" applyFont="1" applyBorder="1" applyAlignment="1">
      <alignment horizontal="center" vertical="center"/>
    </xf>
    <xf numFmtId="10" fontId="45" fillId="0" borderId="22" xfId="0" applyNumberFormat="1" applyFont="1" applyBorder="1" applyAlignment="1">
      <alignment horizontal="center" vertical="center"/>
    </xf>
    <xf numFmtId="0" fontId="22" fillId="0" borderId="33" xfId="0" applyFont="1" applyBorder="1" applyAlignment="1">
      <alignment horizontal="center" vertical="center"/>
    </xf>
    <xf numFmtId="0" fontId="22" fillId="0" borderId="8" xfId="0" applyFont="1" applyBorder="1" applyAlignment="1">
      <alignment horizontal="center" vertical="center"/>
    </xf>
    <xf numFmtId="0" fontId="11" fillId="0" borderId="13" xfId="0" applyFont="1" applyBorder="1" applyAlignment="1">
      <alignment horizontal="left" vertical="center"/>
    </xf>
    <xf numFmtId="0" fontId="11" fillId="0" borderId="0" xfId="0" applyFont="1" applyBorder="1" applyAlignment="1">
      <alignment horizontal="left" vertical="center"/>
    </xf>
    <xf numFmtId="0" fontId="11" fillId="0" borderId="25" xfId="0" applyFont="1" applyBorder="1" applyAlignment="1">
      <alignment horizontal="left" vertical="center"/>
    </xf>
    <xf numFmtId="0" fontId="11" fillId="0" borderId="9" xfId="0" applyFont="1" applyBorder="1" applyAlignment="1">
      <alignment horizontal="left" vertical="center"/>
    </xf>
    <xf numFmtId="0" fontId="22" fillId="0" borderId="0" xfId="0" applyFont="1" applyBorder="1" applyAlignment="1">
      <alignment horizontal="left" vertical="center"/>
    </xf>
    <xf numFmtId="0" fontId="22" fillId="0" borderId="14" xfId="0" applyFont="1" applyBorder="1" applyAlignment="1">
      <alignment horizontal="left" vertical="center"/>
    </xf>
    <xf numFmtId="0" fontId="22" fillId="0" borderId="9" xfId="0" applyFont="1" applyBorder="1" applyAlignment="1">
      <alignment horizontal="left" vertical="center"/>
    </xf>
    <xf numFmtId="0" fontId="22" fillId="0" borderId="15" xfId="0" applyFont="1" applyBorder="1" applyAlignment="1">
      <alignment horizontal="left" vertical="center"/>
    </xf>
    <xf numFmtId="0" fontId="11" fillId="0" borderId="13" xfId="0" applyFont="1" applyFill="1" applyBorder="1" applyAlignment="1">
      <alignment horizontal="left" vertical="center"/>
    </xf>
    <xf numFmtId="0" fontId="11" fillId="0" borderId="0" xfId="0" applyFont="1" applyFill="1" applyBorder="1" applyAlignment="1">
      <alignment horizontal="left" vertical="center"/>
    </xf>
    <xf numFmtId="0" fontId="11" fillId="0" borderId="14" xfId="0" applyFont="1" applyFill="1" applyBorder="1" applyAlignment="1">
      <alignment horizontal="left" vertical="center"/>
    </xf>
    <xf numFmtId="0" fontId="11" fillId="0" borderId="25" xfId="0" applyFont="1" applyFill="1" applyBorder="1" applyAlignment="1">
      <alignment horizontal="left" vertical="center"/>
    </xf>
    <xf numFmtId="0" fontId="11" fillId="0" borderId="9" xfId="0" applyFont="1" applyFill="1" applyBorder="1" applyAlignment="1">
      <alignment horizontal="left" vertical="center"/>
    </xf>
    <xf numFmtId="0" fontId="11" fillId="0" borderId="15"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17" xfId="0" applyFont="1" applyFill="1" applyBorder="1" applyAlignment="1">
      <alignment horizontal="left" vertical="center"/>
    </xf>
    <xf numFmtId="0" fontId="14" fillId="0" borderId="13" xfId="0" applyFont="1" applyBorder="1" applyAlignment="1">
      <alignment horizontal="left" vertical="center"/>
    </xf>
    <xf numFmtId="0" fontId="14" fillId="0" borderId="0" xfId="0" applyFont="1" applyBorder="1" applyAlignment="1">
      <alignment horizontal="left" vertical="center"/>
    </xf>
    <xf numFmtId="0" fontId="22" fillId="0" borderId="35" xfId="0" applyFont="1" applyBorder="1" applyAlignment="1">
      <alignment horizontal="center" vertical="center"/>
    </xf>
    <xf numFmtId="0" fontId="21" fillId="0" borderId="17" xfId="0" applyFont="1" applyBorder="1" applyAlignment="1">
      <alignment horizontal="left" vertical="center"/>
    </xf>
    <xf numFmtId="0" fontId="21" fillId="0" borderId="23" xfId="0" applyFont="1" applyBorder="1" applyAlignment="1">
      <alignment horizontal="left" vertical="center"/>
    </xf>
    <xf numFmtId="0" fontId="11" fillId="0" borderId="21" xfId="0" applyFont="1" applyBorder="1" applyAlignment="1">
      <alignment horizontal="left" vertical="center"/>
    </xf>
    <xf numFmtId="0" fontId="11" fillId="0" borderId="17" xfId="0" applyFont="1" applyBorder="1" applyAlignment="1">
      <alignment horizontal="left" vertical="center"/>
    </xf>
    <xf numFmtId="0" fontId="10" fillId="0" borderId="20" xfId="0" applyFont="1" applyBorder="1" applyAlignment="1">
      <alignment horizontal="center" vertical="center"/>
    </xf>
    <xf numFmtId="0" fontId="10" fillId="0" borderId="13" xfId="0" applyFont="1" applyBorder="1" applyAlignment="1">
      <alignment horizontal="center" vertical="center"/>
    </xf>
    <xf numFmtId="0" fontId="14" fillId="0" borderId="11" xfId="0" applyFont="1" applyBorder="1" applyAlignment="1">
      <alignment horizontal="left" vertical="center"/>
    </xf>
    <xf numFmtId="0" fontId="14" fillId="0" borderId="24" xfId="0" applyFont="1" applyBorder="1" applyAlignment="1">
      <alignment horizontal="left" vertical="center"/>
    </xf>
    <xf numFmtId="0" fontId="45" fillId="0" borderId="13" xfId="0" applyFont="1" applyBorder="1" applyAlignment="1">
      <alignment horizontal="left" vertical="center"/>
    </xf>
    <xf numFmtId="0" fontId="45" fillId="0" borderId="0" xfId="0" applyFont="1" applyBorder="1" applyAlignment="1">
      <alignment horizontal="left" vertical="center"/>
    </xf>
    <xf numFmtId="0" fontId="45" fillId="0" borderId="14" xfId="0" applyFont="1" applyBorder="1" applyAlignment="1">
      <alignment horizontal="left" vertical="center"/>
    </xf>
    <xf numFmtId="0" fontId="45" fillId="0" borderId="25" xfId="0" applyFont="1" applyBorder="1" applyAlignment="1">
      <alignment horizontal="left" vertical="center"/>
    </xf>
    <xf numFmtId="0" fontId="45" fillId="0" borderId="9" xfId="0" applyFont="1" applyBorder="1" applyAlignment="1">
      <alignment horizontal="left" vertical="center"/>
    </xf>
    <xf numFmtId="0" fontId="45" fillId="0" borderId="15" xfId="0" applyFont="1" applyBorder="1" applyAlignment="1">
      <alignment horizontal="left" vertical="center"/>
    </xf>
    <xf numFmtId="167" fontId="45" fillId="0" borderId="13" xfId="0" applyNumberFormat="1" applyFont="1" applyBorder="1" applyAlignment="1">
      <alignment horizontal="center" vertical="center"/>
    </xf>
    <xf numFmtId="167" fontId="45" fillId="0" borderId="0" xfId="0" applyNumberFormat="1" applyFont="1" applyBorder="1" applyAlignment="1">
      <alignment horizontal="center" vertical="center"/>
    </xf>
    <xf numFmtId="167" fontId="45" fillId="0" borderId="14" xfId="0" applyNumberFormat="1" applyFont="1" applyBorder="1" applyAlignment="1">
      <alignment horizontal="center" vertical="center"/>
    </xf>
    <xf numFmtId="0" fontId="11" fillId="0" borderId="14" xfId="0" applyFont="1" applyBorder="1" applyAlignment="1">
      <alignment horizontal="left" vertical="center"/>
    </xf>
    <xf numFmtId="0" fontId="11" fillId="0" borderId="31" xfId="0" applyFont="1" applyBorder="1" applyAlignment="1">
      <alignment horizontal="right" vertical="center"/>
    </xf>
    <xf numFmtId="0" fontId="11" fillId="0" borderId="43" xfId="0" applyFont="1" applyBorder="1" applyAlignment="1">
      <alignment horizontal="right" vertical="center"/>
    </xf>
    <xf numFmtId="0" fontId="45" fillId="0" borderId="20" xfId="0" applyFont="1" applyBorder="1" applyAlignment="1">
      <alignment horizontal="left" vertical="center"/>
    </xf>
    <xf numFmtId="0" fontId="45" fillId="0" borderId="11" xfId="0" applyFont="1" applyBorder="1" applyAlignment="1">
      <alignment horizontal="left" vertical="center"/>
    </xf>
    <xf numFmtId="0" fontId="45" fillId="0" borderId="24" xfId="0" applyFont="1" applyBorder="1" applyAlignment="1">
      <alignment horizontal="left" vertical="center"/>
    </xf>
    <xf numFmtId="0" fontId="11" fillId="0" borderId="21" xfId="0" applyFont="1" applyBorder="1" applyAlignment="1">
      <alignment horizontal="center" vertical="center"/>
    </xf>
    <xf numFmtId="0" fontId="11" fillId="0" borderId="23" xfId="0" applyFont="1" applyBorder="1" applyAlignment="1">
      <alignment horizontal="center" vertical="center"/>
    </xf>
    <xf numFmtId="0" fontId="45" fillId="0" borderId="0" xfId="0" applyFont="1" applyBorder="1" applyAlignment="1">
      <alignment horizontal="center" vertical="center"/>
    </xf>
    <xf numFmtId="0" fontId="45" fillId="0" borderId="14" xfId="0" applyFont="1" applyBorder="1" applyAlignment="1">
      <alignment horizontal="center" vertical="center"/>
    </xf>
    <xf numFmtId="0" fontId="22" fillId="0" borderId="9" xfId="0" applyFont="1" applyBorder="1" applyAlignment="1">
      <alignment horizontal="center" vertical="center"/>
    </xf>
    <xf numFmtId="0" fontId="22" fillId="0" borderId="15" xfId="0" applyFont="1" applyBorder="1" applyAlignment="1">
      <alignment horizontal="center" vertical="center"/>
    </xf>
    <xf numFmtId="0" fontId="11" fillId="0" borderId="20" xfId="0" applyFont="1" applyBorder="1" applyAlignment="1">
      <alignment horizontal="left" vertical="top" wrapText="1"/>
    </xf>
    <xf numFmtId="0" fontId="11" fillId="0" borderId="11" xfId="0" applyFont="1" applyBorder="1" applyAlignment="1">
      <alignment horizontal="left" vertical="top" wrapText="1"/>
    </xf>
    <xf numFmtId="0" fontId="11" fillId="0" borderId="21" xfId="0" applyFont="1" applyBorder="1" applyAlignment="1">
      <alignment horizontal="left" vertical="top" wrapText="1"/>
    </xf>
    <xf numFmtId="0" fontId="11" fillId="0" borderId="17" xfId="0" applyFont="1" applyBorder="1" applyAlignment="1">
      <alignment horizontal="left" vertical="top" wrapText="1"/>
    </xf>
    <xf numFmtId="0" fontId="45" fillId="0" borderId="0" xfId="0" applyFont="1" applyBorder="1" applyAlignment="1">
      <alignment horizontal="left" vertical="top" wrapText="1"/>
    </xf>
    <xf numFmtId="0" fontId="45" fillId="0" borderId="14" xfId="0" applyFont="1" applyBorder="1" applyAlignment="1">
      <alignment horizontal="left" vertical="top" wrapText="1"/>
    </xf>
    <xf numFmtId="0" fontId="45" fillId="0" borderId="17" xfId="0" applyFont="1" applyBorder="1" applyAlignment="1">
      <alignment horizontal="left" vertical="top" wrapText="1"/>
    </xf>
    <xf numFmtId="0" fontId="45" fillId="0" borderId="23" xfId="0" applyFont="1" applyBorder="1" applyAlignment="1">
      <alignment horizontal="left" vertical="top" wrapText="1"/>
    </xf>
    <xf numFmtId="14" fontId="24" fillId="0" borderId="11" xfId="0" applyNumberFormat="1" applyFont="1" applyBorder="1" applyAlignment="1">
      <alignment horizontal="center" vertical="center"/>
    </xf>
    <xf numFmtId="14" fontId="24" fillId="0" borderId="24" xfId="0" applyNumberFormat="1" applyFont="1" applyBorder="1" applyAlignment="1">
      <alignment horizontal="center" vertical="center"/>
    </xf>
    <xf numFmtId="0" fontId="14" fillId="0" borderId="17" xfId="0" applyFont="1" applyBorder="1" applyAlignment="1">
      <alignment horizontal="left" vertical="center"/>
    </xf>
    <xf numFmtId="0" fontId="14" fillId="0" borderId="20" xfId="0" applyFont="1" applyBorder="1" applyAlignment="1">
      <alignment horizontal="center" vertical="center"/>
    </xf>
    <xf numFmtId="0" fontId="14" fillId="0" borderId="11" xfId="0" applyFont="1" applyBorder="1" applyAlignment="1">
      <alignment horizontal="center"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19" xfId="0" applyFont="1" applyBorder="1" applyAlignment="1">
      <alignment horizontal="center" vertical="center"/>
    </xf>
    <xf numFmtId="0" fontId="11" fillId="0" borderId="22" xfId="0" applyFont="1" applyBorder="1" applyAlignment="1">
      <alignment horizontal="center" vertical="center"/>
    </xf>
    <xf numFmtId="0" fontId="45" fillId="0" borderId="13" xfId="0" applyFont="1" applyBorder="1" applyAlignment="1">
      <alignment horizontal="left" vertical="top"/>
    </xf>
    <xf numFmtId="0" fontId="45" fillId="0" borderId="0" xfId="0" applyFont="1" applyBorder="1" applyAlignment="1">
      <alignment horizontal="left" vertical="top"/>
    </xf>
    <xf numFmtId="0" fontId="45" fillId="0" borderId="14" xfId="0" applyFont="1" applyBorder="1" applyAlignment="1">
      <alignment horizontal="left" vertical="top"/>
    </xf>
    <xf numFmtId="0" fontId="14" fillId="0" borderId="20" xfId="0" applyFont="1" applyBorder="1" applyAlignment="1">
      <alignment horizontal="left" vertical="center"/>
    </xf>
    <xf numFmtId="0" fontId="11" fillId="0" borderId="11" xfId="0" applyFont="1" applyBorder="1" applyAlignment="1">
      <alignment horizontal="left" vertical="center"/>
    </xf>
    <xf numFmtId="0" fontId="11" fillId="0" borderId="23" xfId="0" applyFont="1" applyBorder="1" applyAlignment="1">
      <alignment horizontal="left" vertical="center"/>
    </xf>
    <xf numFmtId="0" fontId="45" fillId="0" borderId="20" xfId="0" applyNumberFormat="1" applyFont="1" applyBorder="1" applyAlignment="1">
      <alignment horizontal="left" vertical="center"/>
    </xf>
    <xf numFmtId="0" fontId="45" fillId="0" borderId="11" xfId="0" applyNumberFormat="1" applyFont="1" applyBorder="1" applyAlignment="1">
      <alignment horizontal="left" vertical="center"/>
    </xf>
    <xf numFmtId="0" fontId="45" fillId="0" borderId="24" xfId="0" applyNumberFormat="1" applyFont="1" applyBorder="1" applyAlignment="1">
      <alignment horizontal="left" vertical="center"/>
    </xf>
    <xf numFmtId="10" fontId="45" fillId="0" borderId="31" xfId="0" applyNumberFormat="1" applyFont="1" applyBorder="1" applyAlignment="1">
      <alignment horizontal="center" vertical="center"/>
    </xf>
    <xf numFmtId="10" fontId="45" fillId="0" borderId="32" xfId="0" applyNumberFormat="1" applyFont="1" applyBorder="1" applyAlignment="1">
      <alignment horizontal="center" vertical="center"/>
    </xf>
    <xf numFmtId="10" fontId="45" fillId="0" borderId="21" xfId="0" applyNumberFormat="1" applyFont="1" applyBorder="1" applyAlignment="1">
      <alignment horizontal="center" vertical="center"/>
    </xf>
    <xf numFmtId="10" fontId="45" fillId="0" borderId="23" xfId="0" applyNumberFormat="1" applyFont="1" applyBorder="1" applyAlignment="1">
      <alignment horizontal="center" vertical="center"/>
    </xf>
    <xf numFmtId="0" fontId="16" fillId="0" borderId="0" xfId="0" applyFont="1" applyBorder="1" applyAlignment="1">
      <alignment horizontal="center" vertical="center"/>
    </xf>
    <xf numFmtId="0" fontId="16" fillId="0" borderId="14" xfId="0" applyFont="1" applyBorder="1" applyAlignment="1">
      <alignment horizontal="center" vertical="center"/>
    </xf>
    <xf numFmtId="0" fontId="16" fillId="0" borderId="13" xfId="0" applyFont="1" applyBorder="1" applyAlignment="1">
      <alignment horizontal="center" vertical="center"/>
    </xf>
    <xf numFmtId="167" fontId="46" fillId="2" borderId="18" xfId="0" applyNumberFormat="1" applyFont="1" applyFill="1" applyBorder="1" applyAlignment="1">
      <alignment horizontal="center" vertical="center"/>
    </xf>
    <xf numFmtId="167" fontId="46" fillId="2" borderId="22" xfId="0" applyNumberFormat="1" applyFont="1" applyFill="1" applyBorder="1" applyAlignment="1">
      <alignment horizontal="center" vertical="center"/>
    </xf>
    <xf numFmtId="167" fontId="45" fillId="0" borderId="31" xfId="0" applyNumberFormat="1" applyFont="1" applyBorder="1" applyAlignment="1">
      <alignment horizontal="center" vertical="center"/>
    </xf>
    <xf numFmtId="167" fontId="45" fillId="0" borderId="32" xfId="0" applyNumberFormat="1" applyFont="1" applyBorder="1" applyAlignment="1">
      <alignment horizontal="center" vertical="center"/>
    </xf>
    <xf numFmtId="0" fontId="14" fillId="0" borderId="13" xfId="0" applyFont="1" applyBorder="1" applyAlignment="1">
      <alignment horizontal="center" vertical="center"/>
    </xf>
    <xf numFmtId="0" fontId="14" fillId="0" borderId="0" xfId="0" applyFont="1" applyBorder="1" applyAlignment="1">
      <alignment horizontal="center" vertical="center"/>
    </xf>
    <xf numFmtId="0" fontId="14" fillId="0" borderId="14" xfId="0" applyFont="1" applyBorder="1" applyAlignment="1">
      <alignment horizontal="center" vertical="center"/>
    </xf>
    <xf numFmtId="0" fontId="11" fillId="0" borderId="8" xfId="0" applyFont="1" applyBorder="1" applyAlignment="1">
      <alignment horizontal="left" vertical="center"/>
    </xf>
    <xf numFmtId="167" fontId="45" fillId="0" borderId="15" xfId="0" applyNumberFormat="1" applyFont="1" applyBorder="1" applyAlignment="1">
      <alignment horizontal="center" vertical="center"/>
    </xf>
    <xf numFmtId="167" fontId="45" fillId="0" borderId="33" xfId="0" applyNumberFormat="1" applyFont="1" applyBorder="1" applyAlignment="1">
      <alignment horizontal="center" vertical="center"/>
    </xf>
    <xf numFmtId="167" fontId="45" fillId="0" borderId="35" xfId="0" applyNumberFormat="1" applyFont="1" applyBorder="1" applyAlignment="1">
      <alignment horizontal="center" vertical="center"/>
    </xf>
    <xf numFmtId="0" fontId="14" fillId="0" borderId="33" xfId="0" applyFont="1" applyBorder="1" applyAlignment="1">
      <alignment horizontal="left" vertical="center"/>
    </xf>
    <xf numFmtId="0" fontId="14" fillId="0" borderId="8" xfId="0" applyFont="1" applyBorder="1" applyAlignment="1">
      <alignment horizontal="left" vertical="center"/>
    </xf>
    <xf numFmtId="0" fontId="14" fillId="0" borderId="25" xfId="0" applyFont="1" applyBorder="1" applyAlignment="1">
      <alignment horizontal="left" vertical="center"/>
    </xf>
    <xf numFmtId="0" fontId="14" fillId="0" borderId="9" xfId="0" applyFont="1" applyBorder="1" applyAlignment="1">
      <alignment horizontal="left" vertical="center"/>
    </xf>
    <xf numFmtId="0" fontId="14" fillId="0" borderId="15" xfId="0" applyFont="1" applyBorder="1" applyAlignment="1">
      <alignment horizontal="left" vertical="center"/>
    </xf>
    <xf numFmtId="0" fontId="22" fillId="0" borderId="43" xfId="0" applyFont="1" applyBorder="1" applyAlignment="1">
      <alignment horizontal="left" vertical="center"/>
    </xf>
    <xf numFmtId="0" fontId="22" fillId="0" borderId="32" xfId="0" applyFont="1" applyBorder="1" applyAlignment="1">
      <alignment horizontal="left" vertical="center"/>
    </xf>
    <xf numFmtId="0" fontId="22" fillId="0" borderId="21" xfId="0" applyFont="1" applyBorder="1" applyAlignment="1">
      <alignment horizontal="left" vertical="center"/>
    </xf>
    <xf numFmtId="0" fontId="22" fillId="0" borderId="17" xfId="0" applyFont="1" applyBorder="1" applyAlignment="1">
      <alignment horizontal="left" vertical="center"/>
    </xf>
    <xf numFmtId="0" fontId="22" fillId="0" borderId="23" xfId="0" applyFont="1" applyBorder="1" applyAlignment="1">
      <alignment horizontal="left" vertical="center"/>
    </xf>
    <xf numFmtId="0" fontId="11" fillId="0" borderId="13" xfId="0" applyFont="1" applyBorder="1" applyAlignment="1">
      <alignment horizontal="center" vertical="center"/>
    </xf>
    <xf numFmtId="0" fontId="11" fillId="0" borderId="0" xfId="0" applyFont="1" applyBorder="1" applyAlignment="1">
      <alignment horizontal="center" vertical="center"/>
    </xf>
    <xf numFmtId="0" fontId="14" fillId="0" borderId="31" xfId="0" applyFont="1" applyBorder="1" applyAlignment="1">
      <alignment horizontal="left" vertical="center"/>
    </xf>
    <xf numFmtId="0" fontId="14" fillId="0" borderId="43" xfId="0" applyFont="1" applyBorder="1" applyAlignment="1">
      <alignment horizontal="left" vertical="center"/>
    </xf>
    <xf numFmtId="0" fontId="11" fillId="0" borderId="31" xfId="0" applyFont="1" applyBorder="1" applyAlignment="1">
      <alignment horizontal="center" vertical="center"/>
    </xf>
    <xf numFmtId="0" fontId="11" fillId="0" borderId="43" xfId="0" applyFont="1" applyBorder="1" applyAlignment="1">
      <alignment horizontal="center" vertical="center"/>
    </xf>
    <xf numFmtId="167" fontId="46" fillId="2" borderId="21" xfId="0" applyNumberFormat="1" applyFont="1" applyFill="1" applyBorder="1" applyAlignment="1">
      <alignment horizontal="center" vertical="center"/>
    </xf>
    <xf numFmtId="167" fontId="46" fillId="2" borderId="23" xfId="0" applyNumberFormat="1" applyFont="1" applyFill="1" applyBorder="1" applyAlignment="1">
      <alignment horizontal="center" vertical="center"/>
    </xf>
    <xf numFmtId="14" fontId="45" fillId="0" borderId="43" xfId="0" applyNumberFormat="1" applyFont="1" applyBorder="1" applyAlignment="1">
      <alignment horizontal="center" vertical="center"/>
    </xf>
    <xf numFmtId="14" fontId="45" fillId="0" borderId="15" xfId="0" applyNumberFormat="1" applyFont="1" applyBorder="1" applyAlignment="1">
      <alignment horizontal="center" vertical="center"/>
    </xf>
    <xf numFmtId="0" fontId="14" fillId="0" borderId="21" xfId="0" applyFont="1" applyFill="1" applyBorder="1" applyAlignment="1">
      <alignment horizontal="left" vertical="center"/>
    </xf>
    <xf numFmtId="0" fontId="14" fillId="0" borderId="17" xfId="0" applyFont="1" applyFill="1" applyBorder="1" applyAlignment="1">
      <alignment horizontal="left" vertical="center"/>
    </xf>
    <xf numFmtId="0" fontId="9" fillId="0" borderId="19" xfId="0" applyFont="1" applyFill="1" applyBorder="1" applyAlignment="1">
      <alignment horizontal="left" vertical="center"/>
    </xf>
    <xf numFmtId="0" fontId="14" fillId="0" borderId="21" xfId="0" applyFont="1" applyBorder="1" applyAlignment="1">
      <alignment horizontal="center" vertical="center"/>
    </xf>
    <xf numFmtId="0" fontId="14" fillId="0" borderId="23" xfId="0" applyFont="1" applyBorder="1" applyAlignment="1">
      <alignment horizontal="center" vertical="center"/>
    </xf>
    <xf numFmtId="0" fontId="11" fillId="0" borderId="17" xfId="0" applyFont="1" applyFill="1" applyBorder="1" applyAlignment="1">
      <alignment horizontal="left" vertical="center"/>
    </xf>
    <xf numFmtId="167" fontId="45" fillId="0" borderId="11" xfId="0" applyNumberFormat="1" applyFont="1" applyBorder="1" applyAlignment="1">
      <alignment horizontal="center" vertical="center"/>
    </xf>
    <xf numFmtId="0" fontId="19" fillId="0" borderId="20" xfId="0" applyFont="1" applyBorder="1" applyAlignment="1">
      <alignment horizontal="center" vertical="center" wrapText="1"/>
    </xf>
    <xf numFmtId="0" fontId="19" fillId="0" borderId="24" xfId="0" applyFont="1" applyBorder="1" applyAlignment="1">
      <alignment horizontal="center" vertical="center" wrapText="1"/>
    </xf>
    <xf numFmtId="0" fontId="21" fillId="0" borderId="18" xfId="0" applyFont="1" applyBorder="1" applyAlignment="1">
      <alignment horizontal="center" vertical="center"/>
    </xf>
    <xf numFmtId="0" fontId="21" fillId="0" borderId="22" xfId="0" applyFont="1" applyBorder="1" applyAlignment="1">
      <alignment horizontal="center" vertical="center"/>
    </xf>
    <xf numFmtId="187" fontId="45" fillId="0" borderId="31" xfId="0" applyNumberFormat="1" applyFont="1" applyBorder="1" applyAlignment="1">
      <alignment horizontal="center" vertical="center"/>
    </xf>
    <xf numFmtId="187" fontId="45" fillId="0" borderId="32" xfId="0" applyNumberFormat="1" applyFont="1" applyBorder="1" applyAlignment="1">
      <alignment horizontal="center" vertical="center"/>
    </xf>
    <xf numFmtId="167" fontId="45" fillId="0" borderId="20" xfId="0" applyNumberFormat="1" applyFont="1" applyFill="1" applyBorder="1" applyAlignment="1">
      <alignment horizontal="center" vertical="center"/>
    </xf>
    <xf numFmtId="167" fontId="45" fillId="0" borderId="24" xfId="0" applyNumberFormat="1" applyFont="1" applyFill="1" applyBorder="1" applyAlignment="1">
      <alignment horizontal="center" vertical="center"/>
    </xf>
    <xf numFmtId="167" fontId="45" fillId="0" borderId="13" xfId="0" applyNumberFormat="1" applyFont="1" applyFill="1" applyBorder="1" applyAlignment="1">
      <alignment horizontal="center" vertical="center"/>
    </xf>
    <xf numFmtId="167" fontId="45" fillId="0" borderId="14" xfId="0" applyNumberFormat="1" applyFont="1" applyFill="1" applyBorder="1" applyAlignment="1">
      <alignment horizontal="center" vertical="center"/>
    </xf>
    <xf numFmtId="167" fontId="45" fillId="0" borderId="25" xfId="0" applyNumberFormat="1" applyFont="1" applyFill="1" applyBorder="1" applyAlignment="1">
      <alignment horizontal="center" vertical="center"/>
    </xf>
    <xf numFmtId="167" fontId="45" fillId="0" borderId="15" xfId="0" applyNumberFormat="1" applyFont="1" applyFill="1" applyBorder="1" applyAlignment="1">
      <alignment horizontal="center" vertical="center"/>
    </xf>
    <xf numFmtId="10" fontId="45" fillId="0" borderId="11" xfId="9" applyNumberFormat="1" applyFont="1" applyBorder="1" applyAlignment="1">
      <alignment horizontal="center" vertical="center"/>
    </xf>
    <xf numFmtId="10" fontId="45" fillId="0" borderId="24" xfId="9" applyNumberFormat="1" applyFont="1" applyBorder="1" applyAlignment="1">
      <alignment horizontal="center" vertical="center"/>
    </xf>
    <xf numFmtId="0" fontId="33" fillId="0" borderId="21" xfId="0" applyFont="1" applyBorder="1" applyAlignment="1">
      <alignment horizontal="center" vertical="center"/>
    </xf>
    <xf numFmtId="0" fontId="33" fillId="0" borderId="17" xfId="0" applyFont="1" applyBorder="1" applyAlignment="1">
      <alignment horizontal="center" vertical="center"/>
    </xf>
    <xf numFmtId="0" fontId="33" fillId="0" borderId="23" xfId="0" applyFont="1" applyBorder="1" applyAlignment="1">
      <alignment horizontal="center" vertical="center"/>
    </xf>
    <xf numFmtId="0" fontId="14" fillId="0" borderId="20" xfId="0" applyFont="1" applyFill="1" applyBorder="1" applyAlignment="1">
      <alignment horizontal="left" vertical="center"/>
    </xf>
    <xf numFmtId="0" fontId="14" fillId="0" borderId="11" xfId="0" applyFont="1" applyFill="1" applyBorder="1" applyAlignment="1">
      <alignment horizontal="left" vertical="center"/>
    </xf>
    <xf numFmtId="0" fontId="14" fillId="0" borderId="24" xfId="0" applyFont="1" applyFill="1" applyBorder="1" applyAlignment="1">
      <alignment horizontal="left" vertical="center"/>
    </xf>
    <xf numFmtId="10" fontId="45" fillId="0" borderId="9" xfId="9" applyNumberFormat="1" applyFont="1" applyBorder="1" applyAlignment="1">
      <alignment horizontal="center" vertical="center"/>
    </xf>
    <xf numFmtId="10" fontId="45" fillId="0" borderId="15" xfId="9" applyNumberFormat="1" applyFont="1" applyBorder="1" applyAlignment="1">
      <alignment horizontal="center" vertical="center"/>
    </xf>
    <xf numFmtId="0" fontId="45" fillId="0" borderId="19" xfId="0" applyFont="1" applyBorder="1" applyAlignment="1">
      <alignment horizontal="left" vertical="center"/>
    </xf>
    <xf numFmtId="0" fontId="45" fillId="0" borderId="22" xfId="0" applyFont="1" applyBorder="1" applyAlignment="1">
      <alignment horizontal="left" vertical="center"/>
    </xf>
    <xf numFmtId="0" fontId="46" fillId="2" borderId="8" xfId="0" applyFont="1" applyFill="1" applyBorder="1" applyAlignment="1">
      <alignment horizontal="center" vertical="center" wrapText="1"/>
    </xf>
    <xf numFmtId="0" fontId="46" fillId="2" borderId="35" xfId="0" applyFont="1" applyFill="1" applyBorder="1" applyAlignment="1">
      <alignment horizontal="center" vertical="center" wrapText="1"/>
    </xf>
    <xf numFmtId="0" fontId="11" fillId="0" borderId="18" xfId="0" applyFont="1" applyBorder="1" applyAlignment="1">
      <alignment vertical="top" wrapText="1"/>
    </xf>
    <xf numFmtId="0" fontId="11" fillId="0" borderId="19" xfId="0" applyFont="1" applyBorder="1" applyAlignment="1">
      <alignment vertical="top" wrapText="1"/>
    </xf>
    <xf numFmtId="0" fontId="11" fillId="0" borderId="22" xfId="0" applyFont="1" applyBorder="1" applyAlignment="1">
      <alignment vertical="top" wrapText="1"/>
    </xf>
    <xf numFmtId="167" fontId="45" fillId="0" borderId="21" xfId="0" applyNumberFormat="1" applyFont="1" applyFill="1" applyBorder="1" applyAlignment="1">
      <alignment horizontal="center" vertical="center"/>
    </xf>
    <xf numFmtId="167" fontId="45" fillId="0" borderId="23" xfId="0" applyNumberFormat="1" applyFont="1" applyFill="1" applyBorder="1" applyAlignment="1">
      <alignment horizontal="center" vertical="center"/>
    </xf>
    <xf numFmtId="167" fontId="45" fillId="0" borderId="20" xfId="0" applyNumberFormat="1" applyFont="1" applyBorder="1" applyAlignment="1">
      <alignment horizontal="center" vertical="center"/>
    </xf>
    <xf numFmtId="167" fontId="45" fillId="0" borderId="24" xfId="0" applyNumberFormat="1" applyFont="1" applyBorder="1" applyAlignment="1">
      <alignment horizontal="center" vertical="center"/>
    </xf>
    <xf numFmtId="10" fontId="45" fillId="0" borderId="0" xfId="9" applyNumberFormat="1" applyFont="1" applyBorder="1" applyAlignment="1">
      <alignment horizontal="center" vertical="center"/>
    </xf>
    <xf numFmtId="10" fontId="45" fillId="0" borderId="14" xfId="9" applyNumberFormat="1" applyFont="1" applyBorder="1" applyAlignment="1">
      <alignment horizontal="center" vertical="center"/>
    </xf>
    <xf numFmtId="187" fontId="30" fillId="0" borderId="21" xfId="0" applyNumberFormat="1" applyFont="1" applyBorder="1" applyAlignment="1">
      <alignment horizontal="center" vertical="center"/>
    </xf>
    <xf numFmtId="187" fontId="30" fillId="0" borderId="23" xfId="0" applyNumberFormat="1" applyFont="1" applyBorder="1" applyAlignment="1">
      <alignment horizontal="center" vertical="center"/>
    </xf>
    <xf numFmtId="0" fontId="11" fillId="0" borderId="25" xfId="0" applyFont="1" applyBorder="1" applyAlignment="1">
      <alignment horizontal="center" vertical="center"/>
    </xf>
    <xf numFmtId="0" fontId="11" fillId="0" borderId="9" xfId="0" applyFont="1" applyBorder="1" applyAlignment="1">
      <alignment horizontal="center" vertical="center"/>
    </xf>
    <xf numFmtId="0" fontId="22" fillId="0" borderId="8" xfId="0" applyFont="1" applyBorder="1" applyAlignment="1">
      <alignment horizontal="left" vertical="center"/>
    </xf>
    <xf numFmtId="0" fontId="22" fillId="0" borderId="35" xfId="0" applyFont="1" applyBorder="1" applyAlignment="1">
      <alignment horizontal="left" vertical="center"/>
    </xf>
    <xf numFmtId="167" fontId="46" fillId="0" borderId="33" xfId="0" applyNumberFormat="1" applyFont="1" applyFill="1" applyBorder="1" applyAlignment="1">
      <alignment horizontal="center" vertical="center"/>
    </xf>
    <xf numFmtId="167" fontId="46" fillId="0" borderId="35" xfId="0" applyNumberFormat="1" applyFont="1" applyFill="1" applyBorder="1" applyAlignment="1">
      <alignment horizontal="center" vertical="center"/>
    </xf>
    <xf numFmtId="10" fontId="30" fillId="0" borderId="11" xfId="9" applyNumberFormat="1" applyFont="1" applyBorder="1" applyAlignment="1">
      <alignment horizontal="center" vertical="center"/>
    </xf>
    <xf numFmtId="10" fontId="30" fillId="0" borderId="24" xfId="9" applyNumberFormat="1" applyFont="1" applyBorder="1" applyAlignment="1">
      <alignment horizontal="center" vertical="center"/>
    </xf>
    <xf numFmtId="167" fontId="46" fillId="2" borderId="8" xfId="0" applyNumberFormat="1" applyFont="1" applyFill="1" applyBorder="1" applyAlignment="1">
      <alignment horizontal="center" vertical="center"/>
    </xf>
    <xf numFmtId="0" fontId="15" fillId="0" borderId="25" xfId="0" applyFont="1" applyFill="1" applyBorder="1" applyAlignment="1">
      <alignment horizontal="left" vertical="center"/>
    </xf>
    <xf numFmtId="0" fontId="15" fillId="0" borderId="9" xfId="0" applyFont="1" applyFill="1" applyBorder="1" applyAlignment="1">
      <alignment horizontal="left" vertical="center"/>
    </xf>
    <xf numFmtId="167" fontId="47" fillId="0" borderId="31" xfId="0" applyNumberFormat="1" applyFont="1" applyBorder="1" applyAlignment="1">
      <alignment horizontal="center" vertical="center"/>
    </xf>
    <xf numFmtId="167" fontId="47" fillId="0" borderId="32" xfId="0" applyNumberFormat="1" applyFont="1" applyBorder="1" applyAlignment="1">
      <alignment horizontal="center" vertical="center"/>
    </xf>
    <xf numFmtId="0" fontId="11" fillId="0" borderId="20" xfId="0" applyFont="1" applyFill="1" applyBorder="1" applyAlignment="1">
      <alignment horizontal="left" vertical="center"/>
    </xf>
    <xf numFmtId="0" fontId="11" fillId="0" borderId="11" xfId="0" applyFont="1" applyFill="1" applyBorder="1" applyAlignment="1">
      <alignment horizontal="left" vertical="center"/>
    </xf>
    <xf numFmtId="0" fontId="11" fillId="0" borderId="24" xfId="0" applyFont="1" applyFill="1" applyBorder="1" applyAlignment="1">
      <alignment horizontal="left" vertical="center"/>
    </xf>
    <xf numFmtId="167" fontId="31" fillId="0" borderId="25" xfId="0" applyNumberFormat="1" applyFont="1" applyFill="1" applyBorder="1" applyAlignment="1">
      <alignment horizontal="center" vertical="center"/>
    </xf>
    <xf numFmtId="167" fontId="31" fillId="0" borderId="15" xfId="0" applyNumberFormat="1" applyFont="1" applyFill="1" applyBorder="1" applyAlignment="1">
      <alignment horizontal="center" vertical="center"/>
    </xf>
    <xf numFmtId="167" fontId="31" fillId="0" borderId="9" xfId="0" applyNumberFormat="1" applyFont="1" applyFill="1" applyBorder="1" applyAlignment="1">
      <alignment horizontal="center" vertical="center"/>
    </xf>
    <xf numFmtId="167" fontId="31" fillId="2" borderId="8" xfId="0" applyNumberFormat="1" applyFont="1" applyFill="1" applyBorder="1" applyAlignment="1">
      <alignment horizontal="center" vertical="center"/>
    </xf>
    <xf numFmtId="0" fontId="33" fillId="0" borderId="18" xfId="0" applyFont="1" applyBorder="1" applyAlignment="1">
      <alignment horizontal="center" vertical="center"/>
    </xf>
    <xf numFmtId="0" fontId="33" fillId="0" borderId="19" xfId="0" applyFont="1" applyBorder="1" applyAlignment="1">
      <alignment horizontal="center" vertical="center"/>
    </xf>
    <xf numFmtId="0" fontId="33" fillId="0" borderId="22" xfId="0" applyFont="1" applyBorder="1" applyAlignment="1">
      <alignment horizontal="center" vertical="center"/>
    </xf>
    <xf numFmtId="167" fontId="17" fillId="0" borderId="20" xfId="0" applyNumberFormat="1" applyFont="1" applyFill="1" applyBorder="1" applyAlignment="1">
      <alignment horizontal="center" vertical="center"/>
    </xf>
    <xf numFmtId="167" fontId="17" fillId="0" borderId="24" xfId="0" applyNumberFormat="1" applyFont="1" applyFill="1" applyBorder="1" applyAlignment="1">
      <alignment horizontal="center" vertical="center"/>
    </xf>
    <xf numFmtId="167" fontId="17" fillId="0" borderId="0" xfId="0" applyNumberFormat="1" applyFont="1" applyFill="1" applyBorder="1" applyAlignment="1">
      <alignment horizontal="center" vertical="center"/>
    </xf>
    <xf numFmtId="167" fontId="17" fillId="0" borderId="14" xfId="0" applyNumberFormat="1" applyFont="1" applyFill="1" applyBorder="1" applyAlignment="1">
      <alignment horizontal="center" vertical="center"/>
    </xf>
    <xf numFmtId="167" fontId="17" fillId="0" borderId="9" xfId="0" applyNumberFormat="1" applyFont="1" applyFill="1" applyBorder="1" applyAlignment="1">
      <alignment horizontal="center" vertical="center"/>
    </xf>
    <xf numFmtId="167" fontId="17" fillId="0" borderId="15" xfId="0" applyNumberFormat="1" applyFont="1" applyFill="1" applyBorder="1" applyAlignment="1">
      <alignment horizontal="center" vertical="center"/>
    </xf>
    <xf numFmtId="10" fontId="30" fillId="0" borderId="0" xfId="9" applyNumberFormat="1" applyFont="1" applyBorder="1" applyAlignment="1">
      <alignment horizontal="center" vertical="center"/>
    </xf>
    <xf numFmtId="10" fontId="30" fillId="0" borderId="14" xfId="9" applyNumberFormat="1" applyFont="1" applyBorder="1" applyAlignment="1">
      <alignment horizontal="center" vertical="center"/>
    </xf>
    <xf numFmtId="167" fontId="30" fillId="0" borderId="13" xfId="0" applyNumberFormat="1" applyFont="1" applyBorder="1" applyAlignment="1">
      <alignment horizontal="center" vertical="center"/>
    </xf>
    <xf numFmtId="167" fontId="30" fillId="0" borderId="14" xfId="0" applyNumberFormat="1" applyFont="1" applyBorder="1" applyAlignment="1">
      <alignment horizontal="center" vertical="center"/>
    </xf>
    <xf numFmtId="10" fontId="30" fillId="0" borderId="9" xfId="9" applyNumberFormat="1" applyFont="1" applyBorder="1" applyAlignment="1">
      <alignment horizontal="center" vertical="center"/>
    </xf>
    <xf numFmtId="10" fontId="30" fillId="0" borderId="15" xfId="9" applyNumberFormat="1" applyFont="1" applyBorder="1" applyAlignment="1">
      <alignment horizontal="center" vertical="center"/>
    </xf>
    <xf numFmtId="167" fontId="30" fillId="0" borderId="25" xfId="0" applyNumberFormat="1" applyFont="1" applyBorder="1" applyAlignment="1">
      <alignment horizontal="center" vertical="center"/>
    </xf>
    <xf numFmtId="167" fontId="30" fillId="0" borderId="15" xfId="0" applyNumberFormat="1" applyFont="1" applyBorder="1" applyAlignment="1">
      <alignment horizontal="center" vertical="center"/>
    </xf>
    <xf numFmtId="0" fontId="35" fillId="0" borderId="17" xfId="0" applyFont="1" applyBorder="1" applyAlignment="1">
      <alignment horizontal="left" vertical="center"/>
    </xf>
    <xf numFmtId="167" fontId="30" fillId="0" borderId="20" xfId="0" applyNumberFormat="1" applyFont="1" applyBorder="1" applyAlignment="1">
      <alignment horizontal="center" vertical="center"/>
    </xf>
    <xf numFmtId="167" fontId="30" fillId="0" borderId="24" xfId="0" applyNumberFormat="1" applyFont="1" applyBorder="1" applyAlignment="1">
      <alignment horizontal="center" vertical="center"/>
    </xf>
    <xf numFmtId="0" fontId="15" fillId="0" borderId="19" xfId="0" applyFont="1" applyFill="1" applyBorder="1" applyAlignment="1">
      <alignment horizontal="center" vertical="center"/>
    </xf>
    <xf numFmtId="0" fontId="15" fillId="0" borderId="22" xfId="0" applyFont="1" applyFill="1" applyBorder="1" applyAlignment="1">
      <alignment horizontal="center" vertical="center"/>
    </xf>
    <xf numFmtId="0" fontId="30" fillId="7" borderId="25" xfId="0" applyNumberFormat="1" applyFont="1" applyFill="1" applyBorder="1" applyAlignment="1">
      <alignment horizontal="left" vertical="center"/>
    </xf>
    <xf numFmtId="0" fontId="30" fillId="7" borderId="9" xfId="0" applyNumberFormat="1" applyFont="1" applyFill="1" applyBorder="1" applyAlignment="1">
      <alignment horizontal="left" vertical="center"/>
    </xf>
    <xf numFmtId="0" fontId="30" fillId="7" borderId="15" xfId="0" applyNumberFormat="1" applyFont="1" applyFill="1" applyBorder="1" applyAlignment="1">
      <alignment horizontal="left" vertical="center"/>
    </xf>
    <xf numFmtId="167" fontId="30" fillId="7" borderId="9" xfId="0" applyNumberFormat="1" applyFont="1" applyFill="1" applyBorder="1" applyAlignment="1">
      <alignment horizontal="center" vertical="center"/>
    </xf>
    <xf numFmtId="167" fontId="30" fillId="7" borderId="25" xfId="0" applyNumberFormat="1" applyFont="1" applyFill="1" applyBorder="1" applyAlignment="1">
      <alignment horizontal="center" vertical="center"/>
    </xf>
    <xf numFmtId="167" fontId="30" fillId="7" borderId="15" xfId="0" applyNumberFormat="1" applyFont="1" applyFill="1" applyBorder="1" applyAlignment="1">
      <alignment horizontal="center" vertical="center"/>
    </xf>
    <xf numFmtId="0" fontId="24" fillId="7" borderId="9" xfId="0" applyFont="1" applyFill="1" applyBorder="1" applyAlignment="1">
      <alignment horizontal="left" vertical="center"/>
    </xf>
    <xf numFmtId="0" fontId="24" fillId="7" borderId="15" xfId="0" applyFont="1" applyFill="1" applyBorder="1" applyAlignment="1">
      <alignment horizontal="left" vertical="center"/>
    </xf>
    <xf numFmtId="0" fontId="11" fillId="0" borderId="8" xfId="0" applyFont="1" applyBorder="1" applyAlignment="1">
      <alignment horizontal="center" vertical="center"/>
    </xf>
    <xf numFmtId="0" fontId="30" fillId="7" borderId="0" xfId="0" applyNumberFormat="1" applyFont="1" applyFill="1" applyBorder="1" applyAlignment="1">
      <alignment horizontal="left" vertical="center"/>
    </xf>
    <xf numFmtId="0" fontId="30" fillId="7" borderId="14" xfId="0" applyNumberFormat="1" applyFont="1" applyFill="1" applyBorder="1" applyAlignment="1">
      <alignment horizontal="left" vertical="center"/>
    </xf>
    <xf numFmtId="167" fontId="30" fillId="7" borderId="0" xfId="0" applyNumberFormat="1" applyFont="1" applyFill="1" applyBorder="1" applyAlignment="1">
      <alignment horizontal="center" vertical="center"/>
    </xf>
    <xf numFmtId="167" fontId="30" fillId="7" borderId="13" xfId="0" applyNumberFormat="1" applyFont="1" applyFill="1" applyBorder="1" applyAlignment="1">
      <alignment horizontal="center" vertical="center"/>
    </xf>
    <xf numFmtId="167" fontId="30" fillId="7" borderId="14" xfId="0" applyNumberFormat="1" applyFont="1" applyFill="1" applyBorder="1" applyAlignment="1">
      <alignment horizontal="center" vertical="center"/>
    </xf>
    <xf numFmtId="0" fontId="24" fillId="7" borderId="0" xfId="0" applyFont="1" applyFill="1" applyBorder="1" applyAlignment="1">
      <alignment horizontal="left" vertical="center"/>
    </xf>
    <xf numFmtId="0" fontId="24" fillId="7" borderId="14" xfId="0" applyFont="1" applyFill="1" applyBorder="1" applyAlignment="1">
      <alignment horizontal="left" vertical="center"/>
    </xf>
    <xf numFmtId="0" fontId="30" fillId="7" borderId="0" xfId="0" applyFont="1" applyFill="1" applyBorder="1" applyAlignment="1">
      <alignment horizontal="left" vertical="center"/>
    </xf>
    <xf numFmtId="0" fontId="30" fillId="7" borderId="14" xfId="0" applyFont="1" applyFill="1" applyBorder="1" applyAlignment="1">
      <alignment horizontal="left" vertical="center"/>
    </xf>
    <xf numFmtId="0" fontId="45" fillId="13" borderId="13" xfId="0" applyFont="1" applyFill="1" applyBorder="1" applyAlignment="1">
      <alignment horizontal="left" vertical="center"/>
    </xf>
    <xf numFmtId="0" fontId="45" fillId="13" borderId="0" xfId="0" applyFont="1" applyFill="1" applyBorder="1" applyAlignment="1">
      <alignment horizontal="left" vertical="center"/>
    </xf>
    <xf numFmtId="0" fontId="45" fillId="13" borderId="14" xfId="0" applyFont="1" applyFill="1" applyBorder="1" applyAlignment="1">
      <alignment horizontal="left" vertical="center"/>
    </xf>
    <xf numFmtId="0" fontId="30" fillId="0" borderId="11" xfId="0" applyNumberFormat="1" applyFont="1" applyBorder="1" applyAlignment="1">
      <alignment horizontal="left" vertical="center"/>
    </xf>
    <xf numFmtId="0" fontId="30" fillId="0" borderId="24" xfId="0" applyNumberFormat="1" applyFont="1" applyBorder="1" applyAlignment="1">
      <alignment horizontal="left" vertical="center"/>
    </xf>
    <xf numFmtId="167" fontId="30" fillId="0" borderId="11" xfId="0" applyNumberFormat="1" applyFont="1" applyBorder="1" applyAlignment="1">
      <alignment horizontal="center" vertical="center"/>
    </xf>
    <xf numFmtId="0" fontId="11" fillId="0" borderId="22" xfId="0" applyFont="1" applyBorder="1" applyAlignment="1">
      <alignment horizontal="left" vertical="center"/>
    </xf>
    <xf numFmtId="4" fontId="45" fillId="12" borderId="0" xfId="0" applyNumberFormat="1" applyFont="1" applyFill="1"/>
    <xf numFmtId="0" fontId="45" fillId="12" borderId="0" xfId="0" applyFont="1" applyFill="1"/>
    <xf numFmtId="0" fontId="19" fillId="0" borderId="20" xfId="0" applyFont="1" applyBorder="1" applyAlignment="1">
      <alignment horizontal="center" vertical="center" textRotation="90" wrapText="1"/>
    </xf>
    <xf numFmtId="0" fontId="19" fillId="0" borderId="13" xfId="0" applyFont="1" applyBorder="1" applyAlignment="1">
      <alignment horizontal="center" vertical="center" textRotation="90" wrapText="1"/>
    </xf>
    <xf numFmtId="0" fontId="31" fillId="0" borderId="0" xfId="0" applyFont="1" applyBorder="1" applyAlignment="1">
      <alignment horizontal="left" vertical="top" wrapText="1"/>
    </xf>
    <xf numFmtId="0" fontId="31" fillId="0" borderId="14" xfId="0" applyFont="1" applyBorder="1" applyAlignment="1">
      <alignment horizontal="left" vertical="top" wrapText="1"/>
    </xf>
    <xf numFmtId="0" fontId="31" fillId="0" borderId="17" xfId="0" applyFont="1" applyBorder="1" applyAlignment="1">
      <alignment horizontal="left" vertical="top" wrapText="1"/>
    </xf>
    <xf numFmtId="0" fontId="31" fillId="0" borderId="23" xfId="0" applyFont="1" applyBorder="1" applyAlignment="1">
      <alignment horizontal="left" vertical="top" wrapText="1"/>
    </xf>
    <xf numFmtId="0" fontId="30" fillId="0" borderId="0" xfId="0" applyFont="1" applyBorder="1" applyAlignment="1">
      <alignment horizontal="center" vertical="center"/>
    </xf>
    <xf numFmtId="0" fontId="30" fillId="0" borderId="14" xfId="0" applyFont="1" applyBorder="1" applyAlignment="1">
      <alignment horizontal="center" vertical="center"/>
    </xf>
    <xf numFmtId="0" fontId="24" fillId="0" borderId="0" xfId="0" applyFont="1" applyBorder="1" applyAlignment="1">
      <alignment horizontal="center" vertical="center"/>
    </xf>
    <xf numFmtId="0" fontId="24" fillId="0" borderId="14" xfId="0" applyFont="1" applyBorder="1" applyAlignment="1">
      <alignment horizontal="center" vertical="center"/>
    </xf>
    <xf numFmtId="0" fontId="10" fillId="0" borderId="18" xfId="0" applyFont="1" applyBorder="1" applyAlignment="1">
      <alignment horizontal="left" vertical="center"/>
    </xf>
    <xf numFmtId="0" fontId="10" fillId="0" borderId="19" xfId="0" applyFont="1" applyBorder="1" applyAlignment="1">
      <alignment horizontal="left" vertical="center"/>
    </xf>
    <xf numFmtId="170" fontId="30" fillId="0" borderId="43" xfId="0" applyNumberFormat="1" applyFont="1" applyBorder="1" applyAlignment="1">
      <alignment horizontal="center" vertical="center"/>
    </xf>
    <xf numFmtId="170" fontId="30" fillId="0" borderId="15" xfId="0" applyNumberFormat="1" applyFont="1" applyBorder="1" applyAlignment="1">
      <alignment horizontal="center" vertical="center"/>
    </xf>
    <xf numFmtId="14" fontId="30" fillId="0" borderId="11" xfId="0" applyNumberFormat="1" applyFont="1" applyBorder="1" applyAlignment="1">
      <alignment horizontal="center" vertical="center"/>
    </xf>
    <xf numFmtId="14" fontId="30" fillId="0" borderId="24" xfId="0" applyNumberFormat="1" applyFont="1" applyBorder="1" applyAlignment="1">
      <alignment horizontal="center" vertical="center"/>
    </xf>
    <xf numFmtId="0" fontId="24" fillId="0" borderId="19" xfId="0" applyFont="1" applyBorder="1" applyAlignment="1">
      <alignment horizontal="left" vertical="center"/>
    </xf>
    <xf numFmtId="0" fontId="24" fillId="0" borderId="22" xfId="0" applyFont="1" applyBorder="1" applyAlignment="1">
      <alignment horizontal="left" vertical="center"/>
    </xf>
    <xf numFmtId="0" fontId="30" fillId="0" borderId="25" xfId="0" applyFont="1" applyBorder="1" applyAlignment="1">
      <alignment horizontal="left" vertical="center"/>
    </xf>
    <xf numFmtId="0" fontId="30" fillId="0" borderId="9" xfId="0" applyFont="1" applyBorder="1" applyAlignment="1">
      <alignment horizontal="left" vertical="center"/>
    </xf>
    <xf numFmtId="0" fontId="30" fillId="0" borderId="15" xfId="0" applyFont="1" applyBorder="1" applyAlignment="1">
      <alignment horizontal="left" vertical="center"/>
    </xf>
    <xf numFmtId="4" fontId="24" fillId="12" borderId="0" xfId="0" applyNumberFormat="1" applyFont="1" applyFill="1"/>
    <xf numFmtId="0" fontId="24" fillId="12" borderId="0" xfId="0" applyFont="1" applyFill="1"/>
    <xf numFmtId="0" fontId="24" fillId="13" borderId="13" xfId="0" applyFont="1" applyFill="1" applyBorder="1" applyAlignment="1">
      <alignment horizontal="left" vertical="center"/>
    </xf>
    <xf numFmtId="0" fontId="24" fillId="13" borderId="0" xfId="0" applyFont="1" applyFill="1" applyBorder="1" applyAlignment="1">
      <alignment horizontal="left" vertical="center"/>
    </xf>
    <xf numFmtId="0" fontId="24" fillId="13" borderId="14" xfId="0" applyFont="1" applyFill="1" applyBorder="1" applyAlignment="1">
      <alignment horizontal="left" vertical="center"/>
    </xf>
    <xf numFmtId="10" fontId="30" fillId="0" borderId="31" xfId="0" applyNumberFormat="1" applyFont="1" applyBorder="1" applyAlignment="1">
      <alignment horizontal="center" vertical="center"/>
    </xf>
    <xf numFmtId="10" fontId="30" fillId="0" borderId="32" xfId="0" applyNumberFormat="1" applyFont="1" applyBorder="1" applyAlignment="1">
      <alignment horizontal="center" vertical="center"/>
    </xf>
    <xf numFmtId="167" fontId="30" fillId="0" borderId="31" xfId="0" applyNumberFormat="1" applyFont="1" applyBorder="1" applyAlignment="1">
      <alignment horizontal="center" vertical="center"/>
    </xf>
    <xf numFmtId="167" fontId="30" fillId="0" borderId="32" xfId="0" applyNumberFormat="1" applyFont="1" applyBorder="1" applyAlignment="1">
      <alignment horizontal="center" vertical="center"/>
    </xf>
    <xf numFmtId="167" fontId="31" fillId="2" borderId="21" xfId="0" applyNumberFormat="1" applyFont="1" applyFill="1" applyBorder="1" applyAlignment="1">
      <alignment horizontal="center" vertical="center"/>
    </xf>
    <xf numFmtId="167" fontId="31" fillId="2" borderId="23" xfId="0" applyNumberFormat="1" applyFont="1" applyFill="1" applyBorder="1" applyAlignment="1">
      <alignment horizontal="center" vertical="center"/>
    </xf>
    <xf numFmtId="167" fontId="31" fillId="2" borderId="18" xfId="0" applyNumberFormat="1" applyFont="1" applyFill="1" applyBorder="1" applyAlignment="1">
      <alignment horizontal="center" vertical="center"/>
    </xf>
    <xf numFmtId="167" fontId="31" fillId="2" borderId="22" xfId="0" applyNumberFormat="1" applyFont="1" applyFill="1" applyBorder="1" applyAlignment="1">
      <alignment horizontal="center" vertical="center"/>
    </xf>
    <xf numFmtId="10" fontId="30" fillId="0" borderId="18" xfId="0" applyNumberFormat="1" applyFont="1" applyBorder="1" applyAlignment="1">
      <alignment horizontal="center" vertical="center"/>
    </xf>
    <xf numFmtId="10" fontId="30" fillId="0" borderId="22" xfId="0" applyNumberFormat="1" applyFont="1" applyBorder="1" applyAlignment="1">
      <alignment horizontal="center" vertical="center"/>
    </xf>
    <xf numFmtId="10" fontId="30" fillId="0" borderId="21" xfId="0" applyNumberFormat="1" applyFont="1" applyBorder="1" applyAlignment="1">
      <alignment horizontal="center" vertical="center"/>
    </xf>
    <xf numFmtId="10" fontId="30" fillId="0" borderId="23" xfId="0" applyNumberFormat="1" applyFont="1" applyBorder="1" applyAlignment="1">
      <alignment horizontal="center" vertical="center"/>
    </xf>
    <xf numFmtId="167" fontId="30" fillId="0" borderId="21" xfId="0" applyNumberFormat="1" applyFont="1" applyFill="1" applyBorder="1" applyAlignment="1">
      <alignment horizontal="center" vertical="center"/>
    </xf>
    <xf numFmtId="167" fontId="30" fillId="0" borderId="23" xfId="0" applyNumberFormat="1" applyFont="1" applyFill="1" applyBorder="1" applyAlignment="1">
      <alignment horizontal="center" vertical="center"/>
    </xf>
    <xf numFmtId="187" fontId="30" fillId="0" borderId="31" xfId="0" applyNumberFormat="1" applyFont="1" applyBorder="1" applyAlignment="1">
      <alignment horizontal="center" vertical="center"/>
    </xf>
    <xf numFmtId="187" fontId="30" fillId="0" borderId="32" xfId="0" applyNumberFormat="1" applyFont="1" applyBorder="1" applyAlignment="1">
      <alignment horizontal="center" vertical="center"/>
    </xf>
    <xf numFmtId="167" fontId="33" fillId="0" borderId="31" xfId="0" applyNumberFormat="1" applyFont="1" applyBorder="1" applyAlignment="1">
      <alignment horizontal="center" vertical="center"/>
    </xf>
    <xf numFmtId="167" fontId="33" fillId="0" borderId="32" xfId="0" applyNumberFormat="1" applyFont="1" applyBorder="1" applyAlignment="1">
      <alignment horizontal="center" vertical="center"/>
    </xf>
    <xf numFmtId="167" fontId="31" fillId="0" borderId="25" xfId="0" applyNumberFormat="1" applyFont="1" applyBorder="1" applyAlignment="1">
      <alignment horizontal="center" vertical="center"/>
    </xf>
    <xf numFmtId="167" fontId="31" fillId="0" borderId="15" xfId="0" applyNumberFormat="1" applyFont="1" applyBorder="1" applyAlignment="1">
      <alignment horizontal="center" vertical="center"/>
    </xf>
    <xf numFmtId="0" fontId="11" fillId="0" borderId="14" xfId="0" applyFont="1" applyBorder="1" applyAlignment="1">
      <alignment horizontal="center" vertical="center"/>
    </xf>
    <xf numFmtId="0" fontId="49" fillId="0" borderId="11" xfId="0" applyNumberFormat="1" applyFont="1" applyBorder="1" applyAlignment="1">
      <alignment horizontal="left" vertical="center"/>
    </xf>
    <xf numFmtId="0" fontId="30" fillId="0" borderId="0" xfId="0" applyNumberFormat="1" applyFont="1" applyFill="1" applyBorder="1" applyAlignment="1">
      <alignment horizontal="left" vertical="center"/>
    </xf>
    <xf numFmtId="0" fontId="14" fillId="0" borderId="0" xfId="0" applyFont="1" applyFill="1" applyBorder="1" applyAlignment="1">
      <alignment horizontal="left" vertical="center"/>
    </xf>
    <xf numFmtId="0" fontId="21" fillId="0" borderId="0" xfId="0" applyFont="1" applyBorder="1" applyAlignment="1">
      <alignment horizontal="left" vertical="center"/>
    </xf>
    <xf numFmtId="0" fontId="21" fillId="0" borderId="14" xfId="0" applyFont="1" applyBorder="1" applyAlignment="1">
      <alignment horizontal="left" vertical="center"/>
    </xf>
    <xf numFmtId="187" fontId="30" fillId="0" borderId="13" xfId="0" applyNumberFormat="1" applyFont="1" applyBorder="1" applyAlignment="1">
      <alignment horizontal="center" vertical="center"/>
    </xf>
    <xf numFmtId="187" fontId="30" fillId="0" borderId="14" xfId="0" applyNumberFormat="1" applyFont="1" applyBorder="1" applyAlignment="1">
      <alignment horizontal="center" vertical="center"/>
    </xf>
    <xf numFmtId="167" fontId="30" fillId="0" borderId="13" xfId="0" applyNumberFormat="1" applyFont="1" applyFill="1" applyBorder="1" applyAlignment="1">
      <alignment horizontal="center" vertical="center"/>
    </xf>
    <xf numFmtId="167" fontId="30" fillId="0" borderId="14" xfId="0" applyNumberFormat="1" applyFont="1" applyFill="1" applyBorder="1" applyAlignment="1">
      <alignment horizontal="center" vertical="center"/>
    </xf>
    <xf numFmtId="0" fontId="19" fillId="0" borderId="18" xfId="0" applyFont="1" applyBorder="1" applyAlignment="1">
      <alignment horizontal="center" vertical="center" wrapText="1"/>
    </xf>
    <xf numFmtId="0" fontId="19" fillId="0" borderId="22" xfId="0" applyFont="1" applyBorder="1" applyAlignment="1">
      <alignment horizontal="center" vertical="center" wrapText="1"/>
    </xf>
    <xf numFmtId="167" fontId="17" fillId="0" borderId="11" xfId="0" applyNumberFormat="1" applyFont="1" applyFill="1" applyBorder="1" applyAlignment="1">
      <alignment horizontal="center" vertical="center"/>
    </xf>
    <xf numFmtId="167" fontId="31" fillId="2" borderId="5" xfId="0" applyNumberFormat="1" applyFont="1" applyFill="1" applyBorder="1" applyAlignment="1">
      <alignment horizontal="center" vertical="center"/>
    </xf>
    <xf numFmtId="167" fontId="31" fillId="2" borderId="45" xfId="0" applyNumberFormat="1" applyFont="1" applyFill="1" applyBorder="1" applyAlignment="1">
      <alignment horizontal="center" vertical="center"/>
    </xf>
  </cellXfs>
  <cellStyles count="25">
    <cellStyle name="DATUM" xfId="1" xr:uid="{00000000-0005-0000-0000-000000000000}"/>
    <cellStyle name="Euro" xfId="2" xr:uid="{00000000-0005-0000-0000-000001000000}"/>
    <cellStyle name="FEST" xfId="3" xr:uid="{00000000-0005-0000-0000-000002000000}"/>
    <cellStyle name="Gesamt" xfId="4" xr:uid="{00000000-0005-0000-0000-000003000000}"/>
    <cellStyle name="Komma" xfId="5" builtinId="3"/>
    <cellStyle name="Komma 3 2" xfId="17" xr:uid="{EDE968DE-0235-4522-B764-69F8C9DB855A}"/>
    <cellStyle name="Komma0" xfId="6" xr:uid="{00000000-0005-0000-0000-000005000000}"/>
    <cellStyle name="KOPFZEILE1" xfId="7" xr:uid="{00000000-0005-0000-0000-000006000000}"/>
    <cellStyle name="KOPFZEILE2" xfId="8" xr:uid="{00000000-0005-0000-0000-000007000000}"/>
    <cellStyle name="Link" xfId="20" builtinId="8"/>
    <cellStyle name="Link 2" xfId="24" xr:uid="{89654F43-36AD-421A-98CC-661C58AACE7F}"/>
    <cellStyle name="Prozent" xfId="9" builtinId="5"/>
    <cellStyle name="Prozent 2 2" xfId="23" xr:uid="{59C174CF-9343-4129-A5AF-6F52E1ED7D23}"/>
    <cellStyle name="Prozent 3 2" xfId="18" xr:uid="{0F4CE27C-D905-430D-A06E-60E344F09D9F}"/>
    <cellStyle name="Standard" xfId="0" builtinId="0"/>
    <cellStyle name="Standard 2" xfId="10" xr:uid="{00000000-0005-0000-0000-00000A000000}"/>
    <cellStyle name="Standard 2 3" xfId="21" xr:uid="{B0F8190D-463B-4DD5-863B-3DC4CD6C7D69}"/>
    <cellStyle name="Standard 3" xfId="22" xr:uid="{B611DAB4-DE67-4FB9-B2F7-BFA4CB639E90}"/>
    <cellStyle name="Standard 4 2" xfId="16" xr:uid="{B0A72ADE-F025-418F-8A47-89D3210A8CFB}"/>
    <cellStyle name="Standard 6 2" xfId="19" xr:uid="{11C9E74C-4E87-4145-BFC3-E2A2E2E31E1E}"/>
    <cellStyle name="SUMME" xfId="11" xr:uid="{00000000-0005-0000-0000-00000B000000}"/>
    <cellStyle name="Währung" xfId="15" builtinId="4"/>
    <cellStyle name="Währung0" xfId="12" xr:uid="{00000000-0005-0000-0000-00000C000000}"/>
    <cellStyle name="Zeile 1" xfId="13" xr:uid="{00000000-0005-0000-0000-00000D000000}"/>
    <cellStyle name="Zeile 2" xfId="14" xr:uid="{00000000-0005-0000-0000-00000E000000}"/>
  </cellStyles>
  <dxfs count="182">
    <dxf>
      <border>
        <top style="thin">
          <color theme="0"/>
        </top>
        <bottom style="thin">
          <color theme="0"/>
        </bottom>
        <vertical/>
        <horizontal/>
      </border>
    </dxf>
    <dxf>
      <font>
        <color theme="0"/>
      </font>
      <border>
        <left style="thin">
          <color theme="0"/>
        </left>
        <right style="thin">
          <color theme="0"/>
        </right>
        <vertical/>
        <horizontal/>
      </border>
    </dxf>
    <dxf>
      <font>
        <strike/>
        <color rgb="FFFF0000"/>
      </font>
      <fill>
        <patternFill>
          <bgColor theme="0" tint="-0.14996795556505021"/>
        </patternFill>
      </fill>
    </dxf>
    <dxf>
      <font>
        <strike val="0"/>
        <color rgb="FFFF0000"/>
      </font>
      <fill>
        <patternFill>
          <bgColor theme="0" tint="-0.14996795556505021"/>
        </patternFill>
      </fill>
    </dxf>
    <dxf>
      <font>
        <color theme="1"/>
      </font>
      <fill>
        <patternFill>
          <bgColor theme="1"/>
        </patternFill>
      </fill>
    </dxf>
    <dxf>
      <font>
        <color theme="0"/>
      </font>
    </dxf>
    <dxf>
      <font>
        <color theme="0"/>
      </font>
      <fill>
        <patternFill patternType="lightUp">
          <fgColor theme="0" tint="-0.499984740745262"/>
        </patternFill>
      </fill>
    </dxf>
    <dxf>
      <font>
        <color theme="1"/>
      </font>
      <fill>
        <patternFill>
          <bgColor theme="1"/>
        </patternFill>
      </fill>
    </dxf>
    <dxf>
      <font>
        <b/>
        <i val="0"/>
        <strike val="0"/>
      </font>
    </dxf>
    <dxf>
      <font>
        <b/>
        <i val="0"/>
        <strike val="0"/>
      </font>
    </dxf>
    <dxf>
      <font>
        <b/>
        <i val="0"/>
        <strike val="0"/>
      </font>
    </dxf>
    <dxf>
      <font>
        <b/>
        <i val="0"/>
      </font>
    </dxf>
    <dxf>
      <border>
        <top style="thin">
          <color theme="0"/>
        </top>
        <bottom style="thin">
          <color theme="0"/>
        </bottom>
        <vertical/>
        <horizontal/>
      </border>
    </dxf>
    <dxf>
      <font>
        <color theme="0"/>
      </font>
      <border>
        <left style="thin">
          <color theme="0"/>
        </left>
        <right style="thin">
          <color theme="0"/>
        </right>
        <vertical/>
        <horizontal/>
      </border>
    </dxf>
    <dxf>
      <font>
        <strike/>
        <color rgb="FFFF0000"/>
      </font>
      <fill>
        <patternFill>
          <bgColor theme="0" tint="-0.14996795556505021"/>
        </patternFill>
      </fill>
    </dxf>
    <dxf>
      <font>
        <color rgb="FFFF0000"/>
      </font>
    </dxf>
    <dxf>
      <font>
        <color theme="0"/>
      </font>
    </dxf>
    <dxf>
      <font>
        <color theme="1"/>
      </font>
      <fill>
        <patternFill>
          <bgColor theme="1"/>
        </patternFill>
      </fill>
    </dxf>
    <dxf>
      <font>
        <b/>
        <i val="0"/>
        <strike val="0"/>
      </font>
    </dxf>
    <dxf>
      <font>
        <b/>
        <i val="0"/>
        <strike val="0"/>
      </font>
    </dxf>
    <dxf>
      <font>
        <b/>
        <i val="0"/>
        <strike val="0"/>
      </font>
    </dxf>
    <dxf>
      <font>
        <b/>
        <i val="0"/>
      </font>
    </dxf>
    <dxf>
      <border>
        <top style="thin">
          <color theme="0"/>
        </top>
        <bottom style="thin">
          <color theme="0"/>
        </bottom>
        <vertical/>
        <horizontal/>
      </border>
    </dxf>
    <dxf>
      <font>
        <color theme="0"/>
      </font>
      <border>
        <left style="thin">
          <color theme="0"/>
        </left>
        <right style="thin">
          <color theme="0"/>
        </right>
        <vertical/>
        <horizontal/>
      </border>
    </dxf>
    <dxf>
      <font>
        <strike/>
        <color rgb="FFFF0000"/>
      </font>
      <fill>
        <patternFill>
          <bgColor theme="0" tint="-0.14996795556505021"/>
        </patternFill>
      </fill>
    </dxf>
    <dxf>
      <font>
        <color rgb="FFFF0000"/>
      </font>
    </dxf>
    <dxf>
      <font>
        <color theme="0"/>
      </font>
    </dxf>
    <dxf>
      <font>
        <color theme="1"/>
      </font>
      <fill>
        <patternFill>
          <bgColor theme="1"/>
        </patternFill>
      </fill>
    </dxf>
    <dxf>
      <font>
        <b/>
        <i val="0"/>
        <strike val="0"/>
      </font>
    </dxf>
    <dxf>
      <font>
        <b/>
        <i val="0"/>
        <strike val="0"/>
      </font>
    </dxf>
    <dxf>
      <font>
        <b/>
        <i val="0"/>
        <strike val="0"/>
      </font>
    </dxf>
    <dxf>
      <font>
        <b/>
        <i val="0"/>
      </font>
    </dxf>
    <dxf>
      <border>
        <top style="thin">
          <color theme="0"/>
        </top>
        <bottom style="thin">
          <color theme="0"/>
        </bottom>
        <vertical/>
        <horizontal/>
      </border>
    </dxf>
    <dxf>
      <font>
        <color theme="0"/>
      </font>
      <border>
        <left style="thin">
          <color theme="0"/>
        </left>
        <right style="thin">
          <color theme="0"/>
        </right>
        <vertical/>
        <horizontal/>
      </border>
    </dxf>
    <dxf>
      <font>
        <strike/>
        <color rgb="FFFF0000"/>
      </font>
      <fill>
        <patternFill>
          <bgColor theme="0" tint="-0.14996795556505021"/>
        </patternFill>
      </fill>
    </dxf>
    <dxf>
      <font>
        <color rgb="FFFF0000"/>
      </font>
    </dxf>
    <dxf>
      <font>
        <color theme="0"/>
      </font>
    </dxf>
    <dxf>
      <font>
        <color theme="1"/>
      </font>
      <fill>
        <patternFill>
          <bgColor theme="1"/>
        </patternFill>
      </fill>
    </dxf>
    <dxf>
      <font>
        <b/>
        <i val="0"/>
        <strike val="0"/>
      </font>
    </dxf>
    <dxf>
      <font>
        <b/>
        <i val="0"/>
        <strike val="0"/>
      </font>
    </dxf>
    <dxf>
      <font>
        <b/>
        <i val="0"/>
        <strike val="0"/>
      </font>
    </dxf>
    <dxf>
      <font>
        <b/>
        <i val="0"/>
      </font>
    </dxf>
    <dxf>
      <border>
        <top style="thin">
          <color theme="0"/>
        </top>
        <bottom style="thin">
          <color theme="0"/>
        </bottom>
        <vertical/>
        <horizontal/>
      </border>
    </dxf>
    <dxf>
      <font>
        <color theme="0"/>
      </font>
      <border>
        <left style="thin">
          <color theme="0"/>
        </left>
        <right style="thin">
          <color theme="0"/>
        </right>
        <vertical/>
        <horizontal/>
      </border>
    </dxf>
    <dxf>
      <font>
        <strike/>
        <color rgb="FFFF0000"/>
      </font>
      <fill>
        <patternFill>
          <bgColor theme="0" tint="-0.14996795556505021"/>
        </patternFill>
      </fill>
    </dxf>
    <dxf>
      <font>
        <color rgb="FFFF0000"/>
      </font>
    </dxf>
    <dxf>
      <font>
        <color theme="0"/>
      </font>
    </dxf>
    <dxf>
      <font>
        <color theme="1"/>
      </font>
      <fill>
        <patternFill>
          <bgColor theme="1"/>
        </patternFill>
      </fill>
    </dxf>
    <dxf>
      <font>
        <b/>
        <i val="0"/>
        <strike val="0"/>
      </font>
    </dxf>
    <dxf>
      <font>
        <b/>
        <i val="0"/>
      </font>
    </dxf>
    <dxf>
      <font>
        <b/>
        <i val="0"/>
        <strike val="0"/>
      </font>
    </dxf>
    <dxf>
      <font>
        <b/>
        <i val="0"/>
        <strike val="0"/>
      </font>
    </dxf>
    <dxf>
      <border>
        <top/>
        <bottom/>
        <vertical/>
        <horizontal/>
      </border>
    </dxf>
    <dxf>
      <font>
        <color theme="0"/>
      </font>
      <border>
        <left style="thin">
          <color theme="0"/>
        </left>
        <right style="thin">
          <color theme="0"/>
        </right>
        <vertical/>
        <horizontal/>
      </border>
    </dxf>
    <dxf>
      <font>
        <strike/>
        <color rgb="FFFF0000"/>
      </font>
    </dxf>
    <dxf>
      <font>
        <color rgb="FFFF0000"/>
      </font>
    </dxf>
    <dxf>
      <font>
        <color theme="0"/>
      </font>
    </dxf>
    <dxf>
      <font>
        <b/>
        <i val="0"/>
        <strike val="0"/>
        <color theme="1"/>
      </font>
      <fill>
        <patternFill>
          <bgColor theme="1"/>
        </patternFill>
      </fill>
    </dxf>
    <dxf>
      <font>
        <b/>
        <i val="0"/>
        <strike val="0"/>
      </font>
    </dxf>
    <dxf>
      <font>
        <b/>
        <i val="0"/>
      </font>
    </dxf>
    <dxf>
      <font>
        <b/>
        <i val="0"/>
        <strike val="0"/>
      </font>
    </dxf>
    <dxf>
      <font>
        <b/>
        <i val="0"/>
        <strike val="0"/>
      </font>
    </dxf>
    <dxf>
      <font>
        <color rgb="FFFF0000"/>
      </font>
    </dxf>
    <dxf>
      <font>
        <color auto="1"/>
      </font>
      <fill>
        <patternFill>
          <bgColor theme="1"/>
        </patternFill>
      </fill>
      <border>
        <left style="thin">
          <color auto="1"/>
        </left>
        <right style="thin">
          <color auto="1"/>
        </right>
        <top style="thin">
          <color auto="1"/>
        </top>
        <bottom style="thin">
          <color auto="1"/>
        </bottom>
        <vertical/>
        <horizontal/>
      </border>
    </dxf>
    <dxf>
      <font>
        <color theme="0"/>
      </font>
      <border>
        <left style="thin">
          <color theme="0"/>
        </left>
        <right style="thin">
          <color theme="0"/>
        </right>
        <bottom style="thin">
          <color theme="0"/>
        </bottom>
        <vertical/>
        <horizontal/>
      </border>
    </dxf>
    <dxf>
      <font>
        <color rgb="FFFF0000"/>
      </font>
    </dxf>
    <dxf>
      <font>
        <color theme="1"/>
      </font>
      <fill>
        <patternFill>
          <bgColor theme="1"/>
        </patternFill>
      </fill>
    </dxf>
    <dxf>
      <font>
        <color theme="0"/>
      </font>
    </dxf>
    <dxf>
      <font>
        <color theme="0"/>
      </font>
    </dxf>
    <dxf>
      <font>
        <color theme="0"/>
      </font>
      <fill>
        <patternFill>
          <bgColor theme="0"/>
        </patternFill>
      </fill>
    </dxf>
    <dxf>
      <font>
        <color theme="0"/>
      </font>
      <fill>
        <patternFill>
          <bgColor theme="0"/>
        </patternFill>
      </fill>
    </dxf>
    <dxf>
      <font>
        <b val="0"/>
        <i val="0"/>
        <color theme="0" tint="-4.9989318521683403E-2"/>
      </font>
      <fill>
        <patternFill patternType="lightGray">
          <fgColor theme="0"/>
          <bgColor theme="0" tint="-4.9989318521683403E-2"/>
        </patternFill>
      </fill>
      <border>
        <vertical/>
        <horizontal/>
      </border>
    </dxf>
    <dxf>
      <font>
        <b/>
        <i val="0"/>
      </font>
    </dxf>
    <dxf>
      <font>
        <b/>
        <i val="0"/>
      </font>
    </dxf>
    <dxf>
      <font>
        <b/>
        <i val="0"/>
      </font>
    </dxf>
    <dxf>
      <font>
        <color rgb="FFC00000"/>
      </font>
    </dxf>
    <dxf>
      <font>
        <color theme="0"/>
      </font>
    </dxf>
    <dxf>
      <font>
        <color theme="0"/>
      </font>
    </dxf>
    <dxf>
      <font>
        <color theme="0"/>
      </font>
    </dxf>
    <dxf>
      <font>
        <color theme="0"/>
      </font>
    </dxf>
    <dxf>
      <font>
        <color theme="0"/>
      </font>
    </dxf>
    <dxf>
      <font>
        <strike val="0"/>
        <color theme="0"/>
      </font>
    </dxf>
    <dxf>
      <font>
        <color rgb="FFFF0000"/>
      </font>
    </dxf>
    <dxf>
      <font>
        <color rgb="FFFF0000"/>
      </font>
    </dxf>
    <dxf>
      <font>
        <color theme="0"/>
      </font>
      <fill>
        <patternFill>
          <bgColor theme="0"/>
        </patternFill>
      </fill>
    </dxf>
    <dxf>
      <font>
        <color rgb="FFFF0000"/>
      </font>
      <fill>
        <patternFill>
          <bgColor rgb="FFFFFF00"/>
        </patternFill>
      </fill>
    </dxf>
    <dxf>
      <font>
        <color theme="0"/>
      </font>
    </dxf>
    <dxf>
      <font>
        <color rgb="FFFF0000"/>
      </font>
    </dxf>
    <dxf>
      <font>
        <color rgb="FFFF0000"/>
      </font>
    </dxf>
    <dxf>
      <font>
        <color rgb="FFFF0000"/>
      </font>
    </dxf>
    <dxf>
      <font>
        <color rgb="FFFF0000"/>
      </font>
    </dxf>
    <dxf>
      <font>
        <b/>
        <i val="0"/>
      </font>
    </dxf>
    <dxf>
      <font>
        <b/>
        <i val="0"/>
      </font>
    </dxf>
    <dxf>
      <font>
        <b/>
        <i val="0"/>
      </font>
    </dxf>
    <dxf>
      <font>
        <b/>
        <i val="0"/>
      </font>
    </dxf>
    <dxf>
      <font>
        <b/>
        <i val="0"/>
      </font>
    </dxf>
    <dxf>
      <font>
        <b/>
        <i val="0"/>
      </font>
    </dxf>
    <dxf>
      <font>
        <b/>
        <i val="0"/>
      </font>
    </dxf>
    <dxf>
      <font>
        <b/>
        <i val="0"/>
      </font>
    </dxf>
    <dxf>
      <font>
        <b/>
        <i val="0"/>
      </font>
    </dxf>
    <dxf>
      <font>
        <color rgb="FFC00000"/>
      </font>
    </dxf>
    <dxf>
      <font>
        <color theme="0"/>
      </font>
    </dxf>
    <dxf>
      <font>
        <color theme="0"/>
      </font>
    </dxf>
    <dxf>
      <font>
        <color theme="0"/>
      </font>
    </dxf>
    <dxf>
      <font>
        <color theme="0"/>
      </font>
    </dxf>
    <dxf>
      <font>
        <color theme="0"/>
      </font>
    </dxf>
    <dxf>
      <font>
        <strike val="0"/>
        <color theme="0"/>
      </font>
    </dxf>
    <dxf>
      <font>
        <color rgb="FFC00000"/>
      </font>
    </dxf>
    <dxf>
      <font>
        <color theme="0"/>
      </font>
    </dxf>
    <dxf>
      <font>
        <color theme="0"/>
      </font>
    </dxf>
    <dxf>
      <font>
        <color theme="0"/>
      </font>
    </dxf>
    <dxf>
      <font>
        <color theme="0"/>
      </font>
    </dxf>
    <dxf>
      <font>
        <color theme="0"/>
      </font>
    </dxf>
    <dxf>
      <font>
        <strike val="0"/>
        <color theme="0"/>
      </font>
    </dxf>
    <dxf>
      <font>
        <color rgb="FFFF0000"/>
      </font>
    </dxf>
    <dxf>
      <font>
        <color rgb="FFC00000"/>
      </font>
    </dxf>
    <dxf>
      <font>
        <color rgb="FFC00000"/>
      </font>
    </dxf>
    <dxf>
      <font>
        <b/>
        <i val="0"/>
        <color rgb="FFC00000"/>
      </font>
    </dxf>
    <dxf>
      <font>
        <color theme="0"/>
      </font>
    </dxf>
    <dxf>
      <font>
        <color theme="0"/>
      </font>
    </dxf>
    <dxf>
      <font>
        <color theme="0"/>
      </font>
    </dxf>
    <dxf>
      <font>
        <color theme="0"/>
      </font>
    </dxf>
    <dxf>
      <font>
        <color theme="0"/>
      </font>
    </dxf>
    <dxf>
      <font>
        <color theme="0"/>
      </font>
    </dxf>
    <dxf>
      <font>
        <b/>
        <i val="0"/>
      </font>
    </dxf>
    <dxf>
      <font>
        <b/>
        <i val="0"/>
      </font>
    </dxf>
    <dxf>
      <font>
        <b/>
        <i val="0"/>
      </font>
    </dxf>
    <dxf>
      <font>
        <color theme="0"/>
      </font>
    </dxf>
    <dxf>
      <font>
        <color theme="0"/>
      </font>
    </dxf>
    <dxf>
      <font>
        <color theme="0"/>
      </font>
    </dxf>
    <dxf>
      <font>
        <color theme="0"/>
      </font>
    </dxf>
    <dxf>
      <font>
        <color rgb="FFFF0000"/>
      </font>
    </dxf>
    <dxf>
      <font>
        <color theme="0" tint="-0.34998626667073579"/>
      </font>
    </dxf>
    <dxf>
      <font>
        <color theme="0" tint="-0.34998626667073579"/>
      </font>
    </dxf>
    <dxf>
      <font>
        <color theme="0" tint="-0.34998626667073579"/>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strike val="0"/>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0000"/>
      </font>
      <border>
        <left style="thin">
          <color auto="1"/>
        </left>
        <right style="thin">
          <color auto="1"/>
        </right>
        <top style="thin">
          <color auto="1"/>
        </top>
        <bottom style="thin">
          <color auto="1"/>
        </bottom>
        <vertical/>
        <horizontal/>
      </border>
    </dxf>
    <dxf>
      <font>
        <b/>
        <i val="0"/>
        <color theme="1"/>
      </font>
      <fill>
        <patternFill patternType="gray125">
          <fgColor theme="5" tint="0.59996337778862885"/>
          <bgColor theme="5" tint="0.59996337778862885"/>
        </patternFill>
      </fill>
    </dxf>
    <dxf>
      <font>
        <b/>
        <i val="0"/>
      </font>
      <fill>
        <patternFill patternType="lightGray">
          <fgColor rgb="FFEF9A8F"/>
          <bgColor rgb="FFFF0000"/>
        </patternFill>
      </fill>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i val="0"/>
        <color rgb="FFFF0000"/>
      </font>
    </dxf>
    <dxf>
      <font>
        <color theme="0"/>
      </font>
      <fill>
        <patternFill>
          <bgColor theme="0"/>
        </patternFill>
      </fill>
      <border>
        <left/>
        <right/>
        <top/>
        <bottom/>
        <vertical/>
        <horizontal/>
      </border>
    </dxf>
    <dxf>
      <fill>
        <patternFill>
          <bgColor theme="5" tint="0.59996337778862885"/>
        </patternFill>
      </fill>
    </dxf>
    <dxf>
      <font>
        <b/>
        <i val="0"/>
        <color rgb="FFFF0000"/>
      </font>
    </dxf>
    <dxf>
      <font>
        <color theme="0"/>
      </font>
      <fill>
        <patternFill>
          <bgColor theme="0"/>
        </patternFill>
      </fill>
    </dxf>
    <dxf>
      <font>
        <color rgb="FF00B050"/>
      </font>
    </dxf>
    <dxf>
      <font>
        <color rgb="FF00B05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EF9A8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Kostenstruktur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explosion val="21"/>
            <c:spPr>
              <a:solidFill>
                <a:srgbClr val="FF0000"/>
              </a:solidFill>
              <a:ln w="19050">
                <a:solidFill>
                  <a:schemeClr val="lt1"/>
                </a:solidFill>
              </a:ln>
              <a:effectLst/>
            </c:spPr>
            <c:extLst>
              <c:ext xmlns:c16="http://schemas.microsoft.com/office/drawing/2014/chart" uri="{C3380CC4-5D6E-409C-BE32-E72D297353CC}">
                <c16:uniqueId val="{00000002-F054-45D5-9825-B06DE22F3AD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253-4095-8EB2-D8DF659B96D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1-F054-45D5-9825-B06DE22F3AD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253-4095-8EB2-D8DF659B96D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253-4095-8EB2-D8DF659B96D9}"/>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253-4095-8EB2-D8DF659B96D9}"/>
              </c:ext>
            </c:extLst>
          </c:dPt>
          <c:dPt>
            <c:idx val="6"/>
            <c:bubble3D val="0"/>
            <c:spPr>
              <a:solidFill>
                <a:schemeClr val="tx1"/>
              </a:solidFill>
              <a:ln w="19050">
                <a:solidFill>
                  <a:schemeClr val="lt1"/>
                </a:solidFill>
              </a:ln>
              <a:effectLst/>
            </c:spPr>
            <c:extLst>
              <c:ext xmlns:c16="http://schemas.microsoft.com/office/drawing/2014/chart" uri="{C3380CC4-5D6E-409C-BE32-E72D297353CC}">
                <c16:uniqueId val="{00000003-F054-45D5-9825-B06DE22F3ADC}"/>
              </c:ext>
            </c:extLst>
          </c:dPt>
          <c:cat>
            <c:strRef>
              <c:f>Report!$A$55:$A$61</c:f>
              <c:strCache>
                <c:ptCount val="7"/>
                <c:pt idx="0">
                  <c:v>KV-Entgelt produktiv Tätige</c:v>
                </c:pt>
                <c:pt idx="1">
                  <c:v>Weitere Personalkosten produktiv</c:v>
                </c:pt>
                <c:pt idx="2">
                  <c:v>Personalnebenkosten</c:v>
                </c:pt>
                <c:pt idx="3">
                  <c:v>Unproduktives Personal</c:v>
                </c:pt>
                <c:pt idx="4">
                  <c:v>Deckung Personalgemeinkosten</c:v>
                </c:pt>
                <c:pt idx="5">
                  <c:v>Umlagen ohne GZ</c:v>
                </c:pt>
                <c:pt idx="6">
                  <c:v>Gesamtzuschlag</c:v>
                </c:pt>
              </c:strCache>
            </c:strRef>
          </c:cat>
          <c:val>
            <c:numRef>
              <c:f>Report!$E$55:$E$61</c:f>
              <c:numCache>
                <c:formatCode>0.00%</c:formatCode>
                <c:ptCount val="7"/>
                <c:pt idx="0">
                  <c:v>1</c:v>
                </c:pt>
                <c:pt idx="1">
                  <c:v>0.29759999999999998</c:v>
                </c:pt>
                <c:pt idx="2">
                  <c:v>1.2374000000000001</c:v>
                </c:pt>
                <c:pt idx="3">
                  <c:v>0.14749999999999999</c:v>
                </c:pt>
                <c:pt idx="4">
                  <c:v>0.3674</c:v>
                </c:pt>
                <c:pt idx="5">
                  <c:v>0</c:v>
                </c:pt>
                <c:pt idx="6">
                  <c:v>0.68340000000000001</c:v>
                </c:pt>
              </c:numCache>
            </c:numRef>
          </c:val>
          <c:extLst>
            <c:ext xmlns:c16="http://schemas.microsoft.com/office/drawing/2014/chart" uri="{C3380CC4-5D6E-409C-BE32-E72D297353CC}">
              <c16:uniqueId val="{00000000-F054-45D5-9825-B06DE22F3ADC}"/>
            </c:ext>
          </c:extLst>
        </c:ser>
        <c:dLbls>
          <c:showLegendKey val="0"/>
          <c:showVal val="0"/>
          <c:showCatName val="0"/>
          <c:showSerName val="0"/>
          <c:showPercent val="0"/>
          <c:showBubbleSize val="0"/>
          <c:showLeaderLines val="1"/>
        </c:dLbls>
        <c:firstSliceAng val="0"/>
      </c:pieChart>
      <c:spPr>
        <a:noFill/>
        <a:ln>
          <a:noFill/>
        </a:ln>
        <a:effectLst/>
      </c:spPr>
    </c:plotArea>
    <c:legend>
      <c:legendPos val="r"/>
      <c:legendEntry>
        <c:idx val="0"/>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1"/>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2"/>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3"/>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4"/>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5"/>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6"/>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ayout>
        <c:manualLayout>
          <c:xMode val="edge"/>
          <c:yMode val="edge"/>
          <c:x val="0.56991457997828077"/>
          <c:y val="9.713910761154855E-2"/>
          <c:w val="0.41576133900456658"/>
          <c:h val="0.7366936424613590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hyperlink" Target="http://www.bauwesen.at/k3" TargetMode="External"/></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309563</xdr:colOff>
      <xdr:row>170</xdr:row>
      <xdr:rowOff>101656</xdr:rowOff>
    </xdr:from>
    <xdr:to>
      <xdr:col>3</xdr:col>
      <xdr:colOff>838201</xdr:colOff>
      <xdr:row>180</xdr:row>
      <xdr:rowOff>109538</xdr:rowOff>
    </xdr:to>
    <xdr:pic>
      <xdr:nvPicPr>
        <xdr:cNvPr id="3" name="Grafik 2">
          <a:extLst>
            <a:ext uri="{FF2B5EF4-FFF2-40B4-BE49-F238E27FC236}">
              <a16:creationId xmlns:a16="http://schemas.microsoft.com/office/drawing/2014/main" id="{CC69CAE5-5E17-4EDD-A03B-6C0FE7665E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9563" y="34991731"/>
          <a:ext cx="3824288" cy="20081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15</xdr:row>
      <xdr:rowOff>0</xdr:rowOff>
    </xdr:from>
    <xdr:to>
      <xdr:col>7</xdr:col>
      <xdr:colOff>4763</xdr:colOff>
      <xdr:row>16</xdr:row>
      <xdr:rowOff>4763</xdr:rowOff>
    </xdr:to>
    <xdr:pic>
      <xdr:nvPicPr>
        <xdr:cNvPr id="3" name="Grafik 2">
          <a:hlinkClick xmlns:r="http://schemas.openxmlformats.org/officeDocument/2006/relationships" r:id="rId1" tooltip="Link folgen zu bauwesen.at"/>
          <a:extLst>
            <a:ext uri="{FF2B5EF4-FFF2-40B4-BE49-F238E27FC236}">
              <a16:creationId xmlns:a16="http://schemas.microsoft.com/office/drawing/2014/main" id="{F92B357E-97EF-401B-8BD5-2F46942FD55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71900" y="3500438"/>
          <a:ext cx="1471613"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62</xdr:row>
      <xdr:rowOff>114300</xdr:rowOff>
    </xdr:from>
    <xdr:to>
      <xdr:col>8</xdr:col>
      <xdr:colOff>209550</xdr:colOff>
      <xdr:row>74</xdr:row>
      <xdr:rowOff>57150</xdr:rowOff>
    </xdr:to>
    <xdr:graphicFrame macro="">
      <xdr:nvGraphicFramePr>
        <xdr:cNvPr id="4" name="Diagramm 3">
          <a:extLst>
            <a:ext uri="{FF2B5EF4-FFF2-40B4-BE49-F238E27FC236}">
              <a16:creationId xmlns:a16="http://schemas.microsoft.com/office/drawing/2014/main" id="{7DD85801-B900-42D6-B107-0796CB6868D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wbsrv02.bwb.local\Daten\Projekte\2015\018-WKO%20-%20MLP%20Brosch&#252;re%202015\Unterlagen\USK-Empfehlung%202015-LN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YCLOUDEX2ULTRA\Daten\Users\akropik\Desktop\Kropik\Desktop\BUCH%20Kalk\2020%20K3%2002xx%20E+M%20Mittelloh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wbsrv02.bwb.local\Daten\Projekte\2016\026-WKO%20-%20MLP%20Brosch&#252;re%202016\Unterlagen\USK-Empfehlung%202016-LN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L_AZ.XLS"/>
      <sheetName val="SV_SATZ.XLS"/>
      <sheetName val="KALK.XLS"/>
      <sheetName val="LOHNNK"/>
      <sheetName val="KV-TAB 2015 gewichtet"/>
      <sheetName val="Schlechtwetter"/>
    </sheetNames>
    <sheetDataSet>
      <sheetData sheetId="0">
        <row r="58">
          <cell r="H58">
            <v>39</v>
          </cell>
          <cell r="I58">
            <v>39</v>
          </cell>
        </row>
        <row r="79">
          <cell r="H79">
            <v>7.6314285714285699</v>
          </cell>
        </row>
        <row r="86">
          <cell r="H86">
            <v>4.29</v>
          </cell>
        </row>
        <row r="93">
          <cell r="H93">
            <v>0.5</v>
          </cell>
        </row>
        <row r="108">
          <cell r="H108">
            <v>25.86</v>
          </cell>
          <cell r="I108">
            <v>25.892318076923083</v>
          </cell>
        </row>
        <row r="115">
          <cell r="H115">
            <v>1.35</v>
          </cell>
          <cell r="I115">
            <v>1.35</v>
          </cell>
        </row>
        <row r="120">
          <cell r="H120">
            <v>2</v>
          </cell>
          <cell r="I120">
            <v>2</v>
          </cell>
        </row>
        <row r="139">
          <cell r="H139">
            <v>13.85</v>
          </cell>
          <cell r="I139">
            <v>13.655696616857176</v>
          </cell>
        </row>
        <row r="155">
          <cell r="H155">
            <v>5.21</v>
          </cell>
        </row>
        <row r="161">
          <cell r="H161">
            <v>2</v>
          </cell>
          <cell r="I161">
            <v>2</v>
          </cell>
        </row>
        <row r="168">
          <cell r="H168">
            <v>1.31</v>
          </cell>
        </row>
        <row r="174">
          <cell r="H174">
            <v>0.19</v>
          </cell>
        </row>
        <row r="184">
          <cell r="H184">
            <v>0.28000000000000003</v>
          </cell>
        </row>
        <row r="185">
          <cell r="I185">
            <v>0.27500000000000002</v>
          </cell>
        </row>
        <row r="190">
          <cell r="H190">
            <v>0.5</v>
          </cell>
        </row>
        <row r="196">
          <cell r="H196">
            <v>193.66857142857143</v>
          </cell>
          <cell r="I196">
            <v>193.3268814000231</v>
          </cell>
        </row>
        <row r="197">
          <cell r="H197">
            <v>0.51634604036350762</v>
          </cell>
          <cell r="I197">
            <v>0.51725864130133348</v>
          </cell>
        </row>
      </sheetData>
      <sheetData sheetId="1">
        <row r="12">
          <cell r="G12">
            <v>0.5</v>
          </cell>
          <cell r="H12">
            <v>0.5</v>
          </cell>
        </row>
        <row r="15">
          <cell r="G15">
            <v>26.9</v>
          </cell>
          <cell r="H15">
            <v>26.7</v>
          </cell>
        </row>
        <row r="27">
          <cell r="E27">
            <v>4.5000000000000005E-3</v>
          </cell>
        </row>
        <row r="29">
          <cell r="E29">
            <v>3.7000000000000005E-2</v>
          </cell>
          <cell r="F29">
            <v>3.85E-2</v>
          </cell>
        </row>
        <row r="31">
          <cell r="E31">
            <v>1.3000000000000001E-2</v>
          </cell>
        </row>
        <row r="39">
          <cell r="E39">
            <v>4650</v>
          </cell>
        </row>
      </sheetData>
      <sheetData sheetId="2">
        <row r="6">
          <cell r="L6">
            <v>0.51634604036350762</v>
          </cell>
          <cell r="M6">
            <v>0.51725864130133348</v>
          </cell>
        </row>
        <row r="8">
          <cell r="L8">
            <v>26.9</v>
          </cell>
          <cell r="M8">
            <v>26.7</v>
          </cell>
        </row>
        <row r="12">
          <cell r="L12">
            <v>0.65524312522129113</v>
          </cell>
          <cell r="M12">
            <v>0.65536669852878948</v>
          </cell>
        </row>
        <row r="21">
          <cell r="L21">
            <v>12.5903688</v>
          </cell>
          <cell r="M21">
            <v>12.8697499</v>
          </cell>
        </row>
        <row r="409">
          <cell r="M409">
            <v>4.6753751633425669</v>
          </cell>
        </row>
        <row r="418">
          <cell r="L418">
            <v>94.15794522774496</v>
          </cell>
          <cell r="M418">
            <v>95.206771630882429</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mm KV-Daten"/>
      <sheetName val="Stamm Pers.NK"/>
      <sheetName val="Projekt"/>
      <sheetName val="K2 2020"/>
      <sheetName val=" K3 2020 MLP"/>
      <sheetName val=" K3 2020 Regie1"/>
      <sheetName val=" K3 2020 Regie2"/>
      <sheetName val=" K3 1999"/>
    </sheetNames>
    <sheetDataSet>
      <sheetData sheetId="0">
        <row r="7">
          <cell r="A7" t="str">
            <v>LG Techniker</v>
          </cell>
        </row>
        <row r="8">
          <cell r="A8" t="str">
            <v>LG 1 Spitzenfacharbeiter</v>
          </cell>
        </row>
        <row r="9">
          <cell r="A9" t="str">
            <v>LG 2 Qualifizierter Facharbeiter</v>
          </cell>
        </row>
        <row r="10">
          <cell r="A10" t="str">
            <v xml:space="preserve">LG 3 Facharbeiter </v>
          </cell>
        </row>
        <row r="11">
          <cell r="A11" t="str">
            <v>LG 4 Besonders qualifizierter Arbeitnehmer</v>
          </cell>
        </row>
        <row r="12">
          <cell r="A12" t="str">
            <v>LG 5 Qualifizierter Arbeitnehmer</v>
          </cell>
        </row>
        <row r="13">
          <cell r="A13" t="str">
            <v>LG 6 Arbeitnehmer mit Zweckausbildung</v>
          </cell>
        </row>
        <row r="14">
          <cell r="A14" t="str">
            <v>LG 7 Arbeitnehmer ohne Zweckausbildung</v>
          </cell>
        </row>
        <row r="15">
          <cell r="A15"/>
        </row>
        <row r="16">
          <cell r="A16" t="str">
            <v>1. Lehrjahr</v>
          </cell>
        </row>
        <row r="17">
          <cell r="A17" t="str">
            <v>2. Lehrjahr</v>
          </cell>
        </row>
        <row r="18">
          <cell r="A18" t="str">
            <v>3. Lehrjahr</v>
          </cell>
        </row>
        <row r="19">
          <cell r="A19" t="str">
            <v>4. Lehrjahr</v>
          </cell>
        </row>
        <row r="20">
          <cell r="A20"/>
        </row>
        <row r="21">
          <cell r="A21"/>
        </row>
        <row r="22">
          <cell r="A22"/>
        </row>
        <row r="23">
          <cell r="A23"/>
        </row>
        <row r="24">
          <cell r="A24"/>
        </row>
        <row r="25">
          <cell r="A25"/>
        </row>
        <row r="26">
          <cell r="A26"/>
        </row>
        <row r="27">
          <cell r="A27"/>
        </row>
        <row r="28">
          <cell r="A28"/>
        </row>
        <row r="29">
          <cell r="A29"/>
        </row>
        <row r="30">
          <cell r="A30"/>
        </row>
        <row r="31">
          <cell r="A31"/>
        </row>
        <row r="32">
          <cell r="A32"/>
        </row>
        <row r="33">
          <cell r="A33"/>
        </row>
        <row r="39">
          <cell r="A39" t="str">
            <v>Zeitausgleich 25%</v>
          </cell>
        </row>
        <row r="40">
          <cell r="A40"/>
        </row>
        <row r="41">
          <cell r="A41" t="str">
            <v>Überstunde 50%</v>
          </cell>
        </row>
        <row r="42">
          <cell r="A42" t="str">
            <v>Überstunde 75%</v>
          </cell>
        </row>
        <row r="43">
          <cell r="A43" t="str">
            <v>Überstunde 100%</v>
          </cell>
        </row>
        <row r="44">
          <cell r="A44"/>
        </row>
        <row r="45">
          <cell r="A45"/>
        </row>
        <row r="46">
          <cell r="A46"/>
        </row>
        <row r="47">
          <cell r="A47"/>
        </row>
        <row r="48">
          <cell r="A48"/>
        </row>
        <row r="50">
          <cell r="A50" t="str">
            <v>Sonntagszuschlag (Basis=Lohn)</v>
          </cell>
        </row>
        <row r="51">
          <cell r="A51"/>
        </row>
        <row r="52">
          <cell r="A52"/>
        </row>
        <row r="53">
          <cell r="A53"/>
        </row>
        <row r="54">
          <cell r="A54"/>
        </row>
        <row r="55">
          <cell r="A55"/>
        </row>
        <row r="56">
          <cell r="A56"/>
        </row>
        <row r="57">
          <cell r="A57"/>
        </row>
        <row r="58">
          <cell r="A58"/>
        </row>
        <row r="59">
          <cell r="A59"/>
        </row>
        <row r="61">
          <cell r="A61" t="str">
            <v>Nachtarbeitszulage (€), 22–6 Uhr</v>
          </cell>
        </row>
        <row r="62">
          <cell r="A62" t="str">
            <v>Schichtzulage (€), 2. Schicht</v>
          </cell>
        </row>
        <row r="63">
          <cell r="A63"/>
        </row>
        <row r="64">
          <cell r="A64"/>
        </row>
        <row r="65">
          <cell r="A65"/>
        </row>
        <row r="71">
          <cell r="A71" t="str">
            <v>Vorarbeiterzuschlag</v>
          </cell>
        </row>
        <row r="72">
          <cell r="A72" t="str">
            <v>Schmutzzulage</v>
          </cell>
        </row>
        <row r="73">
          <cell r="A73" t="str">
            <v>Erschwerniszulage</v>
          </cell>
        </row>
        <row r="74">
          <cell r="A74" t="str">
            <v>Gefahrenzulage</v>
          </cell>
        </row>
        <row r="75">
          <cell r="A75"/>
        </row>
        <row r="76">
          <cell r="A76"/>
        </row>
        <row r="77">
          <cell r="A77"/>
        </row>
        <row r="78">
          <cell r="A78"/>
        </row>
        <row r="79">
          <cell r="A79"/>
        </row>
        <row r="80">
          <cell r="A80"/>
        </row>
        <row r="81">
          <cell r="A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103">
          <cell r="A103" t="str">
            <v>kleine Entfernungszulage (&gt;6Std)</v>
          </cell>
        </row>
        <row r="104">
          <cell r="A104" t="str">
            <v>mittlere Entfernungszulage (&gt;11Std)</v>
          </cell>
        </row>
        <row r="105">
          <cell r="A105" t="str">
            <v>große Entfernungszulage (&gt;11Std + Nächt.)</v>
          </cell>
        </row>
        <row r="106">
          <cell r="A106"/>
        </row>
        <row r="107">
          <cell r="A107" t="str">
            <v>Nächtigungsgeld</v>
          </cell>
        </row>
        <row r="108">
          <cell r="A108"/>
        </row>
        <row r="109">
          <cell r="A109"/>
        </row>
        <row r="110">
          <cell r="A110"/>
        </row>
        <row r="111">
          <cell r="A111"/>
        </row>
        <row r="112">
          <cell r="A112"/>
        </row>
        <row r="113">
          <cell r="A113"/>
        </row>
        <row r="114">
          <cell r="A114"/>
        </row>
        <row r="117">
          <cell r="A117" t="str">
            <v>Montagezulage</v>
          </cell>
        </row>
        <row r="118">
          <cell r="A118"/>
        </row>
        <row r="119">
          <cell r="A119"/>
        </row>
        <row r="122">
          <cell r="A122"/>
        </row>
        <row r="123">
          <cell r="A123"/>
        </row>
        <row r="124">
          <cell r="A124"/>
        </row>
        <row r="125">
          <cell r="A125"/>
        </row>
        <row r="126">
          <cell r="A126"/>
        </row>
        <row r="127">
          <cell r="A127"/>
        </row>
      </sheetData>
      <sheetData sheetId="1"/>
      <sheetData sheetId="2">
        <row r="5">
          <cell r="D5" t="str">
            <v>Stahlbau NN GmbH</v>
          </cell>
        </row>
        <row r="242">
          <cell r="A242" t="str">
            <v/>
          </cell>
        </row>
        <row r="243">
          <cell r="A243" t="str">
            <v>Fertigungsgemeinkosten</v>
          </cell>
        </row>
        <row r="244">
          <cell r="A244" t="str">
            <v>Bauleitungskosten (personelle BGK)</v>
          </cell>
        </row>
        <row r="245">
          <cell r="A245" t="str">
            <v>Eigene Kalkulation1</v>
          </cell>
        </row>
        <row r="246">
          <cell r="A246" t="str">
            <v/>
          </cell>
        </row>
      </sheetData>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L_AZ.XLS"/>
      <sheetName val="SV_SATZ.XLS"/>
      <sheetName val="KALK.XLS"/>
      <sheetName val="LOHNNK"/>
      <sheetName val="KV-TAB 2015 gewichtet"/>
      <sheetName val="Schlechtwetter"/>
    </sheetNames>
    <sheetDataSet>
      <sheetData sheetId="0">
        <row r="160">
          <cell r="I160">
            <v>2.25</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bauwesen.at/k3" TargetMode="External"/><Relationship Id="rId2" Type="http://schemas.openxmlformats.org/officeDocument/2006/relationships/hyperlink" Target="http://www.bauwesen.at/k3" TargetMode="External"/><Relationship Id="rId1" Type="http://schemas.openxmlformats.org/officeDocument/2006/relationships/hyperlink" Target="http://www.bauwesen.at/k3"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E57FF-C61F-4DB2-B94B-EAB2DEDE0564}">
  <sheetPr>
    <tabColor rgb="FFFF0000"/>
  </sheetPr>
  <dimension ref="A1:AF206"/>
  <sheetViews>
    <sheetView showGridLines="0" topLeftCell="A7" zoomScaleNormal="100" workbookViewId="0">
      <selection activeCell="C7" sqref="C7:F7"/>
    </sheetView>
  </sheetViews>
  <sheetFormatPr baseColWidth="10" defaultColWidth="10.6640625" defaultRowHeight="15.75" x14ac:dyDescent="0.5"/>
  <cols>
    <col min="1" max="1" width="24" style="484" customWidth="1"/>
    <col min="2" max="2" width="3" style="484" customWidth="1"/>
    <col min="3" max="4" width="11.33203125" style="484" customWidth="1"/>
    <col min="5" max="5" width="3" style="484" customWidth="1"/>
    <col min="6" max="6" width="15.33203125" style="484" customWidth="1"/>
    <col min="7" max="7" width="2.77734375" style="484" customWidth="1"/>
    <col min="8" max="8" width="18.109375" style="1044" customWidth="1"/>
    <col min="9" max="12" width="13.21875" style="1045" customWidth="1"/>
    <col min="13" max="14" width="9.33203125" style="1045" hidden="1" customWidth="1"/>
    <col min="15" max="22" width="10.6640625" style="1045" hidden="1" customWidth="1"/>
    <col min="23" max="26" width="10.6640625" style="1044" hidden="1" customWidth="1"/>
    <col min="27" max="27" width="0" style="1044" hidden="1" customWidth="1"/>
    <col min="28" max="28" width="0" style="484" hidden="1" customWidth="1"/>
    <col min="29" max="16384" width="10.6640625" style="484"/>
  </cols>
  <sheetData>
    <row r="1" spans="1:32" ht="15.75" customHeight="1" x14ac:dyDescent="0.5">
      <c r="A1" s="483"/>
      <c r="B1" s="1195" t="s">
        <v>504</v>
      </c>
      <c r="C1" s="1196"/>
      <c r="D1" s="1196"/>
      <c r="E1" s="1196"/>
      <c r="F1" s="1196"/>
      <c r="G1" s="1197"/>
    </row>
    <row r="2" spans="1:32" x14ac:dyDescent="0.5">
      <c r="A2" s="485"/>
      <c r="B2" s="1198"/>
      <c r="C2" s="1199"/>
      <c r="D2" s="1199"/>
      <c r="E2" s="1199"/>
      <c r="F2" s="1199"/>
      <c r="G2" s="1200"/>
    </row>
    <row r="3" spans="1:32" x14ac:dyDescent="0.5">
      <c r="A3" s="485"/>
      <c r="B3" s="1198"/>
      <c r="C3" s="1199"/>
      <c r="D3" s="1199"/>
      <c r="E3" s="1199"/>
      <c r="F3" s="1199"/>
      <c r="G3" s="1200"/>
    </row>
    <row r="4" spans="1:32" x14ac:dyDescent="0.5">
      <c r="A4" s="485"/>
      <c r="B4" s="1198"/>
      <c r="C4" s="1199"/>
      <c r="D4" s="1199"/>
      <c r="E4" s="1199"/>
      <c r="F4" s="1199"/>
      <c r="G4" s="1200"/>
    </row>
    <row r="5" spans="1:32" ht="16.149999999999999" customHeight="1" x14ac:dyDescent="0.5">
      <c r="A5" s="485"/>
      <c r="B5" s="1201" t="s">
        <v>394</v>
      </c>
      <c r="C5" s="1202"/>
      <c r="D5" s="1209" t="s">
        <v>597</v>
      </c>
      <c r="E5" s="1209"/>
      <c r="F5" s="1209"/>
      <c r="G5" s="1210"/>
    </row>
    <row r="6" spans="1:32" x14ac:dyDescent="0.5">
      <c r="A6" s="485"/>
      <c r="B6" s="486"/>
      <c r="C6" s="486"/>
      <c r="D6" s="486"/>
      <c r="E6" s="486"/>
      <c r="F6" s="486"/>
      <c r="G6" s="487"/>
      <c r="I6" s="1044"/>
      <c r="J6" s="1044"/>
      <c r="K6" s="1044"/>
      <c r="L6" s="1044"/>
      <c r="M6" s="1044"/>
      <c r="W6" s="1045"/>
      <c r="X6" s="1045"/>
      <c r="Y6" s="1045"/>
      <c r="Z6" s="1045"/>
      <c r="AA6" s="1045"/>
      <c r="AB6" s="1044"/>
      <c r="AC6" s="1044"/>
      <c r="AD6" s="1044"/>
      <c r="AE6" s="1044"/>
      <c r="AF6" s="1044"/>
    </row>
    <row r="7" spans="1:32" x14ac:dyDescent="0.5">
      <c r="A7" s="485" t="s">
        <v>361</v>
      </c>
      <c r="B7" s="486"/>
      <c r="C7" s="1203" t="s">
        <v>728</v>
      </c>
      <c r="D7" s="1204"/>
      <c r="E7" s="1204"/>
      <c r="F7" s="1205"/>
      <c r="G7" s="487"/>
      <c r="I7" s="1044"/>
      <c r="J7" s="1044"/>
      <c r="K7" s="1044"/>
      <c r="L7" s="1044"/>
      <c r="M7" s="1044"/>
      <c r="W7" s="1045"/>
      <c r="X7" s="1045"/>
      <c r="Y7" s="1045"/>
      <c r="Z7" s="1045"/>
      <c r="AA7" s="1045"/>
      <c r="AB7" s="1044"/>
      <c r="AC7" s="1044"/>
      <c r="AD7" s="1044"/>
      <c r="AE7" s="1044"/>
      <c r="AF7" s="1044"/>
    </row>
    <row r="8" spans="1:32" x14ac:dyDescent="0.5">
      <c r="A8" s="485"/>
      <c r="B8" s="486"/>
      <c r="C8" s="768" t="str">
        <f>"&gt;"&amp;C7&amp;"&lt;"</f>
        <v>&gt;Malerhandbuch 2022&lt;</v>
      </c>
      <c r="D8" s="486"/>
      <c r="E8" s="486"/>
      <c r="F8" s="486"/>
      <c r="G8" s="487"/>
      <c r="I8" s="1044"/>
      <c r="J8" s="1044"/>
      <c r="K8" s="1044"/>
      <c r="L8" s="1044"/>
      <c r="M8" s="1044"/>
      <c r="N8" s="1052" t="s">
        <v>421</v>
      </c>
      <c r="O8" s="1053"/>
      <c r="P8" s="1054"/>
      <c r="Q8" s="1054"/>
      <c r="R8" s="1054"/>
      <c r="S8" s="1054"/>
      <c r="T8" s="1054"/>
      <c r="U8" s="1054"/>
      <c r="V8" s="1054"/>
      <c r="W8" s="1054"/>
      <c r="X8" s="1054"/>
      <c r="Y8" s="1054"/>
      <c r="Z8" s="1055"/>
      <c r="AA8" s="1064"/>
      <c r="AB8" s="1044"/>
      <c r="AC8" s="1044"/>
      <c r="AD8" s="1044"/>
      <c r="AE8" s="1044"/>
      <c r="AF8" s="1044"/>
    </row>
    <row r="9" spans="1:32" x14ac:dyDescent="0.5">
      <c r="A9" s="485" t="s">
        <v>362</v>
      </c>
      <c r="B9" s="486"/>
      <c r="C9" s="1206" t="s">
        <v>727</v>
      </c>
      <c r="D9" s="1206"/>
      <c r="E9" s="1206"/>
      <c r="F9" s="1206"/>
      <c r="G9" s="487"/>
      <c r="H9" s="1218"/>
      <c r="I9" s="1049"/>
      <c r="J9" s="1049"/>
      <c r="K9" s="1049"/>
      <c r="L9" s="1049"/>
      <c r="M9" s="1049"/>
      <c r="N9" s="1056" t="s">
        <v>422</v>
      </c>
      <c r="O9" s="860">
        <f>IF(C9="…",1,IF(C9="g01",2,IF(C9="g02",3,IF(C9="g03",4,IF(C9="g04",5,0)))))</f>
        <v>0</v>
      </c>
      <c r="P9" s="860"/>
      <c r="Q9" s="860"/>
      <c r="R9" s="860"/>
      <c r="S9" s="860"/>
      <c r="T9" s="860"/>
      <c r="U9" s="860"/>
      <c r="V9" s="860"/>
      <c r="W9" s="860"/>
      <c r="X9" s="860"/>
      <c r="Y9" s="860"/>
      <c r="Z9" s="1057"/>
      <c r="AA9" s="1065"/>
      <c r="AB9" s="1044"/>
      <c r="AC9" s="1044"/>
      <c r="AD9" s="1044"/>
      <c r="AE9" s="1044"/>
      <c r="AF9" s="1044"/>
    </row>
    <row r="10" spans="1:32" s="490" customFormat="1" ht="16.149999999999999" customHeight="1" thickBot="1" x14ac:dyDescent="0.55000000000000004">
      <c r="A10" s="488"/>
      <c r="B10" s="489"/>
      <c r="C10" s="768" t="str">
        <f>"&gt;"&amp;C9&amp;"&lt;"</f>
        <v>&gt;Musterkalkulation&lt;</v>
      </c>
      <c r="D10" s="489"/>
      <c r="E10" s="489"/>
      <c r="F10" s="489"/>
      <c r="G10" s="766"/>
      <c r="H10" s="1218"/>
      <c r="I10" s="1049"/>
      <c r="J10" s="1049"/>
      <c r="K10" s="1049"/>
      <c r="L10" s="1049"/>
      <c r="M10" s="1049"/>
      <c r="N10" s="1058" t="s">
        <v>417</v>
      </c>
      <c r="O10" s="861"/>
      <c r="P10" s="861"/>
      <c r="Q10" s="861" t="str">
        <f>IFERROR(IF(OR(AND(_Verband&gt;1,RIGHT(C11,4)=O28),_Verband&lt;2),"OK!","f"),"f")</f>
        <v>OK!</v>
      </c>
      <c r="R10" s="861"/>
      <c r="S10" s="861"/>
      <c r="T10" s="861"/>
      <c r="U10" s="861"/>
      <c r="V10" s="861"/>
      <c r="W10" s="861"/>
      <c r="X10" s="861"/>
      <c r="Y10" s="861"/>
      <c r="Z10" s="1059"/>
      <c r="AA10" s="1066"/>
      <c r="AB10" s="1046"/>
      <c r="AC10" s="1046"/>
      <c r="AD10" s="1046"/>
      <c r="AE10" s="1046"/>
      <c r="AF10" s="1046"/>
    </row>
    <row r="11" spans="1:32" ht="15.75" customHeight="1" thickTop="1" thickBot="1" x14ac:dyDescent="0.55000000000000004">
      <c r="A11" s="485" t="s">
        <v>393</v>
      </c>
      <c r="B11" s="486"/>
      <c r="C11" s="1207" t="s">
        <v>729</v>
      </c>
      <c r="D11" s="1208"/>
      <c r="E11" s="486"/>
      <c r="F11" s="1229" t="str">
        <f ca="1">IF(Q16="OK!","Lizenz und Laufzeit OK!","Keine gültige Lizenz, Aktivierung siehe www.bauwesen.at/k3")</f>
        <v>Lizenz und Laufzeit OK!</v>
      </c>
      <c r="G11" s="1230"/>
      <c r="H11" s="1218"/>
      <c r="I11" s="1049"/>
      <c r="J11" s="1049"/>
      <c r="K11" s="1049"/>
      <c r="L11" s="1049"/>
      <c r="M11" s="1049"/>
      <c r="N11" s="1056" t="str">
        <f>IF(_Verband&gt;1,O27,RIGHT(C11,4))</f>
        <v>y227</v>
      </c>
      <c r="O11" s="862" t="s">
        <v>418</v>
      </c>
      <c r="P11" s="860"/>
      <c r="Q11" s="861" t="str">
        <f>IFERROR(IF('L-Rechner'!B48=N12,"OK!","f"),"f")</f>
        <v>OK!</v>
      </c>
      <c r="R11" s="860"/>
      <c r="S11" s="860"/>
      <c r="T11" s="860"/>
      <c r="U11" s="860"/>
      <c r="V11" s="860"/>
      <c r="W11" s="860"/>
      <c r="X11" s="860"/>
      <c r="Y11" s="860"/>
      <c r="Z11" s="1057"/>
      <c r="AA11" s="1065"/>
      <c r="AB11" s="1044"/>
      <c r="AC11" s="1044"/>
      <c r="AD11" s="1044"/>
      <c r="AE11" s="1044"/>
      <c r="AF11" s="1044"/>
    </row>
    <row r="12" spans="1:32" ht="16.149999999999999" thickTop="1" x14ac:dyDescent="0.5">
      <c r="A12" s="485"/>
      <c r="B12" s="486"/>
      <c r="C12" s="768" t="str">
        <f>"&gt;"&amp;C11&amp;"&lt;"</f>
        <v>&gt;044r057d263t319A940y227&lt;</v>
      </c>
      <c r="D12" s="486"/>
      <c r="E12" s="486"/>
      <c r="F12" s="1231"/>
      <c r="G12" s="1232"/>
      <c r="H12" s="1218"/>
      <c r="I12" s="1049"/>
      <c r="J12" s="1049"/>
      <c r="K12" s="1049"/>
      <c r="L12" s="1049"/>
      <c r="M12" s="1049"/>
      <c r="N12" s="1211" t="str">
        <f>LEFT(C11,19)&amp;N11</f>
        <v>044r057d263t319A940y227</v>
      </c>
      <c r="O12" s="1212"/>
      <c r="P12" s="1212"/>
      <c r="Q12" s="860"/>
      <c r="R12" s="860"/>
      <c r="S12" s="860"/>
      <c r="T12" s="860"/>
      <c r="U12" s="860"/>
      <c r="V12" s="860"/>
      <c r="W12" s="860"/>
      <c r="X12" s="860"/>
      <c r="Y12" s="860"/>
      <c r="Z12" s="1057"/>
      <c r="AA12" s="1065"/>
      <c r="AB12" s="1044"/>
      <c r="AC12" s="1044"/>
      <c r="AD12" s="1044"/>
      <c r="AE12" s="1044"/>
      <c r="AF12" s="1044"/>
    </row>
    <row r="13" spans="1:32" x14ac:dyDescent="0.5">
      <c r="A13" s="1180"/>
      <c r="B13" s="1181"/>
      <c r="C13" s="1181"/>
      <c r="D13" s="1181"/>
      <c r="E13" s="1181"/>
      <c r="F13" s="1181"/>
      <c r="G13" s="1182"/>
      <c r="H13" s="1047"/>
      <c r="I13" s="1047"/>
      <c r="J13" s="1047"/>
      <c r="K13" s="1047"/>
      <c r="L13" s="1047"/>
      <c r="M13" s="1047"/>
      <c r="N13" s="1056"/>
      <c r="O13" s="860"/>
      <c r="P13" s="860"/>
      <c r="Q13" s="860"/>
      <c r="R13" s="860"/>
      <c r="S13" s="860"/>
      <c r="T13" s="860"/>
      <c r="U13" s="860"/>
      <c r="V13" s="860"/>
      <c r="W13" s="860"/>
      <c r="X13" s="860"/>
      <c r="Y13" s="860"/>
      <c r="Z13" s="1057"/>
      <c r="AA13" s="1065"/>
      <c r="AB13" s="1044"/>
      <c r="AC13" s="1044"/>
      <c r="AD13" s="1044"/>
      <c r="AE13" s="1044"/>
      <c r="AF13" s="1044"/>
    </row>
    <row r="14" spans="1:32" x14ac:dyDescent="0.5">
      <c r="A14" s="636" t="s">
        <v>366</v>
      </c>
      <c r="B14" s="1190">
        <f>Q14</f>
        <v>44940</v>
      </c>
      <c r="C14" s="1190"/>
      <c r="D14" s="1213" t="str">
        <f ca="1">F11</f>
        <v>Lizenz und Laufzeit OK!</v>
      </c>
      <c r="E14" s="1213"/>
      <c r="F14" s="1213"/>
      <c r="G14" s="1214"/>
      <c r="H14" s="1217"/>
      <c r="I14" s="1050"/>
      <c r="J14" s="1050"/>
      <c r="K14" s="1050"/>
      <c r="L14" s="1050"/>
      <c r="M14" s="1050"/>
      <c r="N14" s="1060" t="str">
        <f>LEFT(C11,3)</f>
        <v>044</v>
      </c>
      <c r="O14" s="863" t="str">
        <f>RIGHT(C11,7)</f>
        <v>940y227</v>
      </c>
      <c r="P14" s="863" t="str">
        <f>LEFT(O14,3)</f>
        <v>940</v>
      </c>
      <c r="Q14" s="864">
        <f>N14*1000+P14</f>
        <v>44940</v>
      </c>
      <c r="R14" s="860"/>
      <c r="S14" s="860"/>
      <c r="T14" s="860"/>
      <c r="U14" s="860"/>
      <c r="V14" s="860"/>
      <c r="W14" s="860"/>
      <c r="X14" s="860"/>
      <c r="Y14" s="860"/>
      <c r="Z14" s="1057"/>
      <c r="AA14" s="1065"/>
      <c r="AB14" s="1044"/>
      <c r="AC14" s="1044"/>
      <c r="AD14" s="1044"/>
      <c r="AE14" s="1044"/>
      <c r="AF14" s="1044"/>
    </row>
    <row r="15" spans="1:32" x14ac:dyDescent="0.5">
      <c r="A15" s="491" t="s">
        <v>360</v>
      </c>
      <c r="B15" s="1191">
        <f ca="1">IFERROR(B14-TODAY(),-15)</f>
        <v>105</v>
      </c>
      <c r="C15" s="1191"/>
      <c r="D15" s="1215"/>
      <c r="E15" s="1215"/>
      <c r="F15" s="1215"/>
      <c r="G15" s="1216"/>
      <c r="H15" s="1217"/>
      <c r="I15" s="1050"/>
      <c r="J15" s="1050"/>
      <c r="K15" s="1050"/>
      <c r="L15" s="1050"/>
      <c r="M15" s="1050"/>
      <c r="N15" s="1058" t="s">
        <v>419</v>
      </c>
      <c r="O15" s="860"/>
      <c r="P15" s="860"/>
      <c r="Q15" s="860" t="str">
        <f ca="1">IFERROR(IF(B15&gt;-14,"OK!","f"),"f")</f>
        <v>OK!</v>
      </c>
      <c r="R15" s="860"/>
      <c r="S15" s="860"/>
      <c r="T15" s="860"/>
      <c r="U15" s="860"/>
      <c r="V15" s="860"/>
      <c r="W15" s="860"/>
      <c r="X15" s="860"/>
      <c r="Y15" s="860"/>
      <c r="Z15" s="1057"/>
      <c r="AA15" s="1065"/>
      <c r="AB15" s="1044"/>
      <c r="AC15" s="1044"/>
      <c r="AD15" s="1044"/>
      <c r="AE15" s="1044"/>
      <c r="AF15" s="1044"/>
    </row>
    <row r="16" spans="1:32" x14ac:dyDescent="0.5">
      <c r="A16" s="494"/>
      <c r="B16" s="591"/>
      <c r="C16" s="591"/>
      <c r="D16" s="494"/>
      <c r="E16" s="494"/>
      <c r="F16" s="595"/>
      <c r="G16" s="595"/>
      <c r="I16" s="1044"/>
      <c r="J16" s="1044"/>
      <c r="K16" s="1044"/>
      <c r="L16" s="1044"/>
      <c r="M16" s="1044"/>
      <c r="N16" s="1056"/>
      <c r="O16" s="860"/>
      <c r="P16" s="860" t="s">
        <v>402</v>
      </c>
      <c r="Q16" s="865" t="str">
        <f ca="1">IF(OR(AND(Q10="OK!",Q11="OK!",Q15="OK!"),Stammdaten!D157="e1g4j7k5"),"OK!","f")</f>
        <v>OK!</v>
      </c>
      <c r="R16" s="860"/>
      <c r="S16" s="860"/>
      <c r="T16" s="860"/>
      <c r="U16" s="860"/>
      <c r="V16" s="860"/>
      <c r="W16" s="860"/>
      <c r="X16" s="860"/>
      <c r="Y16" s="860"/>
      <c r="Z16" s="1057"/>
      <c r="AA16" s="1065"/>
      <c r="AB16" s="1044"/>
      <c r="AC16" s="1044"/>
      <c r="AD16" s="1044"/>
      <c r="AE16" s="1044"/>
      <c r="AF16" s="1044"/>
    </row>
    <row r="17" spans="1:32" ht="79.150000000000006" customHeight="1" x14ac:dyDescent="0.5">
      <c r="A17" s="1192" t="str">
        <f>IF(_Verband=1,N18,IF(_Verband&gt;1,O30,""))</f>
        <v/>
      </c>
      <c r="B17" s="1193"/>
      <c r="C17" s="1193"/>
      <c r="D17" s="1193"/>
      <c r="E17" s="1193"/>
      <c r="F17" s="1193"/>
      <c r="G17" s="1194"/>
      <c r="H17" s="1233" t="str">
        <f ca="1">IFERROR(IF(_OK_KV?&lt;&gt;"OK_KV!",Stammdaten!L13,""),"Quelldatei geöffnet? Vorhandenes Blatt ausgewählt? Zulässigen KollV verwendet (bei Verbandslizenzierung für Mitglieder)?")</f>
        <v/>
      </c>
      <c r="I17" s="1051"/>
      <c r="J17" s="1051"/>
      <c r="K17" s="1051"/>
      <c r="L17" s="1051"/>
      <c r="M17" s="1051"/>
      <c r="N17" s="1056"/>
      <c r="O17" s="860"/>
      <c r="P17" s="860"/>
      <c r="Q17" s="860"/>
      <c r="R17" s="860"/>
      <c r="S17" s="860"/>
      <c r="T17" s="860"/>
      <c r="U17" s="860"/>
      <c r="V17" s="860"/>
      <c r="W17" s="860"/>
      <c r="X17" s="860"/>
      <c r="Y17" s="860"/>
      <c r="Z17" s="1057"/>
      <c r="AA17" s="1065"/>
      <c r="AB17" s="1044"/>
      <c r="AC17" s="1044"/>
      <c r="AD17" s="1044"/>
      <c r="AE17" s="1044"/>
      <c r="AF17" s="1044"/>
    </row>
    <row r="18" spans="1:32" x14ac:dyDescent="0.5">
      <c r="A18" s="584" t="s">
        <v>379</v>
      </c>
      <c r="B18" s="1187"/>
      <c r="C18" s="1188"/>
      <c r="D18" s="1188"/>
      <c r="E18" s="1188"/>
      <c r="F18" s="1189"/>
      <c r="G18" s="556"/>
      <c r="H18" s="1233"/>
      <c r="I18" s="1051"/>
      <c r="J18" s="1051"/>
      <c r="K18" s="1051"/>
      <c r="L18" s="1051"/>
      <c r="M18" s="1051"/>
      <c r="N18" s="1056" t="s">
        <v>395</v>
      </c>
      <c r="O18" s="860"/>
      <c r="P18" s="860"/>
      <c r="Q18" s="860"/>
      <c r="R18" s="860" t="s">
        <v>22</v>
      </c>
      <c r="S18" s="860"/>
      <c r="T18" s="860"/>
      <c r="U18" s="860"/>
      <c r="V18" s="860"/>
      <c r="W18" s="860"/>
      <c r="X18" s="860"/>
      <c r="Y18" s="860"/>
      <c r="Z18" s="1057"/>
      <c r="AA18" s="1065"/>
      <c r="AB18" s="1044"/>
      <c r="AC18" s="1044"/>
      <c r="AD18" s="1044"/>
      <c r="AE18" s="1044"/>
      <c r="AF18" s="1044"/>
    </row>
    <row r="19" spans="1:32" x14ac:dyDescent="0.5">
      <c r="A19" s="571" t="s">
        <v>380</v>
      </c>
      <c r="B19" s="1187"/>
      <c r="C19" s="1188"/>
      <c r="D19" s="1188"/>
      <c r="E19" s="1188"/>
      <c r="F19" s="1189"/>
      <c r="G19" s="588"/>
      <c r="H19" s="1233"/>
      <c r="I19" s="1051"/>
      <c r="J19" s="1051"/>
      <c r="K19" s="1051"/>
      <c r="L19" s="1051"/>
      <c r="M19" s="1051"/>
      <c r="N19" s="1056" t="s">
        <v>406</v>
      </c>
      <c r="O19" s="860" t="s">
        <v>407</v>
      </c>
      <c r="P19" s="860" t="b">
        <v>0</v>
      </c>
      <c r="Q19" s="860" t="s">
        <v>408</v>
      </c>
      <c r="R19" s="860" t="s">
        <v>409</v>
      </c>
      <c r="S19" s="860" t="s">
        <v>410</v>
      </c>
      <c r="T19" s="860" t="s">
        <v>478</v>
      </c>
      <c r="U19" s="860" t="s">
        <v>423</v>
      </c>
      <c r="V19" s="860" t="s">
        <v>424</v>
      </c>
      <c r="W19" s="860" t="s">
        <v>425</v>
      </c>
      <c r="X19" s="860" t="s">
        <v>426</v>
      </c>
      <c r="Y19" s="860" t="s">
        <v>427</v>
      </c>
      <c r="Z19" s="1057" t="s">
        <v>431</v>
      </c>
      <c r="AA19" s="1065" t="s">
        <v>446</v>
      </c>
      <c r="AB19" s="1044"/>
      <c r="AC19" s="1044"/>
      <c r="AD19" s="1044"/>
      <c r="AE19" s="1044"/>
      <c r="AF19" s="1044"/>
    </row>
    <row r="20" spans="1:32" x14ac:dyDescent="0.5">
      <c r="A20" s="494"/>
      <c r="B20" s="591"/>
      <c r="C20" s="591"/>
      <c r="D20" s="494"/>
      <c r="E20" s="494"/>
      <c r="F20" s="595"/>
      <c r="G20" s="595"/>
      <c r="H20" s="1233"/>
      <c r="I20" s="1051"/>
      <c r="J20" s="1051"/>
      <c r="K20" s="1051"/>
      <c r="L20" s="1051"/>
      <c r="M20" s="1051"/>
      <c r="N20" s="1056" t="s">
        <v>627</v>
      </c>
      <c r="O20" s="860" t="s">
        <v>479</v>
      </c>
      <c r="P20" s="860" t="s">
        <v>420</v>
      </c>
      <c r="Q20" s="860" t="s">
        <v>519</v>
      </c>
      <c r="R20" s="860" t="s">
        <v>477</v>
      </c>
      <c r="S20" s="860" t="s">
        <v>520</v>
      </c>
      <c r="T20" s="860" t="s">
        <v>456</v>
      </c>
      <c r="U20" s="860" t="s">
        <v>429</v>
      </c>
      <c r="V20" s="860" t="s">
        <v>428</v>
      </c>
      <c r="W20" s="860" t="s">
        <v>453</v>
      </c>
      <c r="X20" s="860" t="s">
        <v>430</v>
      </c>
      <c r="Y20" s="860" t="s">
        <v>432</v>
      </c>
      <c r="Z20" s="1057" t="s">
        <v>452</v>
      </c>
      <c r="AA20" s="1067">
        <v>39</v>
      </c>
      <c r="AB20" s="1044"/>
      <c r="AC20" s="1044"/>
      <c r="AD20" s="1044"/>
      <c r="AE20" s="1044"/>
      <c r="AF20" s="1044"/>
    </row>
    <row r="21" spans="1:32" x14ac:dyDescent="0.5">
      <c r="A21" s="1165" t="s">
        <v>377</v>
      </c>
      <c r="B21" s="1166"/>
      <c r="C21" s="1166"/>
      <c r="D21" s="1166"/>
      <c r="E21" s="1166"/>
      <c r="F21" s="1166"/>
      <c r="G21" s="1167"/>
      <c r="H21" s="1233"/>
      <c r="I21" s="1051"/>
      <c r="J21" s="1051"/>
      <c r="K21" s="1051"/>
      <c r="L21" s="1051"/>
      <c r="M21" s="1051"/>
      <c r="N21" s="1056" t="s">
        <v>628</v>
      </c>
      <c r="O21" s="860" t="s">
        <v>516</v>
      </c>
      <c r="P21" s="860" t="s">
        <v>517</v>
      </c>
      <c r="Q21" s="860" t="s">
        <v>519</v>
      </c>
      <c r="R21" s="860" t="s">
        <v>477</v>
      </c>
      <c r="S21" s="860" t="s">
        <v>520</v>
      </c>
      <c r="T21" s="860" t="s">
        <v>456</v>
      </c>
      <c r="U21" s="860" t="s">
        <v>429</v>
      </c>
      <c r="V21" s="860" t="s">
        <v>428</v>
      </c>
      <c r="W21" s="860" t="s">
        <v>453</v>
      </c>
      <c r="X21" s="860" t="s">
        <v>430</v>
      </c>
      <c r="Y21" s="860" t="s">
        <v>432</v>
      </c>
      <c r="Z21" s="1057" t="s">
        <v>452</v>
      </c>
      <c r="AA21" s="1067">
        <v>39</v>
      </c>
      <c r="AB21" s="1044"/>
      <c r="AC21" s="1044"/>
      <c r="AD21" s="1044"/>
      <c r="AE21" s="1044"/>
      <c r="AF21" s="1044"/>
    </row>
    <row r="22" spans="1:32" x14ac:dyDescent="0.5">
      <c r="A22" s="555" t="s">
        <v>378</v>
      </c>
      <c r="B22" s="1228" t="str">
        <f ca="1">IFERROR(IF(AND(_OK?="OK!",_OK_KV?="OK_KV!"),C7,"Nur als Testversion nutzbar!"),"QUELLDATEI NICHT GEÖFFNET - siehe Stammdaten!!")</f>
        <v>Malerhandbuch 2022</v>
      </c>
      <c r="C22" s="1228"/>
      <c r="D22" s="1228"/>
      <c r="E22" s="1228"/>
      <c r="F22" s="1228"/>
      <c r="G22" s="556"/>
      <c r="H22" s="1233"/>
      <c r="I22" s="1051"/>
      <c r="J22" s="1051"/>
      <c r="K22" s="1051"/>
      <c r="L22" s="1051"/>
      <c r="M22" s="1051"/>
      <c r="N22" s="1056" t="s">
        <v>396</v>
      </c>
      <c r="O22" s="860" t="s">
        <v>413</v>
      </c>
      <c r="P22" s="860" t="s">
        <v>415</v>
      </c>
      <c r="Q22" s="860" t="s">
        <v>397</v>
      </c>
      <c r="R22" s="860" t="s">
        <v>398</v>
      </c>
      <c r="S22" s="860" t="s">
        <v>404</v>
      </c>
      <c r="T22" s="860" t="s">
        <v>433</v>
      </c>
      <c r="U22" s="860" t="s">
        <v>435</v>
      </c>
      <c r="V22" s="860" t="s">
        <v>436</v>
      </c>
      <c r="W22" s="860" t="s">
        <v>437</v>
      </c>
      <c r="X22" s="860" t="s">
        <v>438</v>
      </c>
      <c r="Y22" s="860" t="s">
        <v>439</v>
      </c>
      <c r="Z22" s="1057" t="s">
        <v>450</v>
      </c>
      <c r="AA22" s="1067">
        <v>39</v>
      </c>
      <c r="AB22" s="1044"/>
      <c r="AC22" s="1044"/>
      <c r="AD22" s="1044"/>
      <c r="AE22" s="1044"/>
      <c r="AF22" s="1044"/>
    </row>
    <row r="23" spans="1:32" x14ac:dyDescent="0.5">
      <c r="A23" s="555" t="s">
        <v>379</v>
      </c>
      <c r="B23" s="1234" t="str">
        <f>IF(O9&gt;0,B18,C9)</f>
        <v>Musterkalkulation</v>
      </c>
      <c r="C23" s="1234"/>
      <c r="D23" s="1234"/>
      <c r="E23" s="1234"/>
      <c r="F23" s="1234"/>
      <c r="G23" s="556"/>
      <c r="H23" s="1233"/>
      <c r="I23" s="1051"/>
      <c r="J23" s="1051"/>
      <c r="K23" s="1051"/>
      <c r="L23" s="1051"/>
      <c r="M23" s="1051"/>
      <c r="N23" s="1056" t="s">
        <v>399</v>
      </c>
      <c r="O23" s="860" t="s">
        <v>414</v>
      </c>
      <c r="P23" s="860" t="s">
        <v>416</v>
      </c>
      <c r="Q23" s="860" t="s">
        <v>400</v>
      </c>
      <c r="R23" s="860" t="s">
        <v>401</v>
      </c>
      <c r="S23" s="860" t="s">
        <v>405</v>
      </c>
      <c r="T23" s="860" t="s">
        <v>434</v>
      </c>
      <c r="U23" s="860" t="s">
        <v>440</v>
      </c>
      <c r="V23" s="860" t="s">
        <v>441</v>
      </c>
      <c r="W23" s="860" t="s">
        <v>442</v>
      </c>
      <c r="X23" s="860" t="s">
        <v>443</v>
      </c>
      <c r="Y23" s="860" t="s">
        <v>444</v>
      </c>
      <c r="Z23" s="1057" t="s">
        <v>451</v>
      </c>
      <c r="AA23" s="1067">
        <v>39</v>
      </c>
      <c r="AB23" s="1044"/>
      <c r="AC23" s="1044"/>
      <c r="AD23" s="1044"/>
      <c r="AE23" s="1044"/>
      <c r="AF23" s="1044"/>
    </row>
    <row r="24" spans="1:32" x14ac:dyDescent="0.5">
      <c r="A24" s="491" t="s">
        <v>380</v>
      </c>
      <c r="B24" s="1151" t="str">
        <f>IF(O9&gt;0,B19,"")</f>
        <v/>
      </c>
      <c r="C24" s="1151"/>
      <c r="D24" s="1151"/>
      <c r="E24" s="1151"/>
      <c r="F24" s="1151"/>
      <c r="G24" s="553"/>
      <c r="H24" s="1233"/>
      <c r="I24" s="1051"/>
      <c r="J24" s="1051"/>
      <c r="K24" s="1051"/>
      <c r="L24" s="1051"/>
      <c r="M24" s="1051"/>
      <c r="N24" s="1056"/>
      <c r="O24" s="860"/>
      <c r="P24" s="860"/>
      <c r="Q24" s="860"/>
      <c r="R24" s="860"/>
      <c r="S24" s="860" t="s">
        <v>22</v>
      </c>
      <c r="T24" s="860" t="s">
        <v>22</v>
      </c>
      <c r="U24" s="860"/>
      <c r="V24" s="860"/>
      <c r="W24" s="860"/>
      <c r="X24" s="860"/>
      <c r="Y24" s="860"/>
      <c r="Z24" s="1057"/>
      <c r="AA24" s="1065"/>
      <c r="AB24" s="1044"/>
      <c r="AC24" s="1044"/>
      <c r="AD24" s="1044"/>
      <c r="AE24" s="1044"/>
      <c r="AF24" s="1044"/>
    </row>
    <row r="25" spans="1:32" x14ac:dyDescent="0.5">
      <c r="G25" s="502"/>
      <c r="H25" s="1233"/>
      <c r="I25" s="1051"/>
      <c r="J25" s="1051"/>
      <c r="K25" s="1051"/>
      <c r="L25" s="1051"/>
      <c r="M25" s="1051"/>
      <c r="N25" s="1056"/>
      <c r="O25" s="860"/>
      <c r="P25" s="860"/>
      <c r="Q25" s="860"/>
      <c r="R25" s="860"/>
      <c r="S25" s="860" t="s">
        <v>22</v>
      </c>
      <c r="T25" s="860" t="s">
        <v>22</v>
      </c>
      <c r="U25" s="860"/>
      <c r="V25" s="860"/>
      <c r="W25" s="860"/>
      <c r="X25" s="860"/>
      <c r="Y25" s="860"/>
      <c r="Z25" s="1057"/>
      <c r="AA25" s="1065"/>
      <c r="AB25" s="1044"/>
      <c r="AC25" s="1044"/>
      <c r="AD25" s="1044"/>
      <c r="AE25" s="1044"/>
      <c r="AF25" s="1044"/>
    </row>
    <row r="26" spans="1:32" x14ac:dyDescent="0.5">
      <c r="A26" s="1168" t="s">
        <v>604</v>
      </c>
      <c r="B26" s="1169"/>
      <c r="C26" s="1169"/>
      <c r="D26" s="1169"/>
      <c r="E26" s="1169"/>
      <c r="F26" s="1169"/>
      <c r="G26" s="1170"/>
      <c r="H26" s="1233"/>
      <c r="I26" s="1051"/>
      <c r="J26" s="1051"/>
      <c r="K26" s="1051"/>
      <c r="L26" s="1051"/>
      <c r="M26" s="1051"/>
      <c r="N26" s="1056"/>
      <c r="O26" s="860"/>
      <c r="P26" s="860"/>
      <c r="Q26" s="860"/>
      <c r="R26" s="860"/>
      <c r="S26" s="860"/>
      <c r="T26" s="860"/>
      <c r="U26" s="860"/>
      <c r="V26" s="860"/>
      <c r="W26" s="860"/>
      <c r="X26" s="860"/>
      <c r="Y26" s="860"/>
      <c r="Z26" s="1057"/>
      <c r="AA26" s="1065"/>
      <c r="AB26" s="1044"/>
      <c r="AC26" s="1044"/>
      <c r="AD26" s="1044"/>
      <c r="AE26" s="1044"/>
      <c r="AF26" s="1044"/>
    </row>
    <row r="27" spans="1:32" x14ac:dyDescent="0.5">
      <c r="A27" s="570" t="s">
        <v>369</v>
      </c>
      <c r="B27" s="1225" t="s">
        <v>597</v>
      </c>
      <c r="C27" s="1226"/>
      <c r="D27" s="1226"/>
      <c r="E27" s="1226"/>
      <c r="F27" s="1226"/>
      <c r="G27" s="1227"/>
      <c r="H27" s="1233"/>
      <c r="I27" s="1051"/>
      <c r="J27" s="1051"/>
      <c r="K27" s="1051"/>
      <c r="L27" s="1051"/>
      <c r="M27" s="1051"/>
      <c r="N27" s="1056" t="s">
        <v>411</v>
      </c>
      <c r="O27" s="860" t="str">
        <f>IF(_Verband=2,O20,IF(_Verband=3,O21,IF(_Verband=4,O22,IF(_Verband=5,O23,""))))</f>
        <v/>
      </c>
      <c r="P27" s="860"/>
      <c r="Q27" s="860"/>
      <c r="R27" s="860"/>
      <c r="S27" s="860"/>
      <c r="T27" s="860"/>
      <c r="U27" s="860"/>
      <c r="V27" s="860"/>
      <c r="W27" s="860"/>
      <c r="X27" s="860"/>
      <c r="Y27" s="860"/>
      <c r="Z27" s="1057"/>
      <c r="AA27" s="1065"/>
      <c r="AB27" s="1044"/>
      <c r="AC27" s="1044"/>
      <c r="AD27" s="1044"/>
      <c r="AE27" s="1044"/>
      <c r="AF27" s="1044"/>
    </row>
    <row r="28" spans="1:32" x14ac:dyDescent="0.5">
      <c r="A28" s="419"/>
      <c r="B28" s="419"/>
      <c r="C28" s="501"/>
      <c r="E28" s="419"/>
      <c r="F28" s="502"/>
      <c r="G28" s="502"/>
      <c r="H28" s="1233"/>
      <c r="I28" s="1051"/>
      <c r="J28" s="1051"/>
      <c r="K28" s="1051"/>
      <c r="L28" s="1051"/>
      <c r="M28" s="1051"/>
      <c r="N28" s="1056" t="s">
        <v>412</v>
      </c>
      <c r="O28" s="860" t="str">
        <f>IF(_Verband=2,P20,IF(_Verband=3,P21,IF(_Verband=4,P22,IF(_Verband=5,P23,""))))</f>
        <v/>
      </c>
      <c r="P28" s="860"/>
      <c r="Q28" s="860"/>
      <c r="R28" s="860"/>
      <c r="S28" s="860"/>
      <c r="T28" s="860"/>
      <c r="U28" s="860"/>
      <c r="V28" s="860"/>
      <c r="W28" s="860"/>
      <c r="X28" s="860"/>
      <c r="Y28" s="860"/>
      <c r="Z28" s="1057"/>
      <c r="AA28" s="1065"/>
      <c r="AB28" s="1044"/>
      <c r="AC28" s="1044"/>
      <c r="AD28" s="1044"/>
      <c r="AE28" s="1044"/>
      <c r="AF28" s="1044"/>
    </row>
    <row r="29" spans="1:32" x14ac:dyDescent="0.5">
      <c r="A29" s="493" t="s">
        <v>514</v>
      </c>
      <c r="B29" s="1163" t="str">
        <f ca="1">B22</f>
        <v>Malerhandbuch 2022</v>
      </c>
      <c r="C29" s="1163"/>
      <c r="D29" s="1163"/>
      <c r="E29" s="1163"/>
      <c r="F29" s="1163"/>
      <c r="G29" s="1164"/>
      <c r="H29" s="1233"/>
      <c r="I29" s="1051"/>
      <c r="J29" s="1051"/>
      <c r="K29" s="1051"/>
      <c r="L29" s="1051"/>
      <c r="M29" s="1051"/>
      <c r="N29" s="1056" t="str">
        <f>R19</f>
        <v>KollV</v>
      </c>
      <c r="O29" s="1220" t="str">
        <f>IF(_Verband=2,R20,IF(_Verband=3,R21,IF(_Verband=4,R22,IF(_Verband=5,R23,""))))</f>
        <v/>
      </c>
      <c r="P29" s="1220"/>
      <c r="Q29" s="1220"/>
      <c r="R29" s="1220"/>
      <c r="S29" s="860"/>
      <c r="T29" s="860"/>
      <c r="U29" s="860"/>
      <c r="V29" s="860"/>
      <c r="W29" s="860"/>
      <c r="X29" s="860"/>
      <c r="Y29" s="860"/>
      <c r="Z29" s="1057"/>
      <c r="AA29" s="1065"/>
      <c r="AB29" s="1044"/>
      <c r="AC29" s="1044"/>
      <c r="AD29" s="1044"/>
      <c r="AE29" s="1044"/>
      <c r="AF29" s="1044"/>
    </row>
    <row r="30" spans="1:32" x14ac:dyDescent="0.5">
      <c r="A30" s="495"/>
      <c r="B30" s="496"/>
      <c r="C30" s="496"/>
      <c r="D30" s="497"/>
      <c r="E30" s="495"/>
      <c r="F30" s="495"/>
      <c r="I30" s="1044"/>
      <c r="J30" s="1044"/>
      <c r="K30" s="1044"/>
      <c r="L30" s="1044"/>
      <c r="M30" s="1044"/>
      <c r="N30" s="1056" t="str">
        <f>N19</f>
        <v>Tx: Stammdaten</v>
      </c>
      <c r="O30" s="1220" t="str">
        <f>IF(_Verband=2,N20,IF(_Verband=3,N21,IF(_Verband=4,N22,IF(_Verband=5,N23,""))))</f>
        <v/>
      </c>
      <c r="P30" s="1220"/>
      <c r="Q30" s="1220"/>
      <c r="R30" s="1220"/>
      <c r="S30" s="860"/>
      <c r="T30" s="860"/>
      <c r="U30" s="860"/>
      <c r="V30" s="860"/>
      <c r="W30" s="860"/>
      <c r="X30" s="860"/>
      <c r="Y30" s="860"/>
      <c r="Z30" s="1057"/>
      <c r="AA30" s="1065"/>
      <c r="AB30" s="1044"/>
      <c r="AC30" s="1044"/>
      <c r="AD30" s="1044"/>
      <c r="AE30" s="1044"/>
      <c r="AF30" s="1044"/>
    </row>
    <row r="31" spans="1:32" x14ac:dyDescent="0.5">
      <c r="A31" s="1222" t="s">
        <v>368</v>
      </c>
      <c r="B31" s="1223"/>
      <c r="C31" s="1223"/>
      <c r="D31" s="1223"/>
      <c r="E31" s="1223"/>
      <c r="F31" s="1223"/>
      <c r="G31" s="1224"/>
      <c r="I31" s="1044"/>
      <c r="J31" s="1044"/>
      <c r="K31" s="1044"/>
      <c r="L31" s="1044"/>
      <c r="M31" s="1044"/>
      <c r="N31" s="1056" t="str">
        <f>Q19</f>
        <v>Tx : Projekt</v>
      </c>
      <c r="O31" s="1220" t="str">
        <f>IF(_Verband=2,Q20,IF(_Verband=3,Q21,IF(_Verband=4,Q22,IF(_Verband=5,Q23,""))))</f>
        <v/>
      </c>
      <c r="P31" s="1220"/>
      <c r="Q31" s="1220"/>
      <c r="R31" s="1220"/>
      <c r="S31" s="860"/>
      <c r="T31" s="860"/>
      <c r="U31" s="860"/>
      <c r="V31" s="860"/>
      <c r="W31" s="860"/>
      <c r="X31" s="860"/>
      <c r="Y31" s="860"/>
      <c r="Z31" s="1057"/>
      <c r="AA31" s="1065"/>
      <c r="AB31" s="1044"/>
      <c r="AC31" s="1044"/>
      <c r="AD31" s="1044"/>
      <c r="AE31" s="1044"/>
      <c r="AF31" s="1044"/>
    </row>
    <row r="32" spans="1:32" x14ac:dyDescent="0.5">
      <c r="A32" s="532" t="s">
        <v>370</v>
      </c>
      <c r="B32" s="1221" t="s">
        <v>672</v>
      </c>
      <c r="C32" s="1221"/>
      <c r="D32" s="533" t="s">
        <v>673</v>
      </c>
      <c r="E32" s="533"/>
      <c r="F32" s="1152" t="s">
        <v>391</v>
      </c>
      <c r="G32" s="1153"/>
      <c r="I32" s="1044"/>
      <c r="J32" s="1044"/>
      <c r="K32" s="1044"/>
      <c r="L32" s="1044"/>
      <c r="M32" s="1044"/>
      <c r="N32" s="1056" t="str">
        <f>S19</f>
        <v>Tx: K-Blatt</v>
      </c>
      <c r="O32" s="1220" t="str">
        <f>IF(_Verband=2,S20,IF(_Verband=3,S21,IF(_Verband=4,S22,IF(_Verband=5,S23,""))))</f>
        <v/>
      </c>
      <c r="P32" s="1220"/>
      <c r="Q32" s="1220"/>
      <c r="R32" s="1220"/>
      <c r="S32" s="860"/>
      <c r="T32" s="860"/>
      <c r="U32" s="860"/>
      <c r="V32" s="860"/>
      <c r="W32" s="860"/>
      <c r="X32" s="860"/>
      <c r="Y32" s="860"/>
      <c r="Z32" s="1057"/>
      <c r="AA32" s="1065"/>
      <c r="AB32" s="1044"/>
      <c r="AC32" s="1044"/>
      <c r="AD32" s="1044"/>
      <c r="AE32" s="1044"/>
      <c r="AF32" s="1044"/>
    </row>
    <row r="33" spans="1:32" x14ac:dyDescent="0.5">
      <c r="A33" s="491" t="s">
        <v>367</v>
      </c>
      <c r="B33" s="1219" t="s">
        <v>597</v>
      </c>
      <c r="C33" s="1219"/>
      <c r="D33" s="1219"/>
      <c r="E33" s="492"/>
      <c r="F33" s="492"/>
      <c r="G33" s="499"/>
      <c r="I33" s="1044"/>
      <c r="J33" s="1044"/>
      <c r="K33" s="1044"/>
      <c r="L33" s="1044"/>
      <c r="M33" s="1044"/>
      <c r="N33" s="1056" t="str">
        <f>T19</f>
        <v>KollV-Abfrage</v>
      </c>
      <c r="O33" s="861" t="str">
        <f>IF(_Verband=2,T20,IF(_Verband=3,T21,IF(_Verband=4,T22,IF(_Verband=5,T23,""))))</f>
        <v/>
      </c>
      <c r="P33" s="860"/>
      <c r="Q33" s="860"/>
      <c r="R33" s="860"/>
      <c r="S33" s="860"/>
      <c r="T33" s="860"/>
      <c r="U33" s="860"/>
      <c r="V33" s="860"/>
      <c r="W33" s="860"/>
      <c r="X33" s="860"/>
      <c r="Y33" s="860"/>
      <c r="Z33" s="1057"/>
      <c r="AA33" s="1065"/>
      <c r="AB33" s="1044"/>
      <c r="AC33" s="1044"/>
      <c r="AD33" s="1044"/>
      <c r="AE33" s="1044"/>
      <c r="AF33" s="1044"/>
    </row>
    <row r="34" spans="1:32" x14ac:dyDescent="0.5">
      <c r="A34" s="419"/>
      <c r="B34" s="500"/>
      <c r="C34" s="419"/>
      <c r="D34" s="498"/>
      <c r="E34" s="419"/>
      <c r="F34" s="419"/>
      <c r="G34" s="419"/>
      <c r="I34" s="1044"/>
      <c r="J34" s="1044"/>
      <c r="K34" s="1044"/>
      <c r="L34" s="1044"/>
      <c r="M34" s="1044"/>
      <c r="N34" s="1056" t="str">
        <f>U19</f>
        <v>KollV-Tx1</v>
      </c>
      <c r="O34" s="861" t="str">
        <f>IF(_Verband=2,U20,IF(_Verband=3,U21,IF(_Verband=4,U22,IF(_Verband=5,U23,""))))</f>
        <v/>
      </c>
      <c r="P34" s="860"/>
      <c r="Q34" s="860"/>
      <c r="R34" s="860"/>
      <c r="S34" s="860"/>
      <c r="T34" s="860"/>
      <c r="U34" s="860"/>
      <c r="V34" s="860"/>
      <c r="W34" s="860"/>
      <c r="X34" s="860"/>
      <c r="Y34" s="860"/>
      <c r="Z34" s="1057"/>
      <c r="AA34" s="1065"/>
      <c r="AB34" s="1044"/>
      <c r="AC34" s="1044"/>
      <c r="AD34" s="1044"/>
      <c r="AE34" s="1044"/>
      <c r="AF34" s="1044"/>
    </row>
    <row r="35" spans="1:32" x14ac:dyDescent="0.5">
      <c r="A35" s="419"/>
      <c r="B35" s="419"/>
      <c r="C35" s="419"/>
      <c r="D35" s="419"/>
      <c r="E35" s="419"/>
      <c r="F35" s="419"/>
      <c r="G35" s="419"/>
      <c r="I35" s="1044"/>
      <c r="J35" s="1044"/>
      <c r="K35" s="1044"/>
      <c r="L35" s="1044"/>
      <c r="M35" s="1044"/>
      <c r="N35" s="1056" t="str">
        <f>V19</f>
        <v>KollV-Tx2</v>
      </c>
      <c r="O35" s="861" t="str">
        <f>IF(_Verband=2,V20,IF(_Verband=3,V21,IF(_Verband=4,V22,IF(_Verband=5,V23,""))))</f>
        <v/>
      </c>
      <c r="P35" s="860"/>
      <c r="Q35" s="860"/>
      <c r="R35" s="860"/>
      <c r="S35" s="860"/>
      <c r="T35" s="860"/>
      <c r="U35" s="860"/>
      <c r="V35" s="860"/>
      <c r="W35" s="860"/>
      <c r="X35" s="860"/>
      <c r="Y35" s="860"/>
      <c r="Z35" s="1057"/>
      <c r="AA35" s="1065"/>
      <c r="AB35" s="1044"/>
      <c r="AC35" s="1044"/>
      <c r="AD35" s="1044"/>
      <c r="AE35" s="1044"/>
      <c r="AF35" s="1044"/>
    </row>
    <row r="36" spans="1:32" ht="21" x14ac:dyDescent="0.65">
      <c r="A36" s="1184" t="s">
        <v>363</v>
      </c>
      <c r="B36" s="1185"/>
      <c r="C36" s="1185"/>
      <c r="D36" s="1185"/>
      <c r="E36" s="1185"/>
      <c r="F36" s="1185"/>
      <c r="G36" s="1186"/>
      <c r="H36" s="1048"/>
      <c r="I36" s="1047"/>
      <c r="J36" s="1047"/>
      <c r="K36" s="1047"/>
      <c r="L36" s="1047"/>
      <c r="M36" s="1047"/>
      <c r="N36" s="1056" t="str">
        <f>W19</f>
        <v>KollV-Tx3</v>
      </c>
      <c r="O36" s="861" t="str">
        <f>IF(_Verband=2,W20,IF(_Verband=3,W21,IF(_Verband=4,W22,IF(_Verband=5,W23,""))))</f>
        <v/>
      </c>
      <c r="P36" s="860"/>
      <c r="Q36" s="860"/>
      <c r="R36" s="860"/>
      <c r="S36" s="860"/>
      <c r="T36" s="860"/>
      <c r="U36" s="860"/>
      <c r="V36" s="860"/>
      <c r="W36" s="860"/>
      <c r="X36" s="860"/>
      <c r="Y36" s="860"/>
      <c r="Z36" s="1057"/>
      <c r="AA36" s="1065"/>
      <c r="AB36" s="1044"/>
      <c r="AC36" s="1044"/>
      <c r="AD36" s="1044"/>
      <c r="AE36" s="1044"/>
      <c r="AF36" s="1044"/>
    </row>
    <row r="37" spans="1:32" ht="15.95" customHeight="1" x14ac:dyDescent="0.5">
      <c r="A37" s="419"/>
      <c r="B37" s="419"/>
      <c r="C37" s="419"/>
      <c r="D37" s="419"/>
      <c r="E37" s="419"/>
      <c r="F37" s="419"/>
      <c r="G37" s="419"/>
      <c r="I37" s="1044"/>
      <c r="J37" s="1044"/>
      <c r="K37" s="1044"/>
      <c r="L37" s="1044"/>
      <c r="M37" s="1044"/>
      <c r="N37" s="1056" t="str">
        <f>X19</f>
        <v>KollV-Tx4</v>
      </c>
      <c r="O37" s="861" t="str">
        <f>IF(_Verband=2,X20,IF(_Verband=3,X21,IF(_Verband=4,X22,IF(_Verband=5,X23,""))))</f>
        <v/>
      </c>
      <c r="P37" s="860"/>
      <c r="Q37" s="860"/>
      <c r="R37" s="860"/>
      <c r="S37" s="860"/>
      <c r="T37" s="860"/>
      <c r="U37" s="860"/>
      <c r="V37" s="860"/>
      <c r="W37" s="860"/>
      <c r="X37" s="860"/>
      <c r="Y37" s="860"/>
      <c r="Z37" s="1057"/>
      <c r="AA37" s="1065"/>
      <c r="AB37" s="1044"/>
      <c r="AC37" s="1044"/>
      <c r="AD37" s="1044"/>
      <c r="AE37" s="1044"/>
      <c r="AF37" s="1044"/>
    </row>
    <row r="38" spans="1:32" ht="15.95" customHeight="1" x14ac:dyDescent="0.5">
      <c r="A38" s="1154" t="s">
        <v>588</v>
      </c>
      <c r="B38" s="1155"/>
      <c r="C38" s="1155"/>
      <c r="D38" s="1155"/>
      <c r="E38" s="1155"/>
      <c r="F38" s="1155"/>
      <c r="G38" s="1156"/>
      <c r="I38" s="1044"/>
      <c r="J38" s="1044"/>
      <c r="K38" s="1044"/>
      <c r="L38" s="1044"/>
      <c r="M38" s="1044"/>
      <c r="N38" s="1056" t="str">
        <f>Y19</f>
        <v>KollV-Tx5</v>
      </c>
      <c r="O38" s="861" t="str">
        <f>IF(_Verband=2,Y20,IF(_Verband=3,Y21,IF(_Verband=4,Y22,IF(_Verband=5,Y23,""))))</f>
        <v/>
      </c>
      <c r="P38" s="860"/>
      <c r="Q38" s="860"/>
      <c r="R38" s="860"/>
      <c r="S38" s="860"/>
      <c r="T38" s="860"/>
      <c r="U38" s="860"/>
      <c r="V38" s="860"/>
      <c r="W38" s="860"/>
      <c r="X38" s="860"/>
      <c r="Y38" s="860"/>
      <c r="Z38" s="1057"/>
      <c r="AA38" s="1065"/>
      <c r="AB38" s="1044"/>
      <c r="AC38" s="1044"/>
      <c r="AD38" s="1044"/>
      <c r="AE38" s="1044"/>
      <c r="AF38" s="1044"/>
    </row>
    <row r="39" spans="1:32" ht="15.95" customHeight="1" x14ac:dyDescent="0.5">
      <c r="A39" s="1157"/>
      <c r="B39" s="1158"/>
      <c r="C39" s="1158"/>
      <c r="D39" s="1158"/>
      <c r="E39" s="1158"/>
      <c r="F39" s="1158"/>
      <c r="G39" s="1159"/>
      <c r="I39" s="1044"/>
      <c r="J39" s="1044"/>
      <c r="K39" s="1044"/>
      <c r="L39" s="1044"/>
      <c r="M39" s="1044"/>
      <c r="N39" s="1056" t="str">
        <f>Z19</f>
        <v>KollV-Tx6</v>
      </c>
      <c r="O39" s="861" t="str">
        <f>IF(_Verband=2,Z20,IF(_Verband=3,Z21,IF(_Verband=4,Z22,IF(_Verband=5,Z23,""))))</f>
        <v/>
      </c>
      <c r="P39" s="860"/>
      <c r="Q39" s="860"/>
      <c r="R39" s="860"/>
      <c r="S39" s="860"/>
      <c r="T39" s="860"/>
      <c r="U39" s="860"/>
      <c r="V39" s="860"/>
      <c r="W39" s="860"/>
      <c r="X39" s="860"/>
      <c r="Y39" s="860"/>
      <c r="Z39" s="1057"/>
      <c r="AA39" s="1065"/>
      <c r="AB39" s="1044"/>
      <c r="AC39" s="1044"/>
      <c r="AD39" s="1044"/>
      <c r="AE39" s="1044"/>
      <c r="AF39" s="1044"/>
    </row>
    <row r="40" spans="1:32" ht="15.95" customHeight="1" x14ac:dyDescent="0.5">
      <c r="A40" s="1157"/>
      <c r="B40" s="1158"/>
      <c r="C40" s="1158"/>
      <c r="D40" s="1158"/>
      <c r="E40" s="1158"/>
      <c r="F40" s="1158"/>
      <c r="G40" s="1159"/>
      <c r="I40" s="1044"/>
      <c r="J40" s="1044"/>
      <c r="K40" s="1044"/>
      <c r="L40" s="1044"/>
      <c r="M40" s="1044"/>
      <c r="N40" s="1056" t="s">
        <v>445</v>
      </c>
      <c r="O40" s="861" t="str">
        <f>IF(_Verband=2,AA20,IF(_Verband=3,AA21,IF(_Verband=4,AA22,IF(_Verband=5,AA23,""))))</f>
        <v/>
      </c>
      <c r="P40" s="860"/>
      <c r="Q40" s="860"/>
      <c r="R40" s="860"/>
      <c r="S40" s="860"/>
      <c r="T40" s="860"/>
      <c r="U40" s="860"/>
      <c r="V40" s="860"/>
      <c r="W40" s="860"/>
      <c r="X40" s="860"/>
      <c r="Y40" s="860"/>
      <c r="Z40" s="1057"/>
      <c r="AA40" s="1065"/>
      <c r="AB40" s="1044"/>
      <c r="AC40" s="1044"/>
      <c r="AD40" s="1044"/>
      <c r="AE40" s="1044"/>
      <c r="AF40" s="1044"/>
    </row>
    <row r="41" spans="1:32" ht="15.95" customHeight="1" x14ac:dyDescent="0.5">
      <c r="A41" s="1157"/>
      <c r="B41" s="1158"/>
      <c r="C41" s="1158"/>
      <c r="D41" s="1158"/>
      <c r="E41" s="1158"/>
      <c r="F41" s="1158"/>
      <c r="G41" s="1159"/>
      <c r="N41" s="1061"/>
      <c r="O41" s="1062"/>
      <c r="P41" s="1062"/>
      <c r="Q41" s="1062"/>
      <c r="R41" s="1062"/>
      <c r="S41" s="1062"/>
      <c r="T41" s="1062"/>
      <c r="U41" s="1062"/>
      <c r="V41" s="1062"/>
      <c r="W41" s="1062"/>
      <c r="X41" s="1062"/>
      <c r="Y41" s="1062"/>
      <c r="Z41" s="1063"/>
      <c r="AA41" s="1068"/>
    </row>
    <row r="42" spans="1:32" ht="15.95" customHeight="1" x14ac:dyDescent="0.5">
      <c r="A42" s="1157"/>
      <c r="B42" s="1158"/>
      <c r="C42" s="1158"/>
      <c r="D42" s="1158"/>
      <c r="E42" s="1158"/>
      <c r="F42" s="1158"/>
      <c r="G42" s="1159"/>
    </row>
    <row r="43" spans="1:32" ht="15.95" customHeight="1" x14ac:dyDescent="0.5">
      <c r="A43" s="1157"/>
      <c r="B43" s="1158"/>
      <c r="C43" s="1158"/>
      <c r="D43" s="1158"/>
      <c r="E43" s="1158"/>
      <c r="F43" s="1158"/>
      <c r="G43" s="1159"/>
    </row>
    <row r="44" spans="1:32" ht="15.95" customHeight="1" x14ac:dyDescent="0.5">
      <c r="A44" s="1157"/>
      <c r="B44" s="1158"/>
      <c r="C44" s="1158"/>
      <c r="D44" s="1158"/>
      <c r="E44" s="1158"/>
      <c r="F44" s="1158"/>
      <c r="G44" s="1159"/>
    </row>
    <row r="45" spans="1:32" ht="15.95" customHeight="1" x14ac:dyDescent="0.5">
      <c r="A45" s="1157"/>
      <c r="B45" s="1158"/>
      <c r="C45" s="1158"/>
      <c r="D45" s="1158"/>
      <c r="E45" s="1158"/>
      <c r="F45" s="1158"/>
      <c r="G45" s="1159"/>
    </row>
    <row r="46" spans="1:32" x14ac:dyDescent="0.5">
      <c r="A46" s="1157"/>
      <c r="B46" s="1158"/>
      <c r="C46" s="1158"/>
      <c r="D46" s="1158"/>
      <c r="E46" s="1158"/>
      <c r="F46" s="1158"/>
      <c r="G46" s="1159"/>
    </row>
    <row r="47" spans="1:32" x14ac:dyDescent="0.5">
      <c r="A47" s="1157"/>
      <c r="B47" s="1158"/>
      <c r="C47" s="1158"/>
      <c r="D47" s="1158"/>
      <c r="E47" s="1158"/>
      <c r="F47" s="1158"/>
      <c r="G47" s="1159"/>
    </row>
    <row r="48" spans="1:32" x14ac:dyDescent="0.5">
      <c r="A48" s="1157"/>
      <c r="B48" s="1158"/>
      <c r="C48" s="1158"/>
      <c r="D48" s="1158"/>
      <c r="E48" s="1158"/>
      <c r="F48" s="1158"/>
      <c r="G48" s="1159"/>
    </row>
    <row r="49" spans="1:7" x14ac:dyDescent="0.5">
      <c r="A49" s="1157"/>
      <c r="B49" s="1158"/>
      <c r="C49" s="1158"/>
      <c r="D49" s="1158"/>
      <c r="E49" s="1158"/>
      <c r="F49" s="1158"/>
      <c r="G49" s="1159"/>
    </row>
    <row r="50" spans="1:7" x14ac:dyDescent="0.5">
      <c r="A50" s="1157"/>
      <c r="B50" s="1158"/>
      <c r="C50" s="1158"/>
      <c r="D50" s="1158"/>
      <c r="E50" s="1158"/>
      <c r="F50" s="1158"/>
      <c r="G50" s="1159"/>
    </row>
    <row r="51" spans="1:7" x14ac:dyDescent="0.5">
      <c r="A51" s="1157"/>
      <c r="B51" s="1158"/>
      <c r="C51" s="1158"/>
      <c r="D51" s="1158"/>
      <c r="E51" s="1158"/>
      <c r="F51" s="1158"/>
      <c r="G51" s="1159"/>
    </row>
    <row r="52" spans="1:7" x14ac:dyDescent="0.5">
      <c r="A52" s="1157"/>
      <c r="B52" s="1158"/>
      <c r="C52" s="1158"/>
      <c r="D52" s="1158"/>
      <c r="E52" s="1158"/>
      <c r="F52" s="1158"/>
      <c r="G52" s="1159"/>
    </row>
    <row r="53" spans="1:7" x14ac:dyDescent="0.5">
      <c r="A53" s="1157"/>
      <c r="B53" s="1158"/>
      <c r="C53" s="1158"/>
      <c r="D53" s="1158"/>
      <c r="E53" s="1158"/>
      <c r="F53" s="1158"/>
      <c r="G53" s="1159"/>
    </row>
    <row r="54" spans="1:7" x14ac:dyDescent="0.5">
      <c r="A54" s="1157"/>
      <c r="B54" s="1158"/>
      <c r="C54" s="1158"/>
      <c r="D54" s="1158"/>
      <c r="E54" s="1158"/>
      <c r="F54" s="1158"/>
      <c r="G54" s="1159"/>
    </row>
    <row r="55" spans="1:7" x14ac:dyDescent="0.5">
      <c r="A55" s="1157"/>
      <c r="B55" s="1158"/>
      <c r="C55" s="1158"/>
      <c r="D55" s="1158"/>
      <c r="E55" s="1158"/>
      <c r="F55" s="1158"/>
      <c r="G55" s="1159"/>
    </row>
    <row r="56" spans="1:7" x14ac:dyDescent="0.5">
      <c r="A56" s="1157"/>
      <c r="B56" s="1158"/>
      <c r="C56" s="1158"/>
      <c r="D56" s="1158"/>
      <c r="E56" s="1158"/>
      <c r="F56" s="1158"/>
      <c r="G56" s="1159"/>
    </row>
    <row r="57" spans="1:7" x14ac:dyDescent="0.5">
      <c r="A57" s="1157"/>
      <c r="B57" s="1158"/>
      <c r="C57" s="1158"/>
      <c r="D57" s="1158"/>
      <c r="E57" s="1158"/>
      <c r="F57" s="1158"/>
      <c r="G57" s="1159"/>
    </row>
    <row r="58" spans="1:7" x14ac:dyDescent="0.5">
      <c r="A58" s="1157"/>
      <c r="B58" s="1158"/>
      <c r="C58" s="1158"/>
      <c r="D58" s="1158"/>
      <c r="E58" s="1158"/>
      <c r="F58" s="1158"/>
      <c r="G58" s="1159"/>
    </row>
    <row r="59" spans="1:7" x14ac:dyDescent="0.5">
      <c r="A59" s="1157"/>
      <c r="B59" s="1158"/>
      <c r="C59" s="1158"/>
      <c r="D59" s="1158"/>
      <c r="E59" s="1158"/>
      <c r="F59" s="1158"/>
      <c r="G59" s="1159"/>
    </row>
    <row r="60" spans="1:7" x14ac:dyDescent="0.5">
      <c r="A60" s="1157"/>
      <c r="B60" s="1158"/>
      <c r="C60" s="1158"/>
      <c r="D60" s="1158"/>
      <c r="E60" s="1158"/>
      <c r="F60" s="1158"/>
      <c r="G60" s="1159"/>
    </row>
    <row r="61" spans="1:7" x14ac:dyDescent="0.5">
      <c r="A61" s="1157"/>
      <c r="B61" s="1158"/>
      <c r="C61" s="1158"/>
      <c r="D61" s="1158"/>
      <c r="E61" s="1158"/>
      <c r="F61" s="1158"/>
      <c r="G61" s="1159"/>
    </row>
    <row r="62" spans="1:7" x14ac:dyDescent="0.5">
      <c r="A62" s="1157"/>
      <c r="B62" s="1158"/>
      <c r="C62" s="1158"/>
      <c r="D62" s="1158"/>
      <c r="E62" s="1158"/>
      <c r="F62" s="1158"/>
      <c r="G62" s="1159"/>
    </row>
    <row r="63" spans="1:7" x14ac:dyDescent="0.5">
      <c r="A63" s="1157"/>
      <c r="B63" s="1158"/>
      <c r="C63" s="1158"/>
      <c r="D63" s="1158"/>
      <c r="E63" s="1158"/>
      <c r="F63" s="1158"/>
      <c r="G63" s="1159"/>
    </row>
    <row r="64" spans="1:7" x14ac:dyDescent="0.5">
      <c r="A64" s="1157"/>
      <c r="B64" s="1158"/>
      <c r="C64" s="1158"/>
      <c r="D64" s="1158"/>
      <c r="E64" s="1158"/>
      <c r="F64" s="1158"/>
      <c r="G64" s="1159"/>
    </row>
    <row r="65" spans="1:7" x14ac:dyDescent="0.5">
      <c r="A65" s="1160"/>
      <c r="B65" s="1161"/>
      <c r="C65" s="1161"/>
      <c r="D65" s="1161"/>
      <c r="E65" s="1161"/>
      <c r="F65" s="1161"/>
      <c r="G65" s="1162"/>
    </row>
    <row r="67" spans="1:7" ht="15.75" customHeight="1" x14ac:dyDescent="0.5">
      <c r="A67" s="1183" t="s">
        <v>521</v>
      </c>
      <c r="B67" s="1155"/>
      <c r="C67" s="1155"/>
      <c r="D67" s="1155"/>
      <c r="E67" s="1155"/>
      <c r="F67" s="1155"/>
      <c r="G67" s="1156"/>
    </row>
    <row r="68" spans="1:7" x14ac:dyDescent="0.5">
      <c r="A68" s="1157"/>
      <c r="B68" s="1158"/>
      <c r="C68" s="1158"/>
      <c r="D68" s="1158"/>
      <c r="E68" s="1158"/>
      <c r="F68" s="1158"/>
      <c r="G68" s="1159"/>
    </row>
    <row r="69" spans="1:7" x14ac:dyDescent="0.5">
      <c r="A69" s="1157"/>
      <c r="B69" s="1158"/>
      <c r="C69" s="1158"/>
      <c r="D69" s="1158"/>
      <c r="E69" s="1158"/>
      <c r="F69" s="1158"/>
      <c r="G69" s="1159"/>
    </row>
    <row r="70" spans="1:7" x14ac:dyDescent="0.5">
      <c r="A70" s="1157"/>
      <c r="B70" s="1158"/>
      <c r="C70" s="1158"/>
      <c r="D70" s="1158"/>
      <c r="E70" s="1158"/>
      <c r="F70" s="1158"/>
      <c r="G70" s="1159"/>
    </row>
    <row r="71" spans="1:7" x14ac:dyDescent="0.5">
      <c r="A71" s="1157"/>
      <c r="B71" s="1158"/>
      <c r="C71" s="1158"/>
      <c r="D71" s="1158"/>
      <c r="E71" s="1158"/>
      <c r="F71" s="1158"/>
      <c r="G71" s="1159"/>
    </row>
    <row r="72" spans="1:7" x14ac:dyDescent="0.5">
      <c r="A72" s="1157"/>
      <c r="B72" s="1158"/>
      <c r="C72" s="1158"/>
      <c r="D72" s="1158"/>
      <c r="E72" s="1158"/>
      <c r="F72" s="1158"/>
      <c r="G72" s="1159"/>
    </row>
    <row r="73" spans="1:7" x14ac:dyDescent="0.5">
      <c r="A73" s="1157"/>
      <c r="B73" s="1158"/>
      <c r="C73" s="1158"/>
      <c r="D73" s="1158"/>
      <c r="E73" s="1158"/>
      <c r="F73" s="1158"/>
      <c r="G73" s="1159"/>
    </row>
    <row r="74" spans="1:7" x14ac:dyDescent="0.5">
      <c r="A74" s="1157"/>
      <c r="B74" s="1158"/>
      <c r="C74" s="1158"/>
      <c r="D74" s="1158"/>
      <c r="E74" s="1158"/>
      <c r="F74" s="1158"/>
      <c r="G74" s="1159"/>
    </row>
    <row r="75" spans="1:7" x14ac:dyDescent="0.5">
      <c r="A75" s="1157"/>
      <c r="B75" s="1158"/>
      <c r="C75" s="1158"/>
      <c r="D75" s="1158"/>
      <c r="E75" s="1158"/>
      <c r="F75" s="1158"/>
      <c r="G75" s="1159"/>
    </row>
    <row r="76" spans="1:7" x14ac:dyDescent="0.5">
      <c r="A76" s="1157"/>
      <c r="B76" s="1158"/>
      <c r="C76" s="1158"/>
      <c r="D76" s="1158"/>
      <c r="E76" s="1158"/>
      <c r="F76" s="1158"/>
      <c r="G76" s="1159"/>
    </row>
    <row r="77" spans="1:7" x14ac:dyDescent="0.5">
      <c r="A77" s="1157"/>
      <c r="B77" s="1158"/>
      <c r="C77" s="1158"/>
      <c r="D77" s="1158"/>
      <c r="E77" s="1158"/>
      <c r="F77" s="1158"/>
      <c r="G77" s="1159"/>
    </row>
    <row r="78" spans="1:7" x14ac:dyDescent="0.5">
      <c r="A78" s="1157"/>
      <c r="B78" s="1158"/>
      <c r="C78" s="1158"/>
      <c r="D78" s="1158"/>
      <c r="E78" s="1158"/>
      <c r="F78" s="1158"/>
      <c r="G78" s="1159"/>
    </row>
    <row r="79" spans="1:7" x14ac:dyDescent="0.5">
      <c r="A79" s="1157"/>
      <c r="B79" s="1158"/>
      <c r="C79" s="1158"/>
      <c r="D79" s="1158"/>
      <c r="E79" s="1158"/>
      <c r="F79" s="1158"/>
      <c r="G79" s="1159"/>
    </row>
    <row r="80" spans="1:7" x14ac:dyDescent="0.5">
      <c r="A80" s="1157"/>
      <c r="B80" s="1158"/>
      <c r="C80" s="1158"/>
      <c r="D80" s="1158"/>
      <c r="E80" s="1158"/>
      <c r="F80" s="1158"/>
      <c r="G80" s="1159"/>
    </row>
    <row r="81" spans="1:7" x14ac:dyDescent="0.5">
      <c r="A81" s="1157"/>
      <c r="B81" s="1158"/>
      <c r="C81" s="1158"/>
      <c r="D81" s="1158"/>
      <c r="E81" s="1158"/>
      <c r="F81" s="1158"/>
      <c r="G81" s="1159"/>
    </row>
    <row r="82" spans="1:7" x14ac:dyDescent="0.5">
      <c r="A82" s="1157"/>
      <c r="B82" s="1158"/>
      <c r="C82" s="1158"/>
      <c r="D82" s="1158"/>
      <c r="E82" s="1158"/>
      <c r="F82" s="1158"/>
      <c r="G82" s="1159"/>
    </row>
    <row r="83" spans="1:7" x14ac:dyDescent="0.5">
      <c r="A83" s="1157"/>
      <c r="B83" s="1158"/>
      <c r="C83" s="1158"/>
      <c r="D83" s="1158"/>
      <c r="E83" s="1158"/>
      <c r="F83" s="1158"/>
      <c r="G83" s="1159"/>
    </row>
    <row r="84" spans="1:7" x14ac:dyDescent="0.5">
      <c r="A84" s="1157"/>
      <c r="B84" s="1158"/>
      <c r="C84" s="1158"/>
      <c r="D84" s="1158"/>
      <c r="E84" s="1158"/>
      <c r="F84" s="1158"/>
      <c r="G84" s="1159"/>
    </row>
    <row r="85" spans="1:7" x14ac:dyDescent="0.5">
      <c r="A85" s="1157"/>
      <c r="B85" s="1158"/>
      <c r="C85" s="1158"/>
      <c r="D85" s="1158"/>
      <c r="E85" s="1158"/>
      <c r="F85" s="1158"/>
      <c r="G85" s="1159"/>
    </row>
    <row r="86" spans="1:7" x14ac:dyDescent="0.5">
      <c r="A86" s="1157"/>
      <c r="B86" s="1158"/>
      <c r="C86" s="1158"/>
      <c r="D86" s="1158"/>
      <c r="E86" s="1158"/>
      <c r="F86" s="1158"/>
      <c r="G86" s="1159"/>
    </row>
    <row r="87" spans="1:7" x14ac:dyDescent="0.5">
      <c r="A87" s="1157"/>
      <c r="B87" s="1158"/>
      <c r="C87" s="1158"/>
      <c r="D87" s="1158"/>
      <c r="E87" s="1158"/>
      <c r="F87" s="1158"/>
      <c r="G87" s="1159"/>
    </row>
    <row r="88" spans="1:7" x14ac:dyDescent="0.5">
      <c r="A88" s="1157"/>
      <c r="B88" s="1158"/>
      <c r="C88" s="1158"/>
      <c r="D88" s="1158"/>
      <c r="E88" s="1158"/>
      <c r="F88" s="1158"/>
      <c r="G88" s="1159"/>
    </row>
    <row r="89" spans="1:7" x14ac:dyDescent="0.5">
      <c r="A89" s="1160"/>
      <c r="B89" s="1161"/>
      <c r="C89" s="1161"/>
      <c r="D89" s="1161"/>
      <c r="E89" s="1161"/>
      <c r="F89" s="1161"/>
      <c r="G89" s="1162"/>
    </row>
    <row r="92" spans="1:7" ht="15.75" customHeight="1" x14ac:dyDescent="0.5">
      <c r="A92" s="1154" t="s">
        <v>522</v>
      </c>
      <c r="B92" s="1155"/>
      <c r="C92" s="1155"/>
      <c r="D92" s="1155"/>
      <c r="E92" s="1155"/>
      <c r="F92" s="1155"/>
      <c r="G92" s="1156"/>
    </row>
    <row r="93" spans="1:7" x14ac:dyDescent="0.5">
      <c r="A93" s="1157"/>
      <c r="B93" s="1158"/>
      <c r="C93" s="1158"/>
      <c r="D93" s="1158"/>
      <c r="E93" s="1158"/>
      <c r="F93" s="1158"/>
      <c r="G93" s="1159"/>
    </row>
    <row r="94" spans="1:7" x14ac:dyDescent="0.5">
      <c r="A94" s="1157"/>
      <c r="B94" s="1158"/>
      <c r="C94" s="1158"/>
      <c r="D94" s="1158"/>
      <c r="E94" s="1158"/>
      <c r="F94" s="1158"/>
      <c r="G94" s="1159"/>
    </row>
    <row r="95" spans="1:7" x14ac:dyDescent="0.5">
      <c r="A95" s="1157"/>
      <c r="B95" s="1158"/>
      <c r="C95" s="1158"/>
      <c r="D95" s="1158"/>
      <c r="E95" s="1158"/>
      <c r="F95" s="1158"/>
      <c r="G95" s="1159"/>
    </row>
    <row r="96" spans="1:7" x14ac:dyDescent="0.5">
      <c r="A96" s="1157"/>
      <c r="B96" s="1158"/>
      <c r="C96" s="1158"/>
      <c r="D96" s="1158"/>
      <c r="E96" s="1158"/>
      <c r="F96" s="1158"/>
      <c r="G96" s="1159"/>
    </row>
    <row r="97" spans="1:7" x14ac:dyDescent="0.5">
      <c r="A97" s="1157"/>
      <c r="B97" s="1158"/>
      <c r="C97" s="1158"/>
      <c r="D97" s="1158"/>
      <c r="E97" s="1158"/>
      <c r="F97" s="1158"/>
      <c r="G97" s="1159"/>
    </row>
    <row r="98" spans="1:7" x14ac:dyDescent="0.5">
      <c r="A98" s="1157"/>
      <c r="B98" s="1158"/>
      <c r="C98" s="1158"/>
      <c r="D98" s="1158"/>
      <c r="E98" s="1158"/>
      <c r="F98" s="1158"/>
      <c r="G98" s="1159"/>
    </row>
    <row r="99" spans="1:7" x14ac:dyDescent="0.5">
      <c r="A99" s="1157"/>
      <c r="B99" s="1158"/>
      <c r="C99" s="1158"/>
      <c r="D99" s="1158"/>
      <c r="E99" s="1158"/>
      <c r="F99" s="1158"/>
      <c r="G99" s="1159"/>
    </row>
    <row r="100" spans="1:7" x14ac:dyDescent="0.5">
      <c r="A100" s="1157"/>
      <c r="B100" s="1158"/>
      <c r="C100" s="1158"/>
      <c r="D100" s="1158"/>
      <c r="E100" s="1158"/>
      <c r="F100" s="1158"/>
      <c r="G100" s="1159"/>
    </row>
    <row r="101" spans="1:7" x14ac:dyDescent="0.5">
      <c r="A101" s="1157"/>
      <c r="B101" s="1158"/>
      <c r="C101" s="1158"/>
      <c r="D101" s="1158"/>
      <c r="E101" s="1158"/>
      <c r="F101" s="1158"/>
      <c r="G101" s="1159"/>
    </row>
    <row r="102" spans="1:7" x14ac:dyDescent="0.5">
      <c r="A102" s="1157"/>
      <c r="B102" s="1158"/>
      <c r="C102" s="1158"/>
      <c r="D102" s="1158"/>
      <c r="E102" s="1158"/>
      <c r="F102" s="1158"/>
      <c r="G102" s="1159"/>
    </row>
    <row r="103" spans="1:7" x14ac:dyDescent="0.5">
      <c r="A103" s="1157"/>
      <c r="B103" s="1158"/>
      <c r="C103" s="1158"/>
      <c r="D103" s="1158"/>
      <c r="E103" s="1158"/>
      <c r="F103" s="1158"/>
      <c r="G103" s="1159"/>
    </row>
    <row r="104" spans="1:7" x14ac:dyDescent="0.5">
      <c r="A104" s="1157"/>
      <c r="B104" s="1158"/>
      <c r="C104" s="1158"/>
      <c r="D104" s="1158"/>
      <c r="E104" s="1158"/>
      <c r="F104" s="1158"/>
      <c r="G104" s="1159"/>
    </row>
    <row r="105" spans="1:7" x14ac:dyDescent="0.5">
      <c r="A105" s="1157"/>
      <c r="B105" s="1158"/>
      <c r="C105" s="1158"/>
      <c r="D105" s="1158"/>
      <c r="E105" s="1158"/>
      <c r="F105" s="1158"/>
      <c r="G105" s="1159"/>
    </row>
    <row r="106" spans="1:7" x14ac:dyDescent="0.5">
      <c r="A106" s="1157"/>
      <c r="B106" s="1158"/>
      <c r="C106" s="1158"/>
      <c r="D106" s="1158"/>
      <c r="E106" s="1158"/>
      <c r="F106" s="1158"/>
      <c r="G106" s="1159"/>
    </row>
    <row r="107" spans="1:7" x14ac:dyDescent="0.5">
      <c r="A107" s="1157"/>
      <c r="B107" s="1158"/>
      <c r="C107" s="1158"/>
      <c r="D107" s="1158"/>
      <c r="E107" s="1158"/>
      <c r="F107" s="1158"/>
      <c r="G107" s="1159"/>
    </row>
    <row r="108" spans="1:7" x14ac:dyDescent="0.5">
      <c r="A108" s="1157"/>
      <c r="B108" s="1158"/>
      <c r="C108" s="1158"/>
      <c r="D108" s="1158"/>
      <c r="E108" s="1158"/>
      <c r="F108" s="1158"/>
      <c r="G108" s="1159"/>
    </row>
    <row r="109" spans="1:7" x14ac:dyDescent="0.5">
      <c r="A109" s="1157"/>
      <c r="B109" s="1158"/>
      <c r="C109" s="1158"/>
      <c r="D109" s="1158"/>
      <c r="E109" s="1158"/>
      <c r="F109" s="1158"/>
      <c r="G109" s="1159"/>
    </row>
    <row r="110" spans="1:7" x14ac:dyDescent="0.5">
      <c r="A110" s="1157"/>
      <c r="B110" s="1158"/>
      <c r="C110" s="1158"/>
      <c r="D110" s="1158"/>
      <c r="E110" s="1158"/>
      <c r="F110" s="1158"/>
      <c r="G110" s="1159"/>
    </row>
    <row r="111" spans="1:7" x14ac:dyDescent="0.5">
      <c r="A111" s="1157"/>
      <c r="B111" s="1158"/>
      <c r="C111" s="1158"/>
      <c r="D111" s="1158"/>
      <c r="E111" s="1158"/>
      <c r="F111" s="1158"/>
      <c r="G111" s="1159"/>
    </row>
    <row r="112" spans="1:7" x14ac:dyDescent="0.5">
      <c r="A112" s="1160"/>
      <c r="B112" s="1161"/>
      <c r="C112" s="1161"/>
      <c r="D112" s="1161"/>
      <c r="E112" s="1161"/>
      <c r="F112" s="1161"/>
      <c r="G112" s="1162"/>
    </row>
    <row r="114" spans="1:7" x14ac:dyDescent="0.5">
      <c r="A114" s="1180" t="s">
        <v>392</v>
      </c>
      <c r="B114" s="1181"/>
      <c r="C114" s="1181"/>
      <c r="D114" s="1181"/>
      <c r="E114" s="1181"/>
      <c r="F114" s="1181"/>
      <c r="G114" s="1182"/>
    </row>
    <row r="116" spans="1:7" x14ac:dyDescent="0.5">
      <c r="A116" s="1171" t="s">
        <v>523</v>
      </c>
      <c r="B116" s="1172"/>
      <c r="C116" s="1172"/>
      <c r="D116" s="1172"/>
      <c r="E116" s="1172"/>
      <c r="F116" s="1172"/>
      <c r="G116" s="1173"/>
    </row>
    <row r="117" spans="1:7" x14ac:dyDescent="0.5">
      <c r="A117" s="1174"/>
      <c r="B117" s="1175"/>
      <c r="C117" s="1175"/>
      <c r="D117" s="1175"/>
      <c r="E117" s="1175"/>
      <c r="F117" s="1175"/>
      <c r="G117" s="1176"/>
    </row>
    <row r="118" spans="1:7" x14ac:dyDescent="0.5">
      <c r="A118" s="1174"/>
      <c r="B118" s="1175"/>
      <c r="C118" s="1175"/>
      <c r="D118" s="1175"/>
      <c r="E118" s="1175"/>
      <c r="F118" s="1175"/>
      <c r="G118" s="1176"/>
    </row>
    <row r="119" spans="1:7" x14ac:dyDescent="0.5">
      <c r="A119" s="1174"/>
      <c r="B119" s="1175"/>
      <c r="C119" s="1175"/>
      <c r="D119" s="1175"/>
      <c r="E119" s="1175"/>
      <c r="F119" s="1175"/>
      <c r="G119" s="1176"/>
    </row>
    <row r="120" spans="1:7" ht="15.75" customHeight="1" x14ac:dyDescent="0.5">
      <c r="A120" s="1174"/>
      <c r="B120" s="1175"/>
      <c r="C120" s="1175"/>
      <c r="D120" s="1175"/>
      <c r="E120" s="1175"/>
      <c r="F120" s="1175"/>
      <c r="G120" s="1176"/>
    </row>
    <row r="121" spans="1:7" x14ac:dyDescent="0.5">
      <c r="A121" s="1174"/>
      <c r="B121" s="1175"/>
      <c r="C121" s="1175"/>
      <c r="D121" s="1175"/>
      <c r="E121" s="1175"/>
      <c r="F121" s="1175"/>
      <c r="G121" s="1176"/>
    </row>
    <row r="122" spans="1:7" x14ac:dyDescent="0.5">
      <c r="A122" s="1174"/>
      <c r="B122" s="1175"/>
      <c r="C122" s="1175"/>
      <c r="D122" s="1175"/>
      <c r="E122" s="1175"/>
      <c r="F122" s="1175"/>
      <c r="G122" s="1176"/>
    </row>
    <row r="123" spans="1:7" x14ac:dyDescent="0.5">
      <c r="A123" s="1174"/>
      <c r="B123" s="1175"/>
      <c r="C123" s="1175"/>
      <c r="D123" s="1175"/>
      <c r="E123" s="1175"/>
      <c r="F123" s="1175"/>
      <c r="G123" s="1176"/>
    </row>
    <row r="124" spans="1:7" x14ac:dyDescent="0.5">
      <c r="A124" s="1174"/>
      <c r="B124" s="1175"/>
      <c r="C124" s="1175"/>
      <c r="D124" s="1175"/>
      <c r="E124" s="1175"/>
      <c r="F124" s="1175"/>
      <c r="G124" s="1176"/>
    </row>
    <row r="125" spans="1:7" x14ac:dyDescent="0.5">
      <c r="A125" s="1174"/>
      <c r="B125" s="1175"/>
      <c r="C125" s="1175"/>
      <c r="D125" s="1175"/>
      <c r="E125" s="1175"/>
      <c r="F125" s="1175"/>
      <c r="G125" s="1176"/>
    </row>
    <row r="126" spans="1:7" x14ac:dyDescent="0.5">
      <c r="A126" s="1174"/>
      <c r="B126" s="1175"/>
      <c r="C126" s="1175"/>
      <c r="D126" s="1175"/>
      <c r="E126" s="1175"/>
      <c r="F126" s="1175"/>
      <c r="G126" s="1176"/>
    </row>
    <row r="127" spans="1:7" x14ac:dyDescent="0.5">
      <c r="A127" s="1174"/>
      <c r="B127" s="1175"/>
      <c r="C127" s="1175"/>
      <c r="D127" s="1175"/>
      <c r="E127" s="1175"/>
      <c r="F127" s="1175"/>
      <c r="G127" s="1176"/>
    </row>
    <row r="128" spans="1:7" x14ac:dyDescent="0.5">
      <c r="A128" s="1174"/>
      <c r="B128" s="1175"/>
      <c r="C128" s="1175"/>
      <c r="D128" s="1175"/>
      <c r="E128" s="1175"/>
      <c r="F128" s="1175"/>
      <c r="G128" s="1176"/>
    </row>
    <row r="129" spans="1:7" x14ac:dyDescent="0.5">
      <c r="A129" s="1174"/>
      <c r="B129" s="1175"/>
      <c r="C129" s="1175"/>
      <c r="D129" s="1175"/>
      <c r="E129" s="1175"/>
      <c r="F129" s="1175"/>
      <c r="G129" s="1176"/>
    </row>
    <row r="130" spans="1:7" x14ac:dyDescent="0.5">
      <c r="A130" s="1174"/>
      <c r="B130" s="1175"/>
      <c r="C130" s="1175"/>
      <c r="D130" s="1175"/>
      <c r="E130" s="1175"/>
      <c r="F130" s="1175"/>
      <c r="G130" s="1176"/>
    </row>
    <row r="131" spans="1:7" x14ac:dyDescent="0.5">
      <c r="A131" s="1174"/>
      <c r="B131" s="1175"/>
      <c r="C131" s="1175"/>
      <c r="D131" s="1175"/>
      <c r="E131" s="1175"/>
      <c r="F131" s="1175"/>
      <c r="G131" s="1176"/>
    </row>
    <row r="132" spans="1:7" x14ac:dyDescent="0.5">
      <c r="A132" s="1174"/>
      <c r="B132" s="1175"/>
      <c r="C132" s="1175"/>
      <c r="D132" s="1175"/>
      <c r="E132" s="1175"/>
      <c r="F132" s="1175"/>
      <c r="G132" s="1176"/>
    </row>
    <row r="133" spans="1:7" x14ac:dyDescent="0.5">
      <c r="A133" s="1174"/>
      <c r="B133" s="1175"/>
      <c r="C133" s="1175"/>
      <c r="D133" s="1175"/>
      <c r="E133" s="1175"/>
      <c r="F133" s="1175"/>
      <c r="G133" s="1176"/>
    </row>
    <row r="134" spans="1:7" x14ac:dyDescent="0.5">
      <c r="A134" s="1177"/>
      <c r="B134" s="1178"/>
      <c r="C134" s="1178"/>
      <c r="D134" s="1178"/>
      <c r="E134" s="1178"/>
      <c r="F134" s="1178"/>
      <c r="G134" s="1179"/>
    </row>
    <row r="135" spans="1:7" ht="15.75" customHeight="1" x14ac:dyDescent="0.5">
      <c r="A135" s="1154" t="s">
        <v>585</v>
      </c>
      <c r="B135" s="1155"/>
      <c r="C135" s="1155"/>
      <c r="D135" s="1155"/>
      <c r="E135" s="1155"/>
      <c r="F135" s="1155"/>
      <c r="G135" s="1156"/>
    </row>
    <row r="136" spans="1:7" x14ac:dyDescent="0.5">
      <c r="A136" s="1157"/>
      <c r="B136" s="1158"/>
      <c r="C136" s="1158"/>
      <c r="D136" s="1158"/>
      <c r="E136" s="1158"/>
      <c r="F136" s="1158"/>
      <c r="G136" s="1159"/>
    </row>
    <row r="137" spans="1:7" x14ac:dyDescent="0.5">
      <c r="A137" s="1157"/>
      <c r="B137" s="1158"/>
      <c r="C137" s="1158"/>
      <c r="D137" s="1158"/>
      <c r="E137" s="1158"/>
      <c r="F137" s="1158"/>
      <c r="G137" s="1159"/>
    </row>
    <row r="138" spans="1:7" x14ac:dyDescent="0.5">
      <c r="A138" s="1157"/>
      <c r="B138" s="1158"/>
      <c r="C138" s="1158"/>
      <c r="D138" s="1158"/>
      <c r="E138" s="1158"/>
      <c r="F138" s="1158"/>
      <c r="G138" s="1159"/>
    </row>
    <row r="139" spans="1:7" x14ac:dyDescent="0.5">
      <c r="A139" s="1157"/>
      <c r="B139" s="1158"/>
      <c r="C139" s="1158"/>
      <c r="D139" s="1158"/>
      <c r="E139" s="1158"/>
      <c r="F139" s="1158"/>
      <c r="G139" s="1159"/>
    </row>
    <row r="140" spans="1:7" x14ac:dyDescent="0.5">
      <c r="A140" s="1157"/>
      <c r="B140" s="1158"/>
      <c r="C140" s="1158"/>
      <c r="D140" s="1158"/>
      <c r="E140" s="1158"/>
      <c r="F140" s="1158"/>
      <c r="G140" s="1159"/>
    </row>
    <row r="141" spans="1:7" x14ac:dyDescent="0.5">
      <c r="A141" s="1157"/>
      <c r="B141" s="1158"/>
      <c r="C141" s="1158"/>
      <c r="D141" s="1158"/>
      <c r="E141" s="1158"/>
      <c r="F141" s="1158"/>
      <c r="G141" s="1159"/>
    </row>
    <row r="142" spans="1:7" x14ac:dyDescent="0.5">
      <c r="A142" s="1157"/>
      <c r="B142" s="1158"/>
      <c r="C142" s="1158"/>
      <c r="D142" s="1158"/>
      <c r="E142" s="1158"/>
      <c r="F142" s="1158"/>
      <c r="G142" s="1159"/>
    </row>
    <row r="143" spans="1:7" x14ac:dyDescent="0.5">
      <c r="A143" s="1157"/>
      <c r="B143" s="1158"/>
      <c r="C143" s="1158"/>
      <c r="D143" s="1158"/>
      <c r="E143" s="1158"/>
      <c r="F143" s="1158"/>
      <c r="G143" s="1159"/>
    </row>
    <row r="144" spans="1:7" x14ac:dyDescent="0.5">
      <c r="A144" s="1157"/>
      <c r="B144" s="1158"/>
      <c r="C144" s="1158"/>
      <c r="D144" s="1158"/>
      <c r="E144" s="1158"/>
      <c r="F144" s="1158"/>
      <c r="G144" s="1159"/>
    </row>
    <row r="145" spans="1:7" x14ac:dyDescent="0.5">
      <c r="A145" s="1157"/>
      <c r="B145" s="1158"/>
      <c r="C145" s="1158"/>
      <c r="D145" s="1158"/>
      <c r="E145" s="1158"/>
      <c r="F145" s="1158"/>
      <c r="G145" s="1159"/>
    </row>
    <row r="146" spans="1:7" x14ac:dyDescent="0.5">
      <c r="A146" s="1157"/>
      <c r="B146" s="1158"/>
      <c r="C146" s="1158"/>
      <c r="D146" s="1158"/>
      <c r="E146" s="1158"/>
      <c r="F146" s="1158"/>
      <c r="G146" s="1159"/>
    </row>
    <row r="147" spans="1:7" x14ac:dyDescent="0.5">
      <c r="A147" s="1157"/>
      <c r="B147" s="1158"/>
      <c r="C147" s="1158"/>
      <c r="D147" s="1158"/>
      <c r="E147" s="1158"/>
      <c r="F147" s="1158"/>
      <c r="G147" s="1159"/>
    </row>
    <row r="148" spans="1:7" x14ac:dyDescent="0.5">
      <c r="A148" s="1157"/>
      <c r="B148" s="1158"/>
      <c r="C148" s="1158"/>
      <c r="D148" s="1158"/>
      <c r="E148" s="1158"/>
      <c r="F148" s="1158"/>
      <c r="G148" s="1159"/>
    </row>
    <row r="149" spans="1:7" x14ac:dyDescent="0.5">
      <c r="A149" s="1157"/>
      <c r="B149" s="1158"/>
      <c r="C149" s="1158"/>
      <c r="D149" s="1158"/>
      <c r="E149" s="1158"/>
      <c r="F149" s="1158"/>
      <c r="G149" s="1159"/>
    </row>
    <row r="150" spans="1:7" x14ac:dyDescent="0.5">
      <c r="A150" s="1157"/>
      <c r="B150" s="1158"/>
      <c r="C150" s="1158"/>
      <c r="D150" s="1158"/>
      <c r="E150" s="1158"/>
      <c r="F150" s="1158"/>
      <c r="G150" s="1159"/>
    </row>
    <row r="151" spans="1:7" x14ac:dyDescent="0.5">
      <c r="A151" s="1157"/>
      <c r="B151" s="1158"/>
      <c r="C151" s="1158"/>
      <c r="D151" s="1158"/>
      <c r="E151" s="1158"/>
      <c r="F151" s="1158"/>
      <c r="G151" s="1159"/>
    </row>
    <row r="152" spans="1:7" x14ac:dyDescent="0.5">
      <c r="A152" s="1157"/>
      <c r="B152" s="1158"/>
      <c r="C152" s="1158"/>
      <c r="D152" s="1158"/>
      <c r="E152" s="1158"/>
      <c r="F152" s="1158"/>
      <c r="G152" s="1159"/>
    </row>
    <row r="153" spans="1:7" x14ac:dyDescent="0.5">
      <c r="A153" s="1157"/>
      <c r="B153" s="1158"/>
      <c r="C153" s="1158"/>
      <c r="D153" s="1158"/>
      <c r="E153" s="1158"/>
      <c r="F153" s="1158"/>
      <c r="G153" s="1159"/>
    </row>
    <row r="154" spans="1:7" x14ac:dyDescent="0.5">
      <c r="A154" s="1157"/>
      <c r="B154" s="1158"/>
      <c r="C154" s="1158"/>
      <c r="D154" s="1158"/>
      <c r="E154" s="1158"/>
      <c r="F154" s="1158"/>
      <c r="G154" s="1159"/>
    </row>
    <row r="155" spans="1:7" x14ac:dyDescent="0.5">
      <c r="A155" s="1157"/>
      <c r="B155" s="1158"/>
      <c r="C155" s="1158"/>
      <c r="D155" s="1158"/>
      <c r="E155" s="1158"/>
      <c r="F155" s="1158"/>
      <c r="G155" s="1159"/>
    </row>
    <row r="156" spans="1:7" x14ac:dyDescent="0.5">
      <c r="A156" s="1157"/>
      <c r="B156" s="1158"/>
      <c r="C156" s="1158"/>
      <c r="D156" s="1158"/>
      <c r="E156" s="1158"/>
      <c r="F156" s="1158"/>
      <c r="G156" s="1159"/>
    </row>
    <row r="157" spans="1:7" x14ac:dyDescent="0.5">
      <c r="A157" s="1157"/>
      <c r="B157" s="1158"/>
      <c r="C157" s="1158"/>
      <c r="D157" s="1158"/>
      <c r="E157" s="1158"/>
      <c r="F157" s="1158"/>
      <c r="G157" s="1159"/>
    </row>
    <row r="158" spans="1:7" x14ac:dyDescent="0.5">
      <c r="A158" s="1160"/>
      <c r="B158" s="1161"/>
      <c r="C158" s="1161"/>
      <c r="D158" s="1161"/>
      <c r="E158" s="1161"/>
      <c r="F158" s="1161"/>
      <c r="G158" s="1162"/>
    </row>
    <row r="160" spans="1:7" x14ac:dyDescent="0.5">
      <c r="A160" s="1165" t="s">
        <v>515</v>
      </c>
      <c r="B160" s="1166"/>
      <c r="C160" s="1166"/>
      <c r="D160" s="1166"/>
      <c r="E160" s="1166"/>
      <c r="F160" s="1166"/>
      <c r="G160" s="1167"/>
    </row>
    <row r="162" spans="1:7" x14ac:dyDescent="0.5">
      <c r="A162" s="1154" t="s">
        <v>589</v>
      </c>
      <c r="B162" s="1155"/>
      <c r="C162" s="1155"/>
      <c r="D162" s="1155"/>
      <c r="E162" s="1155"/>
      <c r="F162" s="1155"/>
      <c r="G162" s="1156"/>
    </row>
    <row r="163" spans="1:7" x14ac:dyDescent="0.5">
      <c r="A163" s="1157"/>
      <c r="B163" s="1158"/>
      <c r="C163" s="1158"/>
      <c r="D163" s="1158"/>
      <c r="E163" s="1158"/>
      <c r="F163" s="1158"/>
      <c r="G163" s="1159"/>
    </row>
    <row r="164" spans="1:7" x14ac:dyDescent="0.5">
      <c r="A164" s="1160"/>
      <c r="B164" s="1161"/>
      <c r="C164" s="1161"/>
      <c r="D164" s="1161"/>
      <c r="E164" s="1161"/>
      <c r="F164" s="1161"/>
      <c r="G164" s="1162"/>
    </row>
    <row r="166" spans="1:7" ht="15.75" customHeight="1" x14ac:dyDescent="0.5">
      <c r="A166" s="1154" t="s">
        <v>590</v>
      </c>
      <c r="B166" s="1155"/>
      <c r="C166" s="1155"/>
      <c r="D166" s="1155"/>
      <c r="E166" s="1155"/>
      <c r="F166" s="1155"/>
      <c r="G166" s="1156"/>
    </row>
    <row r="167" spans="1:7" x14ac:dyDescent="0.5">
      <c r="A167" s="1157"/>
      <c r="B167" s="1158"/>
      <c r="C167" s="1158"/>
      <c r="D167" s="1158"/>
      <c r="E167" s="1158"/>
      <c r="F167" s="1158"/>
      <c r="G167" s="1159"/>
    </row>
    <row r="168" spans="1:7" x14ac:dyDescent="0.5">
      <c r="A168" s="1157"/>
      <c r="B168" s="1158"/>
      <c r="C168" s="1158"/>
      <c r="D168" s="1158"/>
      <c r="E168" s="1158"/>
      <c r="F168" s="1158"/>
      <c r="G168" s="1159"/>
    </row>
    <row r="169" spans="1:7" x14ac:dyDescent="0.5">
      <c r="A169" s="1157"/>
      <c r="B169" s="1158"/>
      <c r="C169" s="1158"/>
      <c r="D169" s="1158"/>
      <c r="E169" s="1158"/>
      <c r="F169" s="1158"/>
      <c r="G169" s="1159"/>
    </row>
    <row r="170" spans="1:7" x14ac:dyDescent="0.5">
      <c r="A170" s="1157"/>
      <c r="B170" s="1158"/>
      <c r="C170" s="1158"/>
      <c r="D170" s="1158"/>
      <c r="E170" s="1158"/>
      <c r="F170" s="1158"/>
      <c r="G170" s="1159"/>
    </row>
    <row r="171" spans="1:7" x14ac:dyDescent="0.5">
      <c r="A171" s="1157"/>
      <c r="B171" s="1158"/>
      <c r="C171" s="1158"/>
      <c r="D171" s="1158"/>
      <c r="E171" s="1158"/>
      <c r="F171" s="1158"/>
      <c r="G171" s="1159"/>
    </row>
    <row r="172" spans="1:7" x14ac:dyDescent="0.5">
      <c r="A172" s="1157"/>
      <c r="B172" s="1158"/>
      <c r="C172" s="1158"/>
      <c r="D172" s="1158"/>
      <c r="E172" s="1158"/>
      <c r="F172" s="1158"/>
      <c r="G172" s="1159"/>
    </row>
    <row r="173" spans="1:7" x14ac:dyDescent="0.5">
      <c r="A173" s="1157"/>
      <c r="B173" s="1158"/>
      <c r="C173" s="1158"/>
      <c r="D173" s="1158"/>
      <c r="E173" s="1158"/>
      <c r="F173" s="1158"/>
      <c r="G173" s="1159"/>
    </row>
    <row r="174" spans="1:7" x14ac:dyDescent="0.5">
      <c r="A174" s="1157"/>
      <c r="B174" s="1158"/>
      <c r="C174" s="1158"/>
      <c r="D174" s="1158"/>
      <c r="E174" s="1158"/>
      <c r="F174" s="1158"/>
      <c r="G174" s="1159"/>
    </row>
    <row r="175" spans="1:7" x14ac:dyDescent="0.5">
      <c r="A175" s="1157"/>
      <c r="B175" s="1158"/>
      <c r="C175" s="1158"/>
      <c r="D175" s="1158"/>
      <c r="E175" s="1158"/>
      <c r="F175" s="1158"/>
      <c r="G175" s="1159"/>
    </row>
    <row r="176" spans="1:7" x14ac:dyDescent="0.5">
      <c r="A176" s="1157"/>
      <c r="B176" s="1158"/>
      <c r="C176" s="1158"/>
      <c r="D176" s="1158"/>
      <c r="E176" s="1158"/>
      <c r="F176" s="1158"/>
      <c r="G176" s="1159"/>
    </row>
    <row r="177" spans="1:7" x14ac:dyDescent="0.5">
      <c r="A177" s="1157"/>
      <c r="B177" s="1158"/>
      <c r="C177" s="1158"/>
      <c r="D177" s="1158"/>
      <c r="E177" s="1158"/>
      <c r="F177" s="1158"/>
      <c r="G177" s="1159"/>
    </row>
    <row r="178" spans="1:7" x14ac:dyDescent="0.5">
      <c r="A178" s="1157"/>
      <c r="B178" s="1158"/>
      <c r="C178" s="1158"/>
      <c r="D178" s="1158"/>
      <c r="E178" s="1158"/>
      <c r="F178" s="1158"/>
      <c r="G178" s="1159"/>
    </row>
    <row r="179" spans="1:7" x14ac:dyDescent="0.5">
      <c r="A179" s="1157"/>
      <c r="B179" s="1158"/>
      <c r="C179" s="1158"/>
      <c r="D179" s="1158"/>
      <c r="E179" s="1158"/>
      <c r="F179" s="1158"/>
      <c r="G179" s="1159"/>
    </row>
    <row r="180" spans="1:7" x14ac:dyDescent="0.5">
      <c r="A180" s="1157"/>
      <c r="B180" s="1158"/>
      <c r="C180" s="1158"/>
      <c r="D180" s="1158"/>
      <c r="E180" s="1158"/>
      <c r="F180" s="1158"/>
      <c r="G180" s="1159"/>
    </row>
    <row r="181" spans="1:7" x14ac:dyDescent="0.5">
      <c r="A181" s="1157"/>
      <c r="B181" s="1158"/>
      <c r="C181" s="1158"/>
      <c r="D181" s="1158"/>
      <c r="E181" s="1158"/>
      <c r="F181" s="1158"/>
      <c r="G181" s="1159"/>
    </row>
    <row r="182" spans="1:7" x14ac:dyDescent="0.5">
      <c r="A182" s="1160"/>
      <c r="B182" s="1161"/>
      <c r="C182" s="1161"/>
      <c r="D182" s="1161"/>
      <c r="E182" s="1161"/>
      <c r="F182" s="1161"/>
      <c r="G182" s="1162"/>
    </row>
    <row r="184" spans="1:7" ht="15.75" customHeight="1" x14ac:dyDescent="0.5">
      <c r="A184" s="1154" t="s">
        <v>671</v>
      </c>
      <c r="B184" s="1155"/>
      <c r="C184" s="1155"/>
      <c r="D184" s="1155"/>
      <c r="E184" s="1155"/>
      <c r="F184" s="1155"/>
      <c r="G184" s="1156"/>
    </row>
    <row r="185" spans="1:7" x14ac:dyDescent="0.5">
      <c r="A185" s="1157"/>
      <c r="B185" s="1158"/>
      <c r="C185" s="1158"/>
      <c r="D185" s="1158"/>
      <c r="E185" s="1158"/>
      <c r="F185" s="1158"/>
      <c r="G185" s="1159"/>
    </row>
    <row r="186" spans="1:7" x14ac:dyDescent="0.5">
      <c r="A186" s="1157"/>
      <c r="B186" s="1158"/>
      <c r="C186" s="1158"/>
      <c r="D186" s="1158"/>
      <c r="E186" s="1158"/>
      <c r="F186" s="1158"/>
      <c r="G186" s="1159"/>
    </row>
    <row r="187" spans="1:7" x14ac:dyDescent="0.5">
      <c r="A187" s="1157"/>
      <c r="B187" s="1158"/>
      <c r="C187" s="1158"/>
      <c r="D187" s="1158"/>
      <c r="E187" s="1158"/>
      <c r="F187" s="1158"/>
      <c r="G187" s="1159"/>
    </row>
    <row r="188" spans="1:7" x14ac:dyDescent="0.5">
      <c r="A188" s="1157"/>
      <c r="B188" s="1158"/>
      <c r="C188" s="1158"/>
      <c r="D188" s="1158"/>
      <c r="E188" s="1158"/>
      <c r="F188" s="1158"/>
      <c r="G188" s="1159"/>
    </row>
    <row r="189" spans="1:7" x14ac:dyDescent="0.5">
      <c r="A189" s="1157"/>
      <c r="B189" s="1158"/>
      <c r="C189" s="1158"/>
      <c r="D189" s="1158"/>
      <c r="E189" s="1158"/>
      <c r="F189" s="1158"/>
      <c r="G189" s="1159"/>
    </row>
    <row r="190" spans="1:7" x14ac:dyDescent="0.5">
      <c r="A190" s="1157"/>
      <c r="B190" s="1158"/>
      <c r="C190" s="1158"/>
      <c r="D190" s="1158"/>
      <c r="E190" s="1158"/>
      <c r="F190" s="1158"/>
      <c r="G190" s="1159"/>
    </row>
    <row r="191" spans="1:7" x14ac:dyDescent="0.5">
      <c r="A191" s="1157"/>
      <c r="B191" s="1158"/>
      <c r="C191" s="1158"/>
      <c r="D191" s="1158"/>
      <c r="E191" s="1158"/>
      <c r="F191" s="1158"/>
      <c r="G191" s="1159"/>
    </row>
    <row r="192" spans="1:7" x14ac:dyDescent="0.5">
      <c r="A192" s="1157"/>
      <c r="B192" s="1158"/>
      <c r="C192" s="1158"/>
      <c r="D192" s="1158"/>
      <c r="E192" s="1158"/>
      <c r="F192" s="1158"/>
      <c r="G192" s="1159"/>
    </row>
    <row r="193" spans="1:7" x14ac:dyDescent="0.5">
      <c r="A193" s="1160"/>
      <c r="B193" s="1161"/>
      <c r="C193" s="1161"/>
      <c r="D193" s="1161"/>
      <c r="E193" s="1161"/>
      <c r="F193" s="1161"/>
      <c r="G193" s="1162"/>
    </row>
    <row r="195" spans="1:7" ht="15.75" customHeight="1" x14ac:dyDescent="0.5">
      <c r="A195" s="1154" t="s">
        <v>690</v>
      </c>
      <c r="B195" s="1155"/>
      <c r="C195" s="1155"/>
      <c r="D195" s="1155"/>
      <c r="E195" s="1155"/>
      <c r="F195" s="1155"/>
      <c r="G195" s="1156"/>
    </row>
    <row r="196" spans="1:7" x14ac:dyDescent="0.5">
      <c r="A196" s="1157"/>
      <c r="B196" s="1158"/>
      <c r="C196" s="1158"/>
      <c r="D196" s="1158"/>
      <c r="E196" s="1158"/>
      <c r="F196" s="1158"/>
      <c r="G196" s="1159"/>
    </row>
    <row r="197" spans="1:7" x14ac:dyDescent="0.5">
      <c r="A197" s="1157"/>
      <c r="B197" s="1158"/>
      <c r="C197" s="1158"/>
      <c r="D197" s="1158"/>
      <c r="E197" s="1158"/>
      <c r="F197" s="1158"/>
      <c r="G197" s="1159"/>
    </row>
    <row r="198" spans="1:7" x14ac:dyDescent="0.5">
      <c r="A198" s="1157"/>
      <c r="B198" s="1158"/>
      <c r="C198" s="1158"/>
      <c r="D198" s="1158"/>
      <c r="E198" s="1158"/>
      <c r="F198" s="1158"/>
      <c r="G198" s="1159"/>
    </row>
    <row r="199" spans="1:7" x14ac:dyDescent="0.5">
      <c r="A199" s="1157"/>
      <c r="B199" s="1158"/>
      <c r="C199" s="1158"/>
      <c r="D199" s="1158"/>
      <c r="E199" s="1158"/>
      <c r="F199" s="1158"/>
      <c r="G199" s="1159"/>
    </row>
    <row r="200" spans="1:7" x14ac:dyDescent="0.5">
      <c r="A200" s="1157"/>
      <c r="B200" s="1158"/>
      <c r="C200" s="1158"/>
      <c r="D200" s="1158"/>
      <c r="E200" s="1158"/>
      <c r="F200" s="1158"/>
      <c r="G200" s="1159"/>
    </row>
    <row r="201" spans="1:7" x14ac:dyDescent="0.5">
      <c r="A201" s="1157"/>
      <c r="B201" s="1158"/>
      <c r="C201" s="1158"/>
      <c r="D201" s="1158"/>
      <c r="E201" s="1158"/>
      <c r="F201" s="1158"/>
      <c r="G201" s="1159"/>
    </row>
    <row r="202" spans="1:7" x14ac:dyDescent="0.5">
      <c r="A202" s="1157"/>
      <c r="B202" s="1158"/>
      <c r="C202" s="1158"/>
      <c r="D202" s="1158"/>
      <c r="E202" s="1158"/>
      <c r="F202" s="1158"/>
      <c r="G202" s="1159"/>
    </row>
    <row r="203" spans="1:7" x14ac:dyDescent="0.5">
      <c r="A203" s="1157"/>
      <c r="B203" s="1158"/>
      <c r="C203" s="1158"/>
      <c r="D203" s="1158"/>
      <c r="E203" s="1158"/>
      <c r="F203" s="1158"/>
      <c r="G203" s="1159"/>
    </row>
    <row r="204" spans="1:7" x14ac:dyDescent="0.5">
      <c r="A204" s="1157"/>
      <c r="B204" s="1158"/>
      <c r="C204" s="1158"/>
      <c r="D204" s="1158"/>
      <c r="E204" s="1158"/>
      <c r="F204" s="1158"/>
      <c r="G204" s="1159"/>
    </row>
    <row r="205" spans="1:7" x14ac:dyDescent="0.5">
      <c r="A205" s="1157"/>
      <c r="B205" s="1158"/>
      <c r="C205" s="1158"/>
      <c r="D205" s="1158"/>
      <c r="E205" s="1158"/>
      <c r="F205" s="1158"/>
      <c r="G205" s="1159"/>
    </row>
    <row r="206" spans="1:7" x14ac:dyDescent="0.5">
      <c r="A206" s="1160"/>
      <c r="B206" s="1161"/>
      <c r="C206" s="1161"/>
      <c r="D206" s="1161"/>
      <c r="E206" s="1161"/>
      <c r="F206" s="1161"/>
      <c r="G206" s="1162"/>
    </row>
  </sheetData>
  <sheetProtection password="B984" sheet="1" selectLockedCells="1"/>
  <mergeCells count="45">
    <mergeCell ref="N12:P12"/>
    <mergeCell ref="D14:G15"/>
    <mergeCell ref="H14:H15"/>
    <mergeCell ref="H9:H12"/>
    <mergeCell ref="B33:D33"/>
    <mergeCell ref="O29:R29"/>
    <mergeCell ref="O30:R30"/>
    <mergeCell ref="O31:R31"/>
    <mergeCell ref="O32:R32"/>
    <mergeCell ref="B32:C32"/>
    <mergeCell ref="A31:G31"/>
    <mergeCell ref="B27:G27"/>
    <mergeCell ref="B22:F22"/>
    <mergeCell ref="F11:G12"/>
    <mergeCell ref="H17:H29"/>
    <mergeCell ref="B23:F23"/>
    <mergeCell ref="B1:G4"/>
    <mergeCell ref="B5:C5"/>
    <mergeCell ref="C7:F7"/>
    <mergeCell ref="C9:F9"/>
    <mergeCell ref="C11:D11"/>
    <mergeCell ref="D5:G5"/>
    <mergeCell ref="A21:G21"/>
    <mergeCell ref="B19:F19"/>
    <mergeCell ref="A13:G13"/>
    <mergeCell ref="B14:C14"/>
    <mergeCell ref="B15:C15"/>
    <mergeCell ref="B18:F18"/>
    <mergeCell ref="A17:G17"/>
    <mergeCell ref="B24:F24"/>
    <mergeCell ref="F32:G32"/>
    <mergeCell ref="A195:G206"/>
    <mergeCell ref="A184:G193"/>
    <mergeCell ref="A135:G158"/>
    <mergeCell ref="B29:G29"/>
    <mergeCell ref="A162:G164"/>
    <mergeCell ref="A160:G160"/>
    <mergeCell ref="A166:G182"/>
    <mergeCell ref="A26:G26"/>
    <mergeCell ref="A116:G134"/>
    <mergeCell ref="A114:G114"/>
    <mergeCell ref="A92:G112"/>
    <mergeCell ref="A67:G89"/>
    <mergeCell ref="A36:G36"/>
    <mergeCell ref="A38:G65"/>
  </mergeCells>
  <conditionalFormatting sqref="B15:C16 C28 B22 B20:C20">
    <cfRule type="colorScale" priority="9">
      <colorScale>
        <cfvo type="num" val="0"/>
        <cfvo type="percent" val="50"/>
        <cfvo type="num" val="100"/>
        <color rgb="FFF8696B"/>
        <color rgb="FFFFEB84"/>
        <color rgb="FF63BE7B"/>
      </colorScale>
    </cfRule>
  </conditionalFormatting>
  <conditionalFormatting sqref="G10 F11">
    <cfRule type="expression" dxfId="181" priority="6">
      <formula>$Q$16="OK!"</formula>
    </cfRule>
  </conditionalFormatting>
  <conditionalFormatting sqref="D14:G15">
    <cfRule type="expression" dxfId="180" priority="5">
      <formula>$Q$16="OK!"</formula>
    </cfRule>
  </conditionalFormatting>
  <conditionalFormatting sqref="A24 G18:G19">
    <cfRule type="expression" dxfId="179" priority="76">
      <formula>$O$9=0</formula>
    </cfRule>
  </conditionalFormatting>
  <conditionalFormatting sqref="B22:F22">
    <cfRule type="expression" dxfId="178" priority="4">
      <formula>_OK?&lt;&gt;"OK!"</formula>
    </cfRule>
  </conditionalFormatting>
  <conditionalFormatting sqref="A17:G17 B22:F22 B29:G29 H17:M29">
    <cfRule type="expression" dxfId="177" priority="3">
      <formula>_OK_KV?&lt;&gt;"OK_KV!"</formula>
    </cfRule>
  </conditionalFormatting>
  <conditionalFormatting sqref="A17:G19">
    <cfRule type="expression" dxfId="176" priority="2">
      <formula>_Verband=0</formula>
    </cfRule>
  </conditionalFormatting>
  <conditionalFormatting sqref="A26:G26">
    <cfRule type="expression" dxfId="175" priority="1">
      <formula>_OK?&lt;&gt;"OK!"</formula>
    </cfRule>
  </conditionalFormatting>
  <dataValidations count="2">
    <dataValidation type="textLength" operator="lessThan" allowBlank="1" showInputMessage="1" showErrorMessage="1" error="Maximal 40 Zeichen" sqref="C7:F7" xr:uid="{DAD0F8EE-CBF5-44E0-A421-985B2758798E}">
      <formula1>46</formula1>
    </dataValidation>
    <dataValidation type="textLength" operator="lessThan" allowBlank="1" showInputMessage="1" showErrorMessage="1" error="Eingabe zu lang!" sqref="B18:F19" xr:uid="{E5D846E8-9A18-459F-9C10-A36272D09E6F}">
      <formula1>46</formula1>
    </dataValidation>
  </dataValidations>
  <hyperlinks>
    <hyperlink ref="B27" r:id="rId1" xr:uid="{185B700F-366F-40CE-A7F0-8C5CF212D006}"/>
    <hyperlink ref="D5" r:id="rId2" xr:uid="{81F4E8FB-22F5-4534-BAAA-6E4878620064}"/>
    <hyperlink ref="B33" r:id="rId3" xr:uid="{BB085BF3-C2AF-479D-88D3-17F18F06515A}"/>
  </hyperlinks>
  <pageMargins left="0.7" right="0.7" top="0.78740157499999996" bottom="0.78740157499999996" header="0.3" footer="0.3"/>
  <pageSetup paperSize="9" orientation="portrait" r:id="rId4"/>
  <headerFooter>
    <oddFooter>&amp;L&amp;10K3-Stammdaten
Seite: &amp;P von &amp;N&amp;R&amp;10&amp;F</oddFooter>
  </headerFooter>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2231E-752B-43AD-B178-293C17AAE9CC}">
  <sheetPr>
    <tabColor rgb="FF00B0F0"/>
  </sheetPr>
  <dimension ref="A1:P47"/>
  <sheetViews>
    <sheetView showGridLines="0" topLeftCell="A37" zoomScaleNormal="100" workbookViewId="0">
      <selection activeCell="I47" sqref="I47:M47"/>
    </sheetView>
  </sheetViews>
  <sheetFormatPr baseColWidth="10" defaultRowHeight="15" x14ac:dyDescent="0.4"/>
  <cols>
    <col min="1" max="1" width="2.44140625" style="43" customWidth="1"/>
    <col min="2" max="5" width="4.44140625" customWidth="1"/>
    <col min="6" max="7" width="4.5546875" customWidth="1"/>
    <col min="8" max="8" width="5.5546875" customWidth="1"/>
    <col min="9" max="14" width="4.5546875" customWidth="1"/>
    <col min="15" max="16" width="5.33203125" customWidth="1"/>
  </cols>
  <sheetData>
    <row r="1" spans="1:16" ht="18" x14ac:dyDescent="0.55000000000000004">
      <c r="A1" s="206" t="s">
        <v>30</v>
      </c>
      <c r="B1" s="2194" t="s">
        <v>31</v>
      </c>
      <c r="C1" s="2194"/>
      <c r="D1" s="2194"/>
      <c r="E1" s="2194"/>
      <c r="F1" s="231" t="s">
        <v>310</v>
      </c>
      <c r="G1" s="2321" t="str">
        <f>Projekt!D10</f>
        <v>Musterprojekt Malerhandbuch 2022</v>
      </c>
      <c r="H1" s="2321"/>
      <c r="I1" s="2321"/>
      <c r="J1" s="2321"/>
      <c r="K1" s="2321"/>
      <c r="L1" s="2321"/>
      <c r="M1" s="2321"/>
      <c r="N1" s="2321"/>
      <c r="O1" s="2321"/>
      <c r="P1" s="2322"/>
    </row>
    <row r="2" spans="1:16" x14ac:dyDescent="0.4">
      <c r="A2" s="2305"/>
      <c r="B2" s="2128" t="s">
        <v>70</v>
      </c>
      <c r="C2" s="2129"/>
      <c r="D2" s="2129"/>
      <c r="E2" s="2129"/>
      <c r="F2" s="2307" t="str">
        <f>Projekt!D344</f>
        <v>Regie Qual. AN</v>
      </c>
      <c r="G2" s="2307"/>
      <c r="H2" s="2307"/>
      <c r="I2" s="2307"/>
      <c r="J2" s="2308"/>
      <c r="K2" s="2080" t="s">
        <v>33</v>
      </c>
      <c r="L2" s="2081"/>
      <c r="M2" s="2081"/>
      <c r="N2" s="2081"/>
      <c r="O2" s="2081"/>
      <c r="P2" s="2116"/>
    </row>
    <row r="3" spans="1:16" x14ac:dyDescent="0.4">
      <c r="A3" s="2306"/>
      <c r="B3" s="2130"/>
      <c r="C3" s="2131"/>
      <c r="D3" s="2131"/>
      <c r="E3" s="2131"/>
      <c r="F3" s="2309"/>
      <c r="G3" s="2309"/>
      <c r="H3" s="2309"/>
      <c r="I3" s="2309"/>
      <c r="J3" s="2310"/>
      <c r="K3" s="2107" t="str">
        <f ca="1">Projekt!D7</f>
        <v>Malerhandbuch 2022</v>
      </c>
      <c r="L3" s="2108"/>
      <c r="M3" s="2108"/>
      <c r="N3" s="2108"/>
      <c r="O3" s="2108"/>
      <c r="P3" s="2109"/>
    </row>
    <row r="4" spans="1:16" x14ac:dyDescent="0.4">
      <c r="A4" s="2306"/>
      <c r="B4" s="153" t="s">
        <v>266</v>
      </c>
      <c r="C4" s="2311" t="str">
        <f>Projekt!B14</f>
        <v>Gz-Uxx</v>
      </c>
      <c r="D4" s="2311"/>
      <c r="E4" s="2312"/>
      <c r="F4" s="191" t="s">
        <v>267</v>
      </c>
      <c r="G4" s="2313" t="str">
        <f>Projekt!B15</f>
        <v>AG-NNN</v>
      </c>
      <c r="H4" s="2313"/>
      <c r="I4" s="2313"/>
      <c r="J4" s="2314"/>
      <c r="K4" s="2145" t="str">
        <f>IF(Projekt!D8&lt;&gt;0,Projekt!D8,"")</f>
        <v>Musterkalkulation</v>
      </c>
      <c r="L4" s="2146"/>
      <c r="M4" s="2146"/>
      <c r="N4" s="2146"/>
      <c r="O4" s="2146"/>
      <c r="P4" s="2147"/>
    </row>
    <row r="5" spans="1:16" x14ac:dyDescent="0.4">
      <c r="A5" s="2306"/>
      <c r="B5" s="2148" t="s">
        <v>34</v>
      </c>
      <c r="C5" s="2105"/>
      <c r="D5" s="2105"/>
      <c r="E5" s="9" t="str">
        <f>IF(Projekt!C$18=Projekt!F$18,"X","-")</f>
        <v>X</v>
      </c>
      <c r="F5" s="2149" t="s">
        <v>2</v>
      </c>
      <c r="G5" s="2149"/>
      <c r="H5" s="2149"/>
      <c r="I5" s="2149"/>
      <c r="J5" s="246" t="str">
        <f>IF(Projekt!C$19=Projekt!F$19,"X","-")</f>
        <v>X</v>
      </c>
      <c r="K5" s="2145" t="str">
        <f>IF(Projekt!D9&lt;&gt;0,Projekt!D9,"")</f>
        <v/>
      </c>
      <c r="L5" s="2146"/>
      <c r="M5" s="2146"/>
      <c r="N5" s="2146"/>
      <c r="O5" s="2146"/>
      <c r="P5" s="2147"/>
    </row>
    <row r="6" spans="1:16" x14ac:dyDescent="0.4">
      <c r="A6" s="2306"/>
      <c r="B6" s="1587" t="s">
        <v>35</v>
      </c>
      <c r="C6" s="2138"/>
      <c r="D6" s="2138"/>
      <c r="E6" s="247" t="str">
        <f>IF(Projekt!C$18=Projekt!G$18,"X","-")</f>
        <v>-</v>
      </c>
      <c r="F6" s="2080" t="s">
        <v>3</v>
      </c>
      <c r="G6" s="2081"/>
      <c r="H6" s="2081"/>
      <c r="I6" s="2081"/>
      <c r="J6" s="10" t="str">
        <f>IF(Projekt!C$19=Projekt!G$19,"X","-")</f>
        <v>-</v>
      </c>
      <c r="K6" s="2149" t="s">
        <v>1</v>
      </c>
      <c r="L6" s="2149"/>
      <c r="M6" s="2319">
        <f>Projekt!F14</f>
        <v>44686</v>
      </c>
      <c r="N6" s="2319"/>
      <c r="O6" s="2319"/>
      <c r="P6" s="2320"/>
    </row>
    <row r="7" spans="1:16" x14ac:dyDescent="0.4">
      <c r="A7" s="2306"/>
      <c r="B7" s="2165" t="s">
        <v>184</v>
      </c>
      <c r="C7" s="2166"/>
      <c r="D7" s="2166"/>
      <c r="E7" s="2166"/>
      <c r="F7" s="2315" t="s">
        <v>36</v>
      </c>
      <c r="G7" s="2316"/>
      <c r="H7" s="2316"/>
      <c r="I7" s="2316"/>
      <c r="J7" s="245" t="s">
        <v>9</v>
      </c>
      <c r="K7" s="2143" t="s">
        <v>237</v>
      </c>
      <c r="L7" s="2143"/>
      <c r="M7" s="2143"/>
      <c r="N7" s="2143"/>
      <c r="O7" s="2143"/>
      <c r="P7" s="2144"/>
    </row>
    <row r="8" spans="1:16" ht="15.4" thickBot="1" x14ac:dyDescent="0.45">
      <c r="A8" s="2306"/>
      <c r="B8" s="2323" t="str">
        <f ca="1">Stammdaten!B3</f>
        <v>KollV MALER-, LACKIERER-, SCHILDERHERST.GEWERBE</v>
      </c>
      <c r="C8" s="2324"/>
      <c r="D8" s="2324"/>
      <c r="E8" s="2324"/>
      <c r="F8" s="2324"/>
      <c r="G8" s="2324"/>
      <c r="H8" s="2324"/>
      <c r="I8" s="2324"/>
      <c r="J8" s="2324"/>
      <c r="K8" s="2324"/>
      <c r="L8" s="2325"/>
      <c r="M8" s="2117" t="s">
        <v>37</v>
      </c>
      <c r="N8" s="2118"/>
      <c r="O8" s="2317">
        <f ca="1">Stammdaten!B4</f>
        <v>44682</v>
      </c>
      <c r="P8" s="2318"/>
    </row>
    <row r="9" spans="1:16" x14ac:dyDescent="0.4">
      <c r="A9" s="158">
        <v>1</v>
      </c>
      <c r="B9" s="2101" t="s">
        <v>142</v>
      </c>
      <c r="C9" s="2102"/>
      <c r="D9" s="2102"/>
      <c r="E9" s="2150"/>
      <c r="F9" s="2122" t="s">
        <v>143</v>
      </c>
      <c r="G9" s="2123"/>
      <c r="H9" s="154" t="s">
        <v>38</v>
      </c>
      <c r="I9" s="2195" t="s">
        <v>39</v>
      </c>
      <c r="J9" s="2196"/>
      <c r="K9" s="2197" t="s">
        <v>144</v>
      </c>
      <c r="L9" s="2197"/>
      <c r="M9" s="2197"/>
      <c r="N9" s="2197"/>
      <c r="O9" s="2197"/>
      <c r="P9" s="39">
        <f ca="1">Projekt!C152</f>
        <v>39</v>
      </c>
    </row>
    <row r="10" spans="1:16" x14ac:dyDescent="0.4">
      <c r="A10" s="64" t="s">
        <v>40</v>
      </c>
      <c r="B10" s="2299" t="str">
        <f>Projekt!A347</f>
        <v>LG 5 Qualifizierter Arbeitnehmer</v>
      </c>
      <c r="C10" s="2299"/>
      <c r="D10" s="2299"/>
      <c r="E10" s="2300"/>
      <c r="F10" s="2301" t="str">
        <f ca="1">IFERROR((VLOOKUP(B10,Stammdaten!A$7:D$33,4,FALSE)),"")</f>
        <v/>
      </c>
      <c r="G10" s="2301"/>
      <c r="H10" s="41">
        <f>Projekt!F347</f>
        <v>1</v>
      </c>
      <c r="I10" s="2267" t="e">
        <f ca="1">IF(PRODUCT(F10,H10)=0,"",F10*H10)</f>
        <v>#VALUE!</v>
      </c>
      <c r="J10" s="2268"/>
      <c r="K10" s="2142" t="s">
        <v>246</v>
      </c>
      <c r="L10" s="2142"/>
      <c r="M10" s="2142"/>
      <c r="N10" s="2302"/>
      <c r="O10" s="40" t="s">
        <v>41</v>
      </c>
      <c r="P10" s="8" t="s">
        <v>23</v>
      </c>
    </row>
    <row r="11" spans="1:16" x14ac:dyDescent="0.4">
      <c r="A11" s="64" t="s">
        <v>42</v>
      </c>
      <c r="B11" s="2287"/>
      <c r="C11" s="2287"/>
      <c r="D11" s="2287"/>
      <c r="E11" s="2288"/>
      <c r="F11" s="2289"/>
      <c r="G11" s="2289"/>
      <c r="H11" s="44"/>
      <c r="I11" s="2290"/>
      <c r="J11" s="2291"/>
      <c r="K11" s="2326" t="str">
        <f>IF(Projekt!F369=1,Projekt!B370,"Regiestunde")</f>
        <v>Regiestunde</v>
      </c>
      <c r="L11" s="2327"/>
      <c r="M11" s="2327"/>
      <c r="N11" s="2327"/>
      <c r="O11" s="445" t="str">
        <f>IF(Projekt!F369=1,Projekt!E370,"")</f>
        <v/>
      </c>
      <c r="P11" s="446">
        <v>1</v>
      </c>
    </row>
    <row r="12" spans="1:16" x14ac:dyDescent="0.4">
      <c r="A12" s="64" t="s">
        <v>43</v>
      </c>
      <c r="B12" s="2287"/>
      <c r="C12" s="2287"/>
      <c r="D12" s="2287"/>
      <c r="E12" s="2288"/>
      <c r="F12" s="2289"/>
      <c r="G12" s="2289"/>
      <c r="H12" s="44"/>
      <c r="I12" s="2290"/>
      <c r="J12" s="2291"/>
      <c r="K12" s="2328" t="str">
        <f>IF(Projekt!F373=1,Projekt!B374,IF(Projekt!F377=1,Projekt!B378,""))</f>
        <v/>
      </c>
      <c r="L12" s="2329"/>
      <c r="M12" s="2329"/>
      <c r="N12" s="2330"/>
      <c r="O12" s="447" t="str">
        <f>IF(Projekt!F373=1,Projekt!E374,"")</f>
        <v/>
      </c>
      <c r="P12" s="448"/>
    </row>
    <row r="13" spans="1:16" x14ac:dyDescent="0.4">
      <c r="A13" s="64" t="s">
        <v>44</v>
      </c>
      <c r="B13" s="2287"/>
      <c r="C13" s="2287"/>
      <c r="D13" s="2287"/>
      <c r="E13" s="2288"/>
      <c r="F13" s="2289"/>
      <c r="G13" s="2289"/>
      <c r="H13" s="44"/>
      <c r="I13" s="2290"/>
      <c r="J13" s="2291"/>
      <c r="K13" s="2294"/>
      <c r="L13" s="2294"/>
      <c r="M13" s="2294"/>
      <c r="N13" s="2295"/>
      <c r="O13" s="45"/>
      <c r="P13" s="46"/>
    </row>
    <row r="14" spans="1:16" x14ac:dyDescent="0.4">
      <c r="A14" s="64" t="s">
        <v>45</v>
      </c>
      <c r="B14" s="2287"/>
      <c r="C14" s="2287"/>
      <c r="D14" s="2287"/>
      <c r="E14" s="2288"/>
      <c r="F14" s="2289"/>
      <c r="G14" s="2289"/>
      <c r="H14" s="44"/>
      <c r="I14" s="2290"/>
      <c r="J14" s="2291"/>
      <c r="K14" s="2294"/>
      <c r="L14" s="2294"/>
      <c r="M14" s="2294"/>
      <c r="N14" s="2295"/>
      <c r="O14" s="45"/>
      <c r="P14" s="46"/>
    </row>
    <row r="15" spans="1:16" x14ac:dyDescent="0.4">
      <c r="A15" s="64" t="s">
        <v>46</v>
      </c>
      <c r="B15" s="2287"/>
      <c r="C15" s="2287"/>
      <c r="D15" s="2287"/>
      <c r="E15" s="2288"/>
      <c r="F15" s="2289"/>
      <c r="G15" s="2289"/>
      <c r="H15" s="44"/>
      <c r="I15" s="2290"/>
      <c r="J15" s="2291"/>
      <c r="K15" s="2294"/>
      <c r="L15" s="2294"/>
      <c r="M15" s="2294"/>
      <c r="N15" s="2295"/>
      <c r="O15" s="45"/>
      <c r="P15" s="46"/>
    </row>
    <row r="16" spans="1:16" x14ac:dyDescent="0.4">
      <c r="A16" s="64" t="s">
        <v>47</v>
      </c>
      <c r="B16" s="2287"/>
      <c r="C16" s="2287"/>
      <c r="D16" s="2287"/>
      <c r="E16" s="2288"/>
      <c r="F16" s="2289"/>
      <c r="G16" s="2289"/>
      <c r="H16" s="44"/>
      <c r="I16" s="2290"/>
      <c r="J16" s="2291"/>
      <c r="K16" s="2292"/>
      <c r="L16" s="2292"/>
      <c r="M16" s="2292"/>
      <c r="N16" s="2293"/>
      <c r="O16" s="47"/>
      <c r="P16" s="48"/>
    </row>
    <row r="17" spans="1:16" x14ac:dyDescent="0.4">
      <c r="A17" s="64" t="s">
        <v>48</v>
      </c>
      <c r="B17" s="2287"/>
      <c r="C17" s="2287"/>
      <c r="D17" s="2287"/>
      <c r="E17" s="2288"/>
      <c r="F17" s="2289"/>
      <c r="G17" s="2289"/>
      <c r="H17" s="44"/>
      <c r="I17" s="2290"/>
      <c r="J17" s="2291"/>
      <c r="K17" s="2292"/>
      <c r="L17" s="2292"/>
      <c r="M17" s="2292"/>
      <c r="N17" s="2293"/>
      <c r="O17" s="47"/>
      <c r="P17" s="48"/>
    </row>
    <row r="18" spans="1:16" ht="15.4" thickBot="1" x14ac:dyDescent="0.45">
      <c r="A18" s="64" t="s">
        <v>49</v>
      </c>
      <c r="B18" s="2278"/>
      <c r="C18" s="2279"/>
      <c r="D18" s="2279"/>
      <c r="E18" s="2280"/>
      <c r="F18" s="2281"/>
      <c r="G18" s="2281"/>
      <c r="H18" s="49"/>
      <c r="I18" s="2282"/>
      <c r="J18" s="2283"/>
      <c r="K18" s="2284"/>
      <c r="L18" s="2284"/>
      <c r="M18" s="2284"/>
      <c r="N18" s="2285"/>
      <c r="O18" s="50"/>
      <c r="P18" s="51"/>
    </row>
    <row r="19" spans="1:16" ht="15.4" thickBot="1" x14ac:dyDescent="0.45">
      <c r="A19" s="64">
        <v>2</v>
      </c>
      <c r="B19" s="226" t="s">
        <v>50</v>
      </c>
      <c r="C19" s="37"/>
      <c r="D19" s="38"/>
      <c r="E19" s="38"/>
      <c r="F19" s="38"/>
      <c r="G19" s="38"/>
      <c r="H19" s="224">
        <f>SUM(H10:H18)</f>
        <v>1</v>
      </c>
      <c r="I19" s="2170" t="e">
        <f ca="1">IF(AND(_OK?="OK!",_OK_KV?="OK_KV!"),SUM(I10:J18),Projekt!G348)</f>
        <v>#VALUE!</v>
      </c>
      <c r="J19" s="2171"/>
      <c r="K19" s="2286" t="s">
        <v>248</v>
      </c>
      <c r="L19" s="2286"/>
      <c r="M19" s="2286"/>
      <c r="N19" s="2286"/>
      <c r="O19" s="2286"/>
      <c r="P19" s="33">
        <f>Projekt!H368</f>
        <v>1</v>
      </c>
    </row>
    <row r="20" spans="1:16" x14ac:dyDescent="0.4">
      <c r="A20" s="64"/>
      <c r="B20" s="2166"/>
      <c r="C20" s="2166"/>
      <c r="D20" s="2166"/>
      <c r="E20" s="2166"/>
      <c r="F20" s="2166"/>
      <c r="G20" s="2166"/>
      <c r="H20" s="2166"/>
      <c r="I20" s="2166"/>
      <c r="J20" s="2166"/>
      <c r="K20" s="2166"/>
      <c r="L20" s="2167"/>
      <c r="M20" s="2158" t="s">
        <v>10</v>
      </c>
      <c r="N20" s="2159"/>
      <c r="O20" s="2160" t="s">
        <v>11</v>
      </c>
      <c r="P20" s="2159"/>
    </row>
    <row r="21" spans="1:16" x14ac:dyDescent="0.4">
      <c r="A21" s="64">
        <v>3</v>
      </c>
      <c r="B21" s="322" t="s">
        <v>50</v>
      </c>
      <c r="C21" s="323"/>
      <c r="D21" s="323"/>
      <c r="E21" s="323"/>
      <c r="F21" s="323"/>
      <c r="G21" s="323"/>
      <c r="H21" s="2276"/>
      <c r="I21" s="2276"/>
      <c r="J21" s="2276"/>
      <c r="K21" s="2276"/>
      <c r="L21" s="2276"/>
      <c r="M21" s="2276"/>
      <c r="N21" s="2277"/>
      <c r="O21" s="2337" t="e">
        <f ca="1">I19/H19</f>
        <v>#VALUE!</v>
      </c>
      <c r="P21" s="2338"/>
    </row>
    <row r="22" spans="1:16" ht="15.4" thickBot="1" x14ac:dyDescent="0.45">
      <c r="A22" s="64">
        <v>4</v>
      </c>
      <c r="B22" s="2184" t="s">
        <v>51</v>
      </c>
      <c r="C22" s="2185"/>
      <c r="D22" s="2185"/>
      <c r="E22" s="2185"/>
      <c r="F22" s="2185"/>
      <c r="G22" s="2185"/>
      <c r="H22" s="2177" t="s">
        <v>52</v>
      </c>
      <c r="I22" s="2177"/>
      <c r="J22" s="2178"/>
      <c r="K22" s="2331" t="e">
        <f ca="1">Projekt!G360</f>
        <v>#DIV/0!</v>
      </c>
      <c r="L22" s="2332"/>
      <c r="M22" s="2186"/>
      <c r="N22" s="2187"/>
      <c r="O22" s="2333" t="e">
        <f ca="1">K22*O21</f>
        <v>#DIV/0!</v>
      </c>
      <c r="P22" s="2334"/>
    </row>
    <row r="23" spans="1:16" x14ac:dyDescent="0.4">
      <c r="A23" s="64">
        <v>5</v>
      </c>
      <c r="B23" s="2094" t="s">
        <v>247</v>
      </c>
      <c r="C23" s="2095"/>
      <c r="D23" s="2095"/>
      <c r="E23" s="2095"/>
      <c r="F23" s="2095"/>
      <c r="G23" s="2095"/>
      <c r="H23" s="2273" t="s">
        <v>300</v>
      </c>
      <c r="I23" s="2180"/>
      <c r="J23" s="2180"/>
      <c r="K23" s="2180"/>
      <c r="L23" s="2180"/>
      <c r="M23" s="2180"/>
      <c r="N23" s="325"/>
      <c r="O23" s="2335" t="e">
        <f ca="1">SUM(O21:O22)</f>
        <v>#VALUE!</v>
      </c>
      <c r="P23" s="2336"/>
    </row>
    <row r="24" spans="1:16" x14ac:dyDescent="0.4">
      <c r="A24" s="64">
        <v>6</v>
      </c>
      <c r="B24" s="2081" t="s">
        <v>145</v>
      </c>
      <c r="C24" s="2081"/>
      <c r="D24" s="2081"/>
      <c r="E24" s="2081"/>
      <c r="F24" s="2081"/>
      <c r="G24" s="2081"/>
      <c r="H24" s="2084" t="s">
        <v>110</v>
      </c>
      <c r="I24" s="2084"/>
      <c r="J24" s="2085"/>
      <c r="K24" s="2341" t="e">
        <f ca="1">Projekt!H360</f>
        <v>#DIV/0!</v>
      </c>
      <c r="L24" s="2342"/>
      <c r="M24" s="2182"/>
      <c r="N24" s="2183"/>
      <c r="O24" s="2267" t="e">
        <f ca="1">K24*O23</f>
        <v>#DIV/0!</v>
      </c>
      <c r="P24" s="2268"/>
    </row>
    <row r="25" spans="1:16" x14ac:dyDescent="0.4">
      <c r="A25" s="64">
        <v>7</v>
      </c>
      <c r="B25" s="2081" t="s">
        <v>212</v>
      </c>
      <c r="C25" s="2081"/>
      <c r="D25" s="2081"/>
      <c r="E25" s="2081"/>
      <c r="F25" s="2081"/>
      <c r="G25" s="2081"/>
      <c r="H25" s="2084" t="s">
        <v>110</v>
      </c>
      <c r="I25" s="2084"/>
      <c r="J25" s="2085"/>
      <c r="K25" s="2339">
        <f>Projekt!H367</f>
        <v>0</v>
      </c>
      <c r="L25" s="2340"/>
      <c r="M25" s="2182"/>
      <c r="N25" s="2183"/>
      <c r="O25" s="2267" t="e">
        <f ca="1">K25*O23</f>
        <v>#VALUE!</v>
      </c>
      <c r="P25" s="2268"/>
    </row>
    <row r="26" spans="1:16" x14ac:dyDescent="0.4">
      <c r="A26" s="64">
        <v>8</v>
      </c>
      <c r="B26" s="2081" t="s">
        <v>81</v>
      </c>
      <c r="C26" s="2081"/>
      <c r="D26" s="2081"/>
      <c r="E26" s="2081"/>
      <c r="F26" s="2081"/>
      <c r="G26" s="2081"/>
      <c r="H26" s="2084" t="s">
        <v>110</v>
      </c>
      <c r="I26" s="2084"/>
      <c r="J26" s="2085"/>
      <c r="K26" s="2339">
        <f>Projekt!H379</f>
        <v>0</v>
      </c>
      <c r="L26" s="2340"/>
      <c r="M26" s="2182"/>
      <c r="N26" s="2183"/>
      <c r="O26" s="2267" t="e">
        <f ca="1">K26*O23</f>
        <v>#VALUE!</v>
      </c>
      <c r="P26" s="2268"/>
    </row>
    <row r="27" spans="1:16" ht="15.4" thickBot="1" x14ac:dyDescent="0.45">
      <c r="A27" s="64">
        <v>9</v>
      </c>
      <c r="B27" s="2174" t="s">
        <v>137</v>
      </c>
      <c r="C27" s="2175"/>
      <c r="D27" s="2175"/>
      <c r="E27" s="2175"/>
      <c r="F27" s="2175"/>
      <c r="G27" s="2175"/>
      <c r="H27" s="2175"/>
      <c r="I27" s="2175"/>
      <c r="J27" s="2175"/>
      <c r="K27" s="2175"/>
      <c r="L27" s="2175"/>
      <c r="M27" s="2175"/>
      <c r="N27" s="2176"/>
      <c r="O27" s="2271">
        <f ca="1">Projekt!H380</f>
        <v>0.87</v>
      </c>
      <c r="P27" s="2272"/>
    </row>
    <row r="28" spans="1:16" x14ac:dyDescent="0.4">
      <c r="A28" s="64">
        <v>10</v>
      </c>
      <c r="B28" s="2094" t="s">
        <v>53</v>
      </c>
      <c r="C28" s="2095"/>
      <c r="D28" s="2095"/>
      <c r="E28" s="2095"/>
      <c r="F28" s="2095"/>
      <c r="G28" s="2095"/>
      <c r="H28" s="2273" t="s">
        <v>303</v>
      </c>
      <c r="I28" s="2180"/>
      <c r="J28" s="2180"/>
      <c r="K28" s="2180"/>
      <c r="L28" s="2180"/>
      <c r="M28" s="2180"/>
      <c r="N28" s="324"/>
      <c r="O28" s="2335" t="e">
        <f ca="1">SUM(O23:P27)</f>
        <v>#VALUE!</v>
      </c>
      <c r="P28" s="2336"/>
    </row>
    <row r="29" spans="1:16" x14ac:dyDescent="0.4">
      <c r="A29" s="64">
        <v>11</v>
      </c>
      <c r="B29" s="2097" t="s">
        <v>138</v>
      </c>
      <c r="C29" s="2097"/>
      <c r="D29" s="2097"/>
      <c r="E29" s="2097"/>
      <c r="F29" s="2097"/>
      <c r="G29" s="2097"/>
      <c r="H29" s="2097"/>
      <c r="I29" s="2097"/>
      <c r="J29" s="2097"/>
      <c r="K29" s="2097"/>
      <c r="L29" s="2097"/>
      <c r="M29" s="2097"/>
      <c r="N29" s="2097"/>
      <c r="O29" s="2267">
        <f ca="1">Projekt!H381</f>
        <v>0.83</v>
      </c>
      <c r="P29" s="2268"/>
    </row>
    <row r="30" spans="1:16" x14ac:dyDescent="0.4">
      <c r="A30" s="64">
        <v>12</v>
      </c>
      <c r="B30" s="2081" t="s">
        <v>54</v>
      </c>
      <c r="C30" s="2081"/>
      <c r="D30" s="2081"/>
      <c r="E30" s="2081"/>
      <c r="F30" s="2081"/>
      <c r="G30" s="2081"/>
      <c r="H30" s="2084" t="s">
        <v>55</v>
      </c>
      <c r="I30" s="2084"/>
      <c r="J30" s="2085"/>
      <c r="K30" s="2339">
        <f ca="1">Projekt!H382</f>
        <v>0.2994</v>
      </c>
      <c r="L30" s="2340"/>
      <c r="M30" s="2182"/>
      <c r="N30" s="2183"/>
      <c r="O30" s="2267" t="e">
        <f ca="1">K30*O28</f>
        <v>#VALUE!</v>
      </c>
      <c r="P30" s="2268"/>
    </row>
    <row r="31" spans="1:16" x14ac:dyDescent="0.4">
      <c r="A31" s="64">
        <v>13</v>
      </c>
      <c r="B31" s="2081" t="s">
        <v>56</v>
      </c>
      <c r="C31" s="2081"/>
      <c r="D31" s="2081"/>
      <c r="E31" s="2081"/>
      <c r="F31" s="2081"/>
      <c r="G31" s="2081"/>
      <c r="H31" s="2084" t="s">
        <v>55</v>
      </c>
      <c r="I31" s="2084"/>
      <c r="J31" s="2085"/>
      <c r="K31" s="2339">
        <f ca="1">Projekt!H383</f>
        <v>0.7</v>
      </c>
      <c r="L31" s="2340"/>
      <c r="M31" s="2182"/>
      <c r="N31" s="2183"/>
      <c r="O31" s="2267" t="e">
        <f ca="1">K31*O28</f>
        <v>#VALUE!</v>
      </c>
      <c r="P31" s="2268"/>
    </row>
    <row r="32" spans="1:16" ht="15.4" thickBot="1" x14ac:dyDescent="0.45">
      <c r="A32" s="64">
        <v>14</v>
      </c>
      <c r="B32" s="2082" t="s">
        <v>57</v>
      </c>
      <c r="C32" s="2083"/>
      <c r="D32" s="2083"/>
      <c r="E32" s="2083"/>
      <c r="F32" s="2083"/>
      <c r="G32" s="2083"/>
      <c r="H32" s="2086" t="s">
        <v>55</v>
      </c>
      <c r="I32" s="2086"/>
      <c r="J32" s="2087"/>
      <c r="K32" s="2331">
        <f ca="1">Projekt!H384</f>
        <v>4.4999999999999997E-3</v>
      </c>
      <c r="L32" s="2332"/>
      <c r="M32" s="2236"/>
      <c r="N32" s="2237"/>
      <c r="O32" s="2271" t="e">
        <f ca="1">K32*O28</f>
        <v>#VALUE!</v>
      </c>
      <c r="P32" s="2272"/>
    </row>
    <row r="33" spans="1:16" x14ac:dyDescent="0.4">
      <c r="A33" s="64">
        <v>15</v>
      </c>
      <c r="B33" s="2094" t="s">
        <v>58</v>
      </c>
      <c r="C33" s="2095"/>
      <c r="D33" s="2095"/>
      <c r="E33" s="2095"/>
      <c r="F33" s="2095"/>
      <c r="G33" s="2095"/>
      <c r="H33" s="2273" t="s">
        <v>304</v>
      </c>
      <c r="I33" s="2180"/>
      <c r="J33" s="2180"/>
      <c r="K33" s="2180"/>
      <c r="L33" s="2180"/>
      <c r="M33" s="2180"/>
      <c r="N33" s="2180"/>
      <c r="O33" s="2335" t="e">
        <f ca="1">SUM(O28:P32)</f>
        <v>#VALUE!</v>
      </c>
      <c r="P33" s="2336"/>
    </row>
    <row r="34" spans="1:16" x14ac:dyDescent="0.4">
      <c r="A34" s="64">
        <v>16</v>
      </c>
      <c r="B34" s="2193" t="s">
        <v>59</v>
      </c>
      <c r="C34" s="2193"/>
      <c r="D34" s="2193"/>
      <c r="E34" s="2193"/>
      <c r="F34" s="2193"/>
      <c r="G34" s="2193"/>
      <c r="H34" s="2099" t="s">
        <v>60</v>
      </c>
      <c r="I34" s="2099"/>
      <c r="J34" s="2100"/>
      <c r="K34" s="2234">
        <f ca="1">Projekt!H385</f>
        <v>0.13689999999999999</v>
      </c>
      <c r="L34" s="2235"/>
      <c r="M34" s="2101"/>
      <c r="N34" s="2102"/>
      <c r="O34" s="2343" t="e">
        <f ca="1">K34*O33</f>
        <v>#VALUE!</v>
      </c>
      <c r="P34" s="2344"/>
    </row>
    <row r="35" spans="1:16" ht="24.4" customHeight="1" x14ac:dyDescent="0.4">
      <c r="A35" s="64">
        <v>17</v>
      </c>
      <c r="B35" s="2216" t="s">
        <v>114</v>
      </c>
      <c r="C35" s="2217"/>
      <c r="D35" s="2217"/>
      <c r="E35" s="2217"/>
      <c r="F35" s="2217"/>
      <c r="G35" s="2217"/>
      <c r="H35" s="2217"/>
      <c r="I35" s="2217"/>
      <c r="J35" s="2218"/>
      <c r="K35" s="2199" t="s">
        <v>140</v>
      </c>
      <c r="L35" s="2200"/>
      <c r="M35" s="2199" t="s">
        <v>139</v>
      </c>
      <c r="N35" s="2200"/>
      <c r="O35" s="2259"/>
      <c r="P35" s="2260"/>
    </row>
    <row r="36" spans="1:16" x14ac:dyDescent="0.4">
      <c r="A36" s="157" t="s">
        <v>61</v>
      </c>
      <c r="B36" s="2119">
        <f>Projekt!A388</f>
        <v>0</v>
      </c>
      <c r="C36" s="2120"/>
      <c r="D36" s="2120"/>
      <c r="E36" s="2120"/>
      <c r="F36" s="2120"/>
      <c r="G36" s="2120"/>
      <c r="H36" s="2120"/>
      <c r="I36" s="2120"/>
      <c r="J36" s="2121"/>
      <c r="K36" s="2242" t="str">
        <f>IF(Projekt!G388=0,"",Projekt!G388)</f>
        <v/>
      </c>
      <c r="L36" s="2243"/>
      <c r="M36" s="2274" t="str">
        <f ca="1">IFERROR(IF(AND(Projekt!F388=0,Projekt!G388=0),"",IF(Projekt!G388&gt;0,Projekt!G388*O$33,IF(Projekt!F388=0,"",Projekt!F388))),"")</f>
        <v/>
      </c>
      <c r="N36" s="2275"/>
      <c r="O36" s="2261"/>
      <c r="P36" s="2262"/>
    </row>
    <row r="37" spans="1:16" x14ac:dyDescent="0.4">
      <c r="A37" s="157" t="s">
        <v>62</v>
      </c>
      <c r="B37" s="2107">
        <f>Projekt!A389</f>
        <v>0</v>
      </c>
      <c r="C37" s="2108"/>
      <c r="D37" s="2108"/>
      <c r="E37" s="2108"/>
      <c r="F37" s="2108"/>
      <c r="G37" s="2108"/>
      <c r="H37" s="2108"/>
      <c r="I37" s="2108"/>
      <c r="J37" s="2109"/>
      <c r="K37" s="2265" t="str">
        <f>IF(Projekt!G389=0,"",Projekt!G389)</f>
        <v/>
      </c>
      <c r="L37" s="2266"/>
      <c r="M37" s="2267" t="str">
        <f ca="1">IFERROR(IF(AND(Projekt!F389=0,Projekt!G389=0),"",IF(Projekt!G389&gt;0,Projekt!G389*O$33,IF(Projekt!F389=0,"",Projekt!F389))),"")</f>
        <v/>
      </c>
      <c r="N37" s="2268"/>
      <c r="O37" s="2261"/>
      <c r="P37" s="2262"/>
    </row>
    <row r="38" spans="1:16" ht="15.4" thickBot="1" x14ac:dyDescent="0.45">
      <c r="A38" s="157" t="s">
        <v>63</v>
      </c>
      <c r="B38" s="2110" t="str">
        <f>Projekt!A390</f>
        <v/>
      </c>
      <c r="C38" s="2111"/>
      <c r="D38" s="2111"/>
      <c r="E38" s="2111"/>
      <c r="F38" s="2111"/>
      <c r="G38" s="2111"/>
      <c r="H38" s="2111"/>
      <c r="I38" s="2111"/>
      <c r="J38" s="2112"/>
      <c r="K38" s="2269" t="str">
        <f>IF(Projekt!G390=0,"",Projekt!G390)</f>
        <v/>
      </c>
      <c r="L38" s="2270"/>
      <c r="M38" s="2271" t="str">
        <f>IFERROR(IF(AND(Projekt!F390=0,Projekt!G390=0),"",IF(Projekt!G390&gt;0,Projekt!G390*O$33,IF(Projekt!F390=0,"",Projekt!F390))),"")</f>
        <v/>
      </c>
      <c r="N38" s="2272"/>
      <c r="O38" s="2263"/>
      <c r="P38" s="2264"/>
    </row>
    <row r="39" spans="1:16" ht="15.4" thickBot="1" x14ac:dyDescent="0.45">
      <c r="A39" s="65">
        <v>18</v>
      </c>
      <c r="B39" s="52" t="s">
        <v>309</v>
      </c>
      <c r="C39" s="4"/>
      <c r="D39" s="4"/>
      <c r="E39" s="4"/>
      <c r="F39" s="53"/>
      <c r="G39" s="53"/>
      <c r="H39" s="54"/>
      <c r="I39" s="2086" t="s">
        <v>311</v>
      </c>
      <c r="J39" s="2086"/>
      <c r="K39" s="2086"/>
      <c r="L39" s="2087"/>
      <c r="M39" s="2252" t="str">
        <f ca="1">IF(SUM(M36:N38)&gt;0,SUM(M36:N38),"")</f>
        <v/>
      </c>
      <c r="N39" s="2253"/>
      <c r="O39" s="2254" t="e">
        <f ca="1">O33+O34</f>
        <v>#VALUE!</v>
      </c>
      <c r="P39" s="2253"/>
    </row>
    <row r="40" spans="1:16" ht="27.85" customHeight="1" thickBot="1" x14ac:dyDescent="0.45">
      <c r="A40" s="65">
        <v>19</v>
      </c>
      <c r="B40" s="2068" t="s">
        <v>249</v>
      </c>
      <c r="C40" s="2069"/>
      <c r="D40" s="2069"/>
      <c r="E40" s="2069"/>
      <c r="F40" s="2069"/>
      <c r="G40" s="2069"/>
      <c r="H40" s="2069"/>
      <c r="I40" s="2069"/>
      <c r="J40" s="2070"/>
      <c r="K40" s="2078" t="s">
        <v>305</v>
      </c>
      <c r="L40" s="2079"/>
      <c r="M40" s="544"/>
      <c r="N40" s="2255" t="e">
        <f ca="1">SUM(M39:P39)</f>
        <v>#VALUE!</v>
      </c>
      <c r="O40" s="2255"/>
      <c r="P40" s="545"/>
    </row>
    <row r="41" spans="1:16" hidden="1" x14ac:dyDescent="0.4">
      <c r="A41" s="65"/>
      <c r="B41" s="250" t="s">
        <v>67</v>
      </c>
      <c r="C41" s="6"/>
      <c r="D41" s="6"/>
      <c r="E41" s="6"/>
      <c r="F41" s="6"/>
      <c r="G41" s="6"/>
      <c r="H41" s="7"/>
      <c r="I41" s="1"/>
      <c r="J41" s="31"/>
      <c r="K41" s="5"/>
      <c r="L41" s="5"/>
      <c r="M41" s="34"/>
      <c r="N41" s="35"/>
      <c r="O41" s="35"/>
      <c r="P41" s="36"/>
    </row>
    <row r="42" spans="1:16" x14ac:dyDescent="0.4">
      <c r="A42" s="65"/>
      <c r="B42" s="2249" t="s">
        <v>66</v>
      </c>
      <c r="C42" s="2250"/>
      <c r="D42" s="2250"/>
      <c r="E42" s="2250"/>
      <c r="F42" s="2250"/>
      <c r="G42" s="2250"/>
      <c r="H42" s="2251"/>
      <c r="I42" s="2201" t="s">
        <v>64</v>
      </c>
      <c r="J42" s="2202"/>
      <c r="K42" s="2201" t="s">
        <v>65</v>
      </c>
      <c r="L42" s="2202"/>
      <c r="M42" s="2256"/>
      <c r="N42" s="2257"/>
      <c r="O42" s="2257"/>
      <c r="P42" s="2258"/>
    </row>
    <row r="43" spans="1:16" ht="15.4" thickBot="1" x14ac:dyDescent="0.45">
      <c r="A43" s="65">
        <v>20</v>
      </c>
      <c r="B43" s="2091"/>
      <c r="C43" s="2092"/>
      <c r="D43" s="2092"/>
      <c r="E43" s="2092"/>
      <c r="F43" s="2092"/>
      <c r="G43" s="2092"/>
      <c r="H43" s="2093"/>
      <c r="I43" s="2345" t="str">
        <f ca="1">IF(M39="","",Projekt!G268)</f>
        <v/>
      </c>
      <c r="J43" s="2346"/>
      <c r="K43" s="2345">
        <f>Projekt!E393</f>
        <v>0.22411</v>
      </c>
      <c r="L43" s="2346"/>
      <c r="M43" s="2347" t="str">
        <f ca="1">IFERROR(I43*M39,"")</f>
        <v/>
      </c>
      <c r="N43" s="2348"/>
      <c r="O43" s="2347" t="e">
        <f ca="1">K43*O39</f>
        <v>#VALUE!</v>
      </c>
      <c r="P43" s="2348"/>
    </row>
    <row r="44" spans="1:16" ht="15.4" thickBot="1" x14ac:dyDescent="0.45">
      <c r="A44" s="65">
        <v>21</v>
      </c>
      <c r="B44" s="2245" t="s">
        <v>308</v>
      </c>
      <c r="C44" s="2246"/>
      <c r="D44" s="2246"/>
      <c r="E44" s="2246"/>
      <c r="F44" s="2246"/>
      <c r="G44" s="2246"/>
      <c r="H44" s="2246"/>
      <c r="I44" s="2126" t="s">
        <v>307</v>
      </c>
      <c r="J44" s="2126"/>
      <c r="K44" s="2126"/>
      <c r="L44" s="2127"/>
      <c r="M44" s="2349" t="str">
        <f ca="1">IFERROR(M39+M43,"")</f>
        <v/>
      </c>
      <c r="N44" s="2350"/>
      <c r="O44" s="2349" t="e">
        <f ca="1">SUM(O39:P43)</f>
        <v>#VALUE!</v>
      </c>
      <c r="P44" s="2350"/>
    </row>
    <row r="45" spans="1:16" ht="27.85" customHeight="1" thickBot="1" x14ac:dyDescent="0.45">
      <c r="A45" s="66">
        <v>22</v>
      </c>
      <c r="B45" s="2068" t="s">
        <v>252</v>
      </c>
      <c r="C45" s="2069"/>
      <c r="D45" s="2069"/>
      <c r="E45" s="2069"/>
      <c r="F45" s="2069"/>
      <c r="G45" s="2069"/>
      <c r="H45" s="2069"/>
      <c r="I45" s="2069"/>
      <c r="J45" s="2070"/>
      <c r="K45" s="2078" t="s">
        <v>306</v>
      </c>
      <c r="L45" s="2079"/>
      <c r="M45" s="544"/>
      <c r="N45" s="2255" t="e">
        <f ca="1">SUM(M44:P44)</f>
        <v>#VALUE!</v>
      </c>
      <c r="O45" s="2255"/>
      <c r="P45" s="545"/>
    </row>
    <row r="46" spans="1:16" hidden="1" x14ac:dyDescent="0.4">
      <c r="A46" s="249"/>
      <c r="B46" s="250" t="s">
        <v>67</v>
      </c>
      <c r="C46" s="1"/>
      <c r="D46" s="1"/>
      <c r="E46" s="1"/>
      <c r="F46" s="1"/>
      <c r="G46" s="1"/>
      <c r="H46" s="1"/>
      <c r="I46" s="3"/>
      <c r="J46" s="30"/>
      <c r="K46" s="30"/>
      <c r="L46" s="27"/>
      <c r="M46" s="29"/>
      <c r="N46" s="29"/>
      <c r="O46" s="28"/>
      <c r="P46" s="27"/>
    </row>
    <row r="47" spans="1:16" ht="55.9" customHeight="1" x14ac:dyDescent="0.4">
      <c r="A47" s="2225" t="str">
        <f>'Lizenz u lies mich'!B32&amp;"      
Lizenziert für:"</f>
        <v>Vers. 3.0      
Lizenziert für:</v>
      </c>
      <c r="B47" s="2226"/>
      <c r="C47" s="2226"/>
      <c r="D47" s="2064" t="str">
        <f ca="1">' K3 PP'!D47</f>
        <v xml:space="preserve">Malerhandbuch 2022 </v>
      </c>
      <c r="E47" s="2064"/>
      <c r="F47" s="2064"/>
      <c r="G47" s="2064"/>
      <c r="H47" s="2065"/>
      <c r="I47" s="2063"/>
      <c r="J47" s="2063"/>
      <c r="K47" s="2063"/>
      <c r="L47" s="2063"/>
      <c r="M47" s="2063"/>
      <c r="N47" s="2060" t="s">
        <v>669</v>
      </c>
      <c r="O47" s="2061"/>
      <c r="P47" s="2062"/>
    </row>
  </sheetData>
  <sheetProtection password="B984" sheet="1" formatColumns="0" selectLockedCells="1"/>
  <mergeCells count="161">
    <mergeCell ref="A47:C47"/>
    <mergeCell ref="O43:P43"/>
    <mergeCell ref="B44:H44"/>
    <mergeCell ref="I44:L44"/>
    <mergeCell ref="M44:N44"/>
    <mergeCell ref="O44:P44"/>
    <mergeCell ref="B45:J45"/>
    <mergeCell ref="K45:L45"/>
    <mergeCell ref="N45:O45"/>
    <mergeCell ref="N47:P47"/>
    <mergeCell ref="I47:M47"/>
    <mergeCell ref="D47:H47"/>
    <mergeCell ref="B40:J40"/>
    <mergeCell ref="K40:L40"/>
    <mergeCell ref="N40:O40"/>
    <mergeCell ref="B42:H43"/>
    <mergeCell ref="I42:J42"/>
    <mergeCell ref="K42:L42"/>
    <mergeCell ref="M42:P42"/>
    <mergeCell ref="I43:J43"/>
    <mergeCell ref="K43:L43"/>
    <mergeCell ref="M43:N43"/>
    <mergeCell ref="B38:J38"/>
    <mergeCell ref="K38:L38"/>
    <mergeCell ref="M38:N38"/>
    <mergeCell ref="I39:L39"/>
    <mergeCell ref="M39:N39"/>
    <mergeCell ref="O39:P39"/>
    <mergeCell ref="B35:J35"/>
    <mergeCell ref="K35:L35"/>
    <mergeCell ref="M35:N35"/>
    <mergeCell ref="O35:P38"/>
    <mergeCell ref="B36:J36"/>
    <mergeCell ref="K36:L36"/>
    <mergeCell ref="M36:N36"/>
    <mergeCell ref="B37:J37"/>
    <mergeCell ref="K37:L37"/>
    <mergeCell ref="M37:N37"/>
    <mergeCell ref="B33:G33"/>
    <mergeCell ref="H33:N33"/>
    <mergeCell ref="O33:P33"/>
    <mergeCell ref="B34:G34"/>
    <mergeCell ref="H34:J34"/>
    <mergeCell ref="K34:L34"/>
    <mergeCell ref="M34:N34"/>
    <mergeCell ref="O34:P34"/>
    <mergeCell ref="B31:G31"/>
    <mergeCell ref="H31:J31"/>
    <mergeCell ref="K31:L31"/>
    <mergeCell ref="M31:N31"/>
    <mergeCell ref="O31:P31"/>
    <mergeCell ref="B32:G32"/>
    <mergeCell ref="H32:J32"/>
    <mergeCell ref="K32:L32"/>
    <mergeCell ref="M32:N32"/>
    <mergeCell ref="O32:P32"/>
    <mergeCell ref="B28:G28"/>
    <mergeCell ref="H28:M28"/>
    <mergeCell ref="O28:P28"/>
    <mergeCell ref="B29:N29"/>
    <mergeCell ref="O29:P29"/>
    <mergeCell ref="B30:G30"/>
    <mergeCell ref="H30:J30"/>
    <mergeCell ref="K30:L30"/>
    <mergeCell ref="M30:N30"/>
    <mergeCell ref="O30:P30"/>
    <mergeCell ref="B26:G26"/>
    <mergeCell ref="H26:J26"/>
    <mergeCell ref="K26:L26"/>
    <mergeCell ref="M26:N26"/>
    <mergeCell ref="O26:P26"/>
    <mergeCell ref="B27:N27"/>
    <mergeCell ref="O27:P27"/>
    <mergeCell ref="B24:G24"/>
    <mergeCell ref="H24:J24"/>
    <mergeCell ref="K24:L24"/>
    <mergeCell ref="M24:N24"/>
    <mergeCell ref="O24:P24"/>
    <mergeCell ref="B25:G25"/>
    <mergeCell ref="H25:J25"/>
    <mergeCell ref="K25:L25"/>
    <mergeCell ref="M25:N25"/>
    <mergeCell ref="O25:P25"/>
    <mergeCell ref="B22:G22"/>
    <mergeCell ref="H22:J22"/>
    <mergeCell ref="K22:L22"/>
    <mergeCell ref="M22:N22"/>
    <mergeCell ref="O22:P22"/>
    <mergeCell ref="B23:G23"/>
    <mergeCell ref="O23:P23"/>
    <mergeCell ref="I19:J19"/>
    <mergeCell ref="K19:O19"/>
    <mergeCell ref="B20:L20"/>
    <mergeCell ref="M20:N20"/>
    <mergeCell ref="O20:P20"/>
    <mergeCell ref="H21:N21"/>
    <mergeCell ref="O21:P21"/>
    <mergeCell ref="H23:M23"/>
    <mergeCell ref="B17:E17"/>
    <mergeCell ref="F17:G17"/>
    <mergeCell ref="I17:J17"/>
    <mergeCell ref="K17:N17"/>
    <mergeCell ref="B18:E18"/>
    <mergeCell ref="F18:G18"/>
    <mergeCell ref="I18:J18"/>
    <mergeCell ref="K18:N18"/>
    <mergeCell ref="B15:E15"/>
    <mergeCell ref="F15:G15"/>
    <mergeCell ref="I15:J15"/>
    <mergeCell ref="K15:N15"/>
    <mergeCell ref="B16:E16"/>
    <mergeCell ref="F16:G16"/>
    <mergeCell ref="I16:J16"/>
    <mergeCell ref="K16:N16"/>
    <mergeCell ref="B13:E13"/>
    <mergeCell ref="F13:G13"/>
    <mergeCell ref="I13:J13"/>
    <mergeCell ref="K13:N13"/>
    <mergeCell ref="B14:E14"/>
    <mergeCell ref="F14:G14"/>
    <mergeCell ref="I14:J14"/>
    <mergeCell ref="K14:N14"/>
    <mergeCell ref="B11:E11"/>
    <mergeCell ref="F11:G11"/>
    <mergeCell ref="I11:J11"/>
    <mergeCell ref="K11:N11"/>
    <mergeCell ref="B12:E12"/>
    <mergeCell ref="F12:G12"/>
    <mergeCell ref="I12:J12"/>
    <mergeCell ref="K12:N12"/>
    <mergeCell ref="B1:E1"/>
    <mergeCell ref="B9:E9"/>
    <mergeCell ref="F9:G9"/>
    <mergeCell ref="I9:J9"/>
    <mergeCell ref="K9:O9"/>
    <mergeCell ref="B10:E10"/>
    <mergeCell ref="F10:G10"/>
    <mergeCell ref="I10:J10"/>
    <mergeCell ref="K10:N10"/>
    <mergeCell ref="B7:E7"/>
    <mergeCell ref="F7:I7"/>
    <mergeCell ref="K7:P7"/>
    <mergeCell ref="M8:N8"/>
    <mergeCell ref="O8:P8"/>
    <mergeCell ref="G1:P1"/>
    <mergeCell ref="A2:A8"/>
    <mergeCell ref="B2:E3"/>
    <mergeCell ref="F2:J3"/>
    <mergeCell ref="K2:P2"/>
    <mergeCell ref="C4:E4"/>
    <mergeCell ref="G4:J4"/>
    <mergeCell ref="B5:D5"/>
    <mergeCell ref="F5:I5"/>
    <mergeCell ref="B6:D6"/>
    <mergeCell ref="F6:I6"/>
    <mergeCell ref="K6:L6"/>
    <mergeCell ref="M6:P6"/>
    <mergeCell ref="B8:L8"/>
    <mergeCell ref="K4:P4"/>
    <mergeCell ref="K3:P3"/>
    <mergeCell ref="K5:P5"/>
  </mergeCells>
  <conditionalFormatting sqref="F5:I5">
    <cfRule type="expression" dxfId="41" priority="10">
      <formula>$J$5="X"</formula>
    </cfRule>
  </conditionalFormatting>
  <conditionalFormatting sqref="F6:I6">
    <cfRule type="expression" dxfId="40" priority="9">
      <formula>$J$6="X"</formula>
    </cfRule>
  </conditionalFormatting>
  <conditionalFormatting sqref="B5:D5">
    <cfRule type="expression" dxfId="39" priority="8">
      <formula>$E$5="X"</formula>
    </cfRule>
  </conditionalFormatting>
  <conditionalFormatting sqref="B6:D6">
    <cfRule type="expression" dxfId="38" priority="7">
      <formula>$E$6="X"</formula>
    </cfRule>
  </conditionalFormatting>
  <conditionalFormatting sqref="N45:O45 N40:O40 K3:P5">
    <cfRule type="expression" dxfId="37" priority="6">
      <formula>OR(_OK?&lt;&gt;"OK!",_OK_KV?&lt;&gt;"OK_KV!")</formula>
    </cfRule>
  </conditionalFormatting>
  <conditionalFormatting sqref="B36:J38">
    <cfRule type="expression" dxfId="36" priority="5">
      <formula>$B36=0</formula>
    </cfRule>
  </conditionalFormatting>
  <conditionalFormatting sqref="I19:J19 O21:P21 D47:H47">
    <cfRule type="expression" dxfId="35" priority="4">
      <formula>_OK?&lt;&gt;"OK!"</formula>
    </cfRule>
  </conditionalFormatting>
  <conditionalFormatting sqref="N45:O45 N40:O40">
    <cfRule type="expression" dxfId="34" priority="3">
      <formula>_OK?&lt;&gt;"OK!"</formula>
    </cfRule>
  </conditionalFormatting>
  <pageMargins left="0.59055118110236227" right="0.19685039370078741" top="0.59055118110236227" bottom="0.19685039370078741" header="0.19685039370078741" footer="0.11811023622047245"/>
  <pageSetup paperSize="9" orientation="portrait" r:id="rId1"/>
  <headerFooter>
    <oddFooter>&amp;L&amp;10K2-Blatt
Seite: &amp;P&amp;R&amp;10&amp;F</oddFooter>
  </headerFooter>
  <ignoredErrors>
    <ignoredError sqref="O23" formula="1"/>
  </ignoredErrors>
  <extLst>
    <ext xmlns:x14="http://schemas.microsoft.com/office/spreadsheetml/2009/9/main" uri="{78C0D931-6437-407d-A8EE-F0AAD7539E65}">
      <x14:conditionalFormattings>
        <x14:conditionalFormatting xmlns:xm="http://schemas.microsoft.com/office/excel/2006/main">
          <x14:cfRule type="expression" priority="2" id="{374D0151-EC42-4327-9094-3EFB2EC80ABC}">
            <xm:f>Projekt!$F$273="Nein"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1" id="{931FC410-04C8-4787-A8A9-6ECE23AC679E}">
            <xm:f>Projekt!$F$273="Nein"</xm:f>
            <x14:dxf>
              <border>
                <top style="thin">
                  <color theme="0"/>
                </top>
                <bottom style="thin">
                  <color theme="0"/>
                </bottom>
                <vertical/>
                <horizontal/>
              </border>
            </x14:dxf>
          </x14:cfRule>
          <xm:sqref>K25:L26</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9AB15-FD3E-45FE-870E-94B95A7CE897}">
  <sheetPr>
    <tabColor theme="9" tint="-0.249977111117893"/>
  </sheetPr>
  <dimension ref="A1:P47"/>
  <sheetViews>
    <sheetView showGridLines="0" topLeftCell="A24" zoomScaleNormal="100" workbookViewId="0">
      <selection activeCell="I47" sqref="I47:M47"/>
    </sheetView>
  </sheetViews>
  <sheetFormatPr baseColWidth="10" defaultRowHeight="15" x14ac:dyDescent="0.4"/>
  <cols>
    <col min="1" max="1" width="2.44140625" style="43" customWidth="1"/>
    <col min="2" max="5" width="4.44140625" customWidth="1"/>
    <col min="6" max="7" width="4.5546875" customWidth="1"/>
    <col min="8" max="8" width="5.5546875" customWidth="1"/>
    <col min="9" max="14" width="4.5546875" customWidth="1"/>
    <col min="15" max="16" width="5.33203125" customWidth="1"/>
  </cols>
  <sheetData>
    <row r="1" spans="1:16" ht="18" x14ac:dyDescent="0.55000000000000004">
      <c r="A1" s="206" t="s">
        <v>30</v>
      </c>
      <c r="B1" s="2194" t="s">
        <v>31</v>
      </c>
      <c r="C1" s="2194"/>
      <c r="D1" s="2194"/>
      <c r="E1" s="2194"/>
      <c r="F1" s="231" t="s">
        <v>310</v>
      </c>
      <c r="G1" s="2321" t="str">
        <f>Projekt!D10</f>
        <v>Musterprojekt Malerhandbuch 2022</v>
      </c>
      <c r="H1" s="2321"/>
      <c r="I1" s="2321"/>
      <c r="J1" s="2321"/>
      <c r="K1" s="2321"/>
      <c r="L1" s="2321"/>
      <c r="M1" s="2321"/>
      <c r="N1" s="2321"/>
      <c r="O1" s="2321"/>
      <c r="P1" s="2322"/>
    </row>
    <row r="2" spans="1:16" x14ac:dyDescent="0.4">
      <c r="A2" s="2305"/>
      <c r="B2" s="2128" t="s">
        <v>70</v>
      </c>
      <c r="C2" s="2129"/>
      <c r="D2" s="2129"/>
      <c r="E2" s="2129"/>
      <c r="F2" s="2307" t="str">
        <f>Projekt!D402</f>
        <v>Regie Qual. FA (50%-Überstunde)</v>
      </c>
      <c r="G2" s="2307"/>
      <c r="H2" s="2307"/>
      <c r="I2" s="2307"/>
      <c r="J2" s="2308"/>
      <c r="K2" s="2080" t="s">
        <v>33</v>
      </c>
      <c r="L2" s="2081"/>
      <c r="M2" s="2081"/>
      <c r="N2" s="2081"/>
      <c r="O2" s="2081"/>
      <c r="P2" s="2116"/>
    </row>
    <row r="3" spans="1:16" x14ac:dyDescent="0.4">
      <c r="A3" s="2306"/>
      <c r="B3" s="2130"/>
      <c r="C3" s="2131"/>
      <c r="D3" s="2131"/>
      <c r="E3" s="2131"/>
      <c r="F3" s="2309"/>
      <c r="G3" s="2309"/>
      <c r="H3" s="2309"/>
      <c r="I3" s="2309"/>
      <c r="J3" s="2310"/>
      <c r="K3" s="2107" t="str">
        <f ca="1">Projekt!D7</f>
        <v>Malerhandbuch 2022</v>
      </c>
      <c r="L3" s="2108"/>
      <c r="M3" s="2108"/>
      <c r="N3" s="2108"/>
      <c r="O3" s="2108"/>
      <c r="P3" s="2109"/>
    </row>
    <row r="4" spans="1:16" x14ac:dyDescent="0.4">
      <c r="A4" s="2306"/>
      <c r="B4" s="607" t="s">
        <v>266</v>
      </c>
      <c r="C4" s="2311" t="str">
        <f>Projekt!B14</f>
        <v>Gz-Uxx</v>
      </c>
      <c r="D4" s="2311"/>
      <c r="E4" s="2312"/>
      <c r="F4" s="607" t="s">
        <v>267</v>
      </c>
      <c r="G4" s="2313" t="str">
        <f>Projekt!B15</f>
        <v>AG-NNN</v>
      </c>
      <c r="H4" s="2313"/>
      <c r="I4" s="2313"/>
      <c r="J4" s="2314"/>
      <c r="K4" s="2145" t="str">
        <f>IF(Projekt!D8&lt;&gt;0,Projekt!D8,"")</f>
        <v>Musterkalkulation</v>
      </c>
      <c r="L4" s="2146"/>
      <c r="M4" s="2146"/>
      <c r="N4" s="2146"/>
      <c r="O4" s="2146"/>
      <c r="P4" s="2147"/>
    </row>
    <row r="5" spans="1:16" x14ac:dyDescent="0.4">
      <c r="A5" s="2306"/>
      <c r="B5" s="2148" t="s">
        <v>34</v>
      </c>
      <c r="C5" s="2105"/>
      <c r="D5" s="2105"/>
      <c r="E5" s="9" t="str">
        <f>IF(Projekt!C$18=Projekt!F$18,"X","-")</f>
        <v>X</v>
      </c>
      <c r="F5" s="2149" t="s">
        <v>2</v>
      </c>
      <c r="G5" s="2149"/>
      <c r="H5" s="2149"/>
      <c r="I5" s="2149"/>
      <c r="J5" s="246" t="str">
        <f>IF(Projekt!C$19=Projekt!F$19,"X","-")</f>
        <v>X</v>
      </c>
      <c r="K5" s="2145" t="str">
        <f>IF(Projekt!D9&lt;&gt;0,Projekt!D9,"")</f>
        <v/>
      </c>
      <c r="L5" s="2146"/>
      <c r="M5" s="2146"/>
      <c r="N5" s="2146"/>
      <c r="O5" s="2146"/>
      <c r="P5" s="2147"/>
    </row>
    <row r="6" spans="1:16" x14ac:dyDescent="0.4">
      <c r="A6" s="2306"/>
      <c r="B6" s="1587" t="s">
        <v>35</v>
      </c>
      <c r="C6" s="2138"/>
      <c r="D6" s="2138"/>
      <c r="E6" s="247" t="str">
        <f>IF(Projekt!C$18=Projekt!G$18,"X","-")</f>
        <v>-</v>
      </c>
      <c r="F6" s="2080" t="s">
        <v>3</v>
      </c>
      <c r="G6" s="2081"/>
      <c r="H6" s="2081"/>
      <c r="I6" s="2081"/>
      <c r="J6" s="10" t="str">
        <f>IF(Projekt!C$19=Projekt!G$19,"X","-")</f>
        <v>-</v>
      </c>
      <c r="K6" s="2149" t="s">
        <v>1</v>
      </c>
      <c r="L6" s="2149"/>
      <c r="M6" s="2319">
        <f>Projekt!F14</f>
        <v>44686</v>
      </c>
      <c r="N6" s="2319"/>
      <c r="O6" s="2319"/>
      <c r="P6" s="2320"/>
    </row>
    <row r="7" spans="1:16" x14ac:dyDescent="0.4">
      <c r="A7" s="2306"/>
      <c r="B7" s="2165" t="s">
        <v>184</v>
      </c>
      <c r="C7" s="2166"/>
      <c r="D7" s="2166"/>
      <c r="E7" s="2166"/>
      <c r="F7" s="2315" t="s">
        <v>36</v>
      </c>
      <c r="G7" s="2316"/>
      <c r="H7" s="2316"/>
      <c r="I7" s="2316"/>
      <c r="J7" s="245" t="s">
        <v>9</v>
      </c>
      <c r="K7" s="2143" t="s">
        <v>237</v>
      </c>
      <c r="L7" s="2143"/>
      <c r="M7" s="2143"/>
      <c r="N7" s="2143"/>
      <c r="O7" s="2143"/>
      <c r="P7" s="2144"/>
    </row>
    <row r="8" spans="1:16" ht="15.4" thickBot="1" x14ac:dyDescent="0.45">
      <c r="A8" s="2306"/>
      <c r="B8" s="2323" t="str">
        <f ca="1">Stammdaten!B3</f>
        <v>KollV MALER-, LACKIERER-, SCHILDERHERST.GEWERBE</v>
      </c>
      <c r="C8" s="2324"/>
      <c r="D8" s="2324"/>
      <c r="E8" s="2324"/>
      <c r="F8" s="2324"/>
      <c r="G8" s="2324"/>
      <c r="H8" s="2324"/>
      <c r="I8" s="2324"/>
      <c r="J8" s="2324"/>
      <c r="K8" s="2324"/>
      <c r="L8" s="2325"/>
      <c r="M8" s="2117" t="s">
        <v>37</v>
      </c>
      <c r="N8" s="2118"/>
      <c r="O8" s="2317">
        <f ca="1">Stammdaten!B4</f>
        <v>44682</v>
      </c>
      <c r="P8" s="2318"/>
    </row>
    <row r="9" spans="1:16" x14ac:dyDescent="0.4">
      <c r="A9" s="158">
        <v>1</v>
      </c>
      <c r="B9" s="2101" t="s">
        <v>142</v>
      </c>
      <c r="C9" s="2102"/>
      <c r="D9" s="2102"/>
      <c r="E9" s="2150"/>
      <c r="F9" s="2122" t="s">
        <v>143</v>
      </c>
      <c r="G9" s="2123"/>
      <c r="H9" s="609" t="s">
        <v>38</v>
      </c>
      <c r="I9" s="2195" t="s">
        <v>39</v>
      </c>
      <c r="J9" s="2196"/>
      <c r="K9" s="2197" t="s">
        <v>144</v>
      </c>
      <c r="L9" s="2197"/>
      <c r="M9" s="2197"/>
      <c r="N9" s="2197"/>
      <c r="O9" s="2197"/>
      <c r="P9" s="39">
        <f ca="1">Projekt!C152</f>
        <v>39</v>
      </c>
    </row>
    <row r="10" spans="1:16" x14ac:dyDescent="0.4">
      <c r="A10" s="64" t="s">
        <v>40</v>
      </c>
      <c r="B10" s="2299" t="str">
        <f>Projekt!A405</f>
        <v>LG 2 Qualifizierter Facharbeiter</v>
      </c>
      <c r="C10" s="2299"/>
      <c r="D10" s="2299"/>
      <c r="E10" s="2300"/>
      <c r="F10" s="2301" t="str">
        <f ca="1">IFERROR((VLOOKUP(B10,Stammdaten!A$7:D$33,4,FALSE)),"")</f>
        <v/>
      </c>
      <c r="G10" s="2301"/>
      <c r="H10" s="41">
        <f>Projekt!F405</f>
        <v>1</v>
      </c>
      <c r="I10" s="2267" t="e">
        <f ca="1">IF(PRODUCT(F10,H10)=0,"",F10*H10)</f>
        <v>#VALUE!</v>
      </c>
      <c r="J10" s="2268"/>
      <c r="K10" s="2142" t="s">
        <v>246</v>
      </c>
      <c r="L10" s="2142"/>
      <c r="M10" s="2142"/>
      <c r="N10" s="2302"/>
      <c r="O10" s="610" t="s">
        <v>41</v>
      </c>
      <c r="P10" s="8" t="s">
        <v>23</v>
      </c>
    </row>
    <row r="11" spans="1:16" x14ac:dyDescent="0.4">
      <c r="A11" s="64" t="s">
        <v>42</v>
      </c>
      <c r="B11" s="2287"/>
      <c r="C11" s="2287"/>
      <c r="D11" s="2287"/>
      <c r="E11" s="2288"/>
      <c r="F11" s="2289"/>
      <c r="G11" s="2289"/>
      <c r="H11" s="44"/>
      <c r="I11" s="2290"/>
      <c r="J11" s="2291"/>
      <c r="K11" s="2326" t="str">
        <f>IF(Projekt!F427=1,Projekt!B428,"Regiestunde")</f>
        <v>Überstunde 50%</v>
      </c>
      <c r="L11" s="2327"/>
      <c r="M11" s="2327"/>
      <c r="N11" s="2327"/>
      <c r="O11" s="445">
        <f ca="1">IF(Projekt!F427=1,Projekt!E428,"")</f>
        <v>0.5</v>
      </c>
      <c r="P11" s="446">
        <v>1</v>
      </c>
    </row>
    <row r="12" spans="1:16" x14ac:dyDescent="0.4">
      <c r="A12" s="64" t="s">
        <v>43</v>
      </c>
      <c r="B12" s="2287"/>
      <c r="C12" s="2287"/>
      <c r="D12" s="2287"/>
      <c r="E12" s="2288"/>
      <c r="F12" s="2289"/>
      <c r="G12" s="2289"/>
      <c r="H12" s="44"/>
      <c r="I12" s="2290"/>
      <c r="J12" s="2291"/>
      <c r="K12" s="2328" t="str">
        <f>IF(Projekt!F431=1,Projekt!B432,IF(Projekt!F435=1,Projekt!B436,""))</f>
        <v/>
      </c>
      <c r="L12" s="2329"/>
      <c r="M12" s="2329"/>
      <c r="N12" s="2330"/>
      <c r="O12" s="447" t="str">
        <f>IF(Projekt!F431=1,Projekt!E432,"")</f>
        <v/>
      </c>
      <c r="P12" s="448"/>
    </row>
    <row r="13" spans="1:16" x14ac:dyDescent="0.4">
      <c r="A13" s="64" t="s">
        <v>44</v>
      </c>
      <c r="B13" s="2287"/>
      <c r="C13" s="2287"/>
      <c r="D13" s="2287"/>
      <c r="E13" s="2288"/>
      <c r="F13" s="2289"/>
      <c r="G13" s="2289"/>
      <c r="H13" s="44"/>
      <c r="I13" s="2290"/>
      <c r="J13" s="2291"/>
      <c r="K13" s="2294"/>
      <c r="L13" s="2294"/>
      <c r="M13" s="2294"/>
      <c r="N13" s="2295"/>
      <c r="O13" s="45"/>
      <c r="P13" s="46"/>
    </row>
    <row r="14" spans="1:16" x14ac:dyDescent="0.4">
      <c r="A14" s="64" t="s">
        <v>45</v>
      </c>
      <c r="B14" s="2287"/>
      <c r="C14" s="2287"/>
      <c r="D14" s="2287"/>
      <c r="E14" s="2288"/>
      <c r="F14" s="2289"/>
      <c r="G14" s="2289"/>
      <c r="H14" s="44"/>
      <c r="I14" s="2290"/>
      <c r="J14" s="2291"/>
      <c r="K14" s="2294"/>
      <c r="L14" s="2294"/>
      <c r="M14" s="2294"/>
      <c r="N14" s="2295"/>
      <c r="O14" s="45"/>
      <c r="P14" s="46"/>
    </row>
    <row r="15" spans="1:16" x14ac:dyDescent="0.4">
      <c r="A15" s="64" t="s">
        <v>46</v>
      </c>
      <c r="B15" s="2287"/>
      <c r="C15" s="2287"/>
      <c r="D15" s="2287"/>
      <c r="E15" s="2288"/>
      <c r="F15" s="2289"/>
      <c r="G15" s="2289"/>
      <c r="H15" s="44"/>
      <c r="I15" s="2290"/>
      <c r="J15" s="2291"/>
      <c r="K15" s="2294"/>
      <c r="L15" s="2294"/>
      <c r="M15" s="2294"/>
      <c r="N15" s="2295"/>
      <c r="O15" s="45"/>
      <c r="P15" s="46"/>
    </row>
    <row r="16" spans="1:16" x14ac:dyDescent="0.4">
      <c r="A16" s="64" t="s">
        <v>47</v>
      </c>
      <c r="B16" s="2287"/>
      <c r="C16" s="2287"/>
      <c r="D16" s="2287"/>
      <c r="E16" s="2288"/>
      <c r="F16" s="2289"/>
      <c r="G16" s="2289"/>
      <c r="H16" s="44"/>
      <c r="I16" s="2290"/>
      <c r="J16" s="2291"/>
      <c r="K16" s="2292"/>
      <c r="L16" s="2292"/>
      <c r="M16" s="2292"/>
      <c r="N16" s="2293"/>
      <c r="O16" s="47"/>
      <c r="P16" s="48"/>
    </row>
    <row r="17" spans="1:16" x14ac:dyDescent="0.4">
      <c r="A17" s="64" t="s">
        <v>48</v>
      </c>
      <c r="B17" s="2287"/>
      <c r="C17" s="2287"/>
      <c r="D17" s="2287"/>
      <c r="E17" s="2288"/>
      <c r="F17" s="2289"/>
      <c r="G17" s="2289"/>
      <c r="H17" s="44"/>
      <c r="I17" s="2290"/>
      <c r="J17" s="2291"/>
      <c r="K17" s="2292"/>
      <c r="L17" s="2292"/>
      <c r="M17" s="2292"/>
      <c r="N17" s="2293"/>
      <c r="O17" s="47"/>
      <c r="P17" s="48"/>
    </row>
    <row r="18" spans="1:16" ht="15.4" thickBot="1" x14ac:dyDescent="0.45">
      <c r="A18" s="64" t="s">
        <v>49</v>
      </c>
      <c r="B18" s="2278"/>
      <c r="C18" s="2279"/>
      <c r="D18" s="2279"/>
      <c r="E18" s="2280"/>
      <c r="F18" s="2281"/>
      <c r="G18" s="2281"/>
      <c r="H18" s="49"/>
      <c r="I18" s="2282"/>
      <c r="J18" s="2283"/>
      <c r="K18" s="2284"/>
      <c r="L18" s="2284"/>
      <c r="M18" s="2284"/>
      <c r="N18" s="2285"/>
      <c r="O18" s="50"/>
      <c r="P18" s="51"/>
    </row>
    <row r="19" spans="1:16" ht="15.4" thickBot="1" x14ac:dyDescent="0.45">
      <c r="A19" s="64">
        <v>2</v>
      </c>
      <c r="B19" s="226" t="s">
        <v>50</v>
      </c>
      <c r="C19" s="37"/>
      <c r="D19" s="38"/>
      <c r="E19" s="38"/>
      <c r="F19" s="38"/>
      <c r="G19" s="38"/>
      <c r="H19" s="224">
        <f>SUM(H10:H18)</f>
        <v>1</v>
      </c>
      <c r="I19" s="2170" t="e">
        <f ca="1">IF(AND(_OK?="OK!",_OK_KV?="OK_KV!"),SUM(I10:J18),Projekt!G406)</f>
        <v>#VALUE!</v>
      </c>
      <c r="J19" s="2171"/>
      <c r="K19" s="2286" t="s">
        <v>248</v>
      </c>
      <c r="L19" s="2286"/>
      <c r="M19" s="2286"/>
      <c r="N19" s="2286"/>
      <c r="O19" s="2286"/>
      <c r="P19" s="33">
        <f>Projekt!H426</f>
        <v>1</v>
      </c>
    </row>
    <row r="20" spans="1:16" x14ac:dyDescent="0.4">
      <c r="A20" s="64"/>
      <c r="B20" s="2166"/>
      <c r="C20" s="2166"/>
      <c r="D20" s="2166"/>
      <c r="E20" s="2166"/>
      <c r="F20" s="2166"/>
      <c r="G20" s="2166"/>
      <c r="H20" s="2166"/>
      <c r="I20" s="2166"/>
      <c r="J20" s="2166"/>
      <c r="K20" s="2166"/>
      <c r="L20" s="2167"/>
      <c r="M20" s="2158" t="s">
        <v>10</v>
      </c>
      <c r="N20" s="2159"/>
      <c r="O20" s="2160" t="s">
        <v>11</v>
      </c>
      <c r="P20" s="2159"/>
    </row>
    <row r="21" spans="1:16" x14ac:dyDescent="0.4">
      <c r="A21" s="64">
        <v>3</v>
      </c>
      <c r="B21" s="322" t="s">
        <v>50</v>
      </c>
      <c r="C21" s="323"/>
      <c r="D21" s="323"/>
      <c r="E21" s="323"/>
      <c r="F21" s="323"/>
      <c r="G21" s="323"/>
      <c r="H21" s="2276"/>
      <c r="I21" s="2276"/>
      <c r="J21" s="2276"/>
      <c r="K21" s="2276"/>
      <c r="L21" s="2276"/>
      <c r="M21" s="2276"/>
      <c r="N21" s="2277"/>
      <c r="O21" s="2337" t="e">
        <f ca="1">I19/H19</f>
        <v>#VALUE!</v>
      </c>
      <c r="P21" s="2338"/>
    </row>
    <row r="22" spans="1:16" ht="15.4" thickBot="1" x14ac:dyDescent="0.45">
      <c r="A22" s="64">
        <v>4</v>
      </c>
      <c r="B22" s="2184" t="s">
        <v>51</v>
      </c>
      <c r="C22" s="2185"/>
      <c r="D22" s="2185"/>
      <c r="E22" s="2185"/>
      <c r="F22" s="2185"/>
      <c r="G22" s="2185"/>
      <c r="H22" s="2177" t="s">
        <v>52</v>
      </c>
      <c r="I22" s="2177"/>
      <c r="J22" s="2178"/>
      <c r="K22" s="2331" t="e">
        <f ca="1">Projekt!G418</f>
        <v>#DIV/0!</v>
      </c>
      <c r="L22" s="2332"/>
      <c r="M22" s="2186"/>
      <c r="N22" s="2187"/>
      <c r="O22" s="2333" t="e">
        <f ca="1">K22*O21</f>
        <v>#DIV/0!</v>
      </c>
      <c r="P22" s="2334"/>
    </row>
    <row r="23" spans="1:16" x14ac:dyDescent="0.4">
      <c r="A23" s="64">
        <v>5</v>
      </c>
      <c r="B23" s="2094" t="s">
        <v>247</v>
      </c>
      <c r="C23" s="2095"/>
      <c r="D23" s="2095"/>
      <c r="E23" s="2095"/>
      <c r="F23" s="2095"/>
      <c r="G23" s="2095"/>
      <c r="H23" s="2273" t="s">
        <v>300</v>
      </c>
      <c r="I23" s="2180"/>
      <c r="J23" s="2180"/>
      <c r="K23" s="2180"/>
      <c r="L23" s="2180"/>
      <c r="M23" s="2180"/>
      <c r="N23" s="325"/>
      <c r="O23" s="2335" t="e">
        <f ca="1">SUM(O21:O22)</f>
        <v>#VALUE!</v>
      </c>
      <c r="P23" s="2336"/>
    </row>
    <row r="24" spans="1:16" x14ac:dyDescent="0.4">
      <c r="A24" s="64">
        <v>6</v>
      </c>
      <c r="B24" s="2081" t="s">
        <v>145</v>
      </c>
      <c r="C24" s="2081"/>
      <c r="D24" s="2081"/>
      <c r="E24" s="2081"/>
      <c r="F24" s="2081"/>
      <c r="G24" s="2081"/>
      <c r="H24" s="2084" t="s">
        <v>110</v>
      </c>
      <c r="I24" s="2084"/>
      <c r="J24" s="2085"/>
      <c r="K24" s="2341" t="e">
        <f ca="1">Projekt!H418</f>
        <v>#DIV/0!</v>
      </c>
      <c r="L24" s="2342"/>
      <c r="M24" s="2182"/>
      <c r="N24" s="2183"/>
      <c r="O24" s="2267" t="e">
        <f ca="1">K24*O23</f>
        <v>#DIV/0!</v>
      </c>
      <c r="P24" s="2268"/>
    </row>
    <row r="25" spans="1:16" x14ac:dyDescent="0.4">
      <c r="A25" s="64">
        <v>7</v>
      </c>
      <c r="B25" s="2081" t="s">
        <v>212</v>
      </c>
      <c r="C25" s="2081"/>
      <c r="D25" s="2081"/>
      <c r="E25" s="2081"/>
      <c r="F25" s="2081"/>
      <c r="G25" s="2081"/>
      <c r="H25" s="2084" t="s">
        <v>110</v>
      </c>
      <c r="I25" s="2084"/>
      <c r="J25" s="2085"/>
      <c r="K25" s="2339">
        <f>Projekt!H425</f>
        <v>0</v>
      </c>
      <c r="L25" s="2340"/>
      <c r="M25" s="2182"/>
      <c r="N25" s="2183"/>
      <c r="O25" s="2267" t="e">
        <f ca="1">K25*O23</f>
        <v>#VALUE!</v>
      </c>
      <c r="P25" s="2268"/>
    </row>
    <row r="26" spans="1:16" x14ac:dyDescent="0.4">
      <c r="A26" s="64">
        <v>8</v>
      </c>
      <c r="B26" s="2081" t="s">
        <v>81</v>
      </c>
      <c r="C26" s="2081"/>
      <c r="D26" s="2081"/>
      <c r="E26" s="2081"/>
      <c r="F26" s="2081"/>
      <c r="G26" s="2081"/>
      <c r="H26" s="2084" t="s">
        <v>110</v>
      </c>
      <c r="I26" s="2084"/>
      <c r="J26" s="2085"/>
      <c r="K26" s="2339" t="e">
        <f ca="1">Projekt!H437</f>
        <v>#VALUE!</v>
      </c>
      <c r="L26" s="2340"/>
      <c r="M26" s="2182"/>
      <c r="N26" s="2183"/>
      <c r="O26" s="2267" t="e">
        <f ca="1">K26*O23</f>
        <v>#VALUE!</v>
      </c>
      <c r="P26" s="2268"/>
    </row>
    <row r="27" spans="1:16" ht="15.4" thickBot="1" x14ac:dyDescent="0.45">
      <c r="A27" s="64">
        <v>9</v>
      </c>
      <c r="B27" s="2174" t="s">
        <v>137</v>
      </c>
      <c r="C27" s="2175"/>
      <c r="D27" s="2175"/>
      <c r="E27" s="2175"/>
      <c r="F27" s="2175"/>
      <c r="G27" s="2175"/>
      <c r="H27" s="2175"/>
      <c r="I27" s="2175"/>
      <c r="J27" s="2175"/>
      <c r="K27" s="2175"/>
      <c r="L27" s="2175"/>
      <c r="M27" s="2175"/>
      <c r="N27" s="2176"/>
      <c r="O27" s="2271">
        <f ca="1">Projekt!H438</f>
        <v>0.87</v>
      </c>
      <c r="P27" s="2272"/>
    </row>
    <row r="28" spans="1:16" x14ac:dyDescent="0.4">
      <c r="A28" s="64">
        <v>10</v>
      </c>
      <c r="B28" s="2094" t="s">
        <v>53</v>
      </c>
      <c r="C28" s="2095"/>
      <c r="D28" s="2095"/>
      <c r="E28" s="2095"/>
      <c r="F28" s="2095"/>
      <c r="G28" s="2095"/>
      <c r="H28" s="2273" t="s">
        <v>303</v>
      </c>
      <c r="I28" s="2180"/>
      <c r="J28" s="2180"/>
      <c r="K28" s="2180"/>
      <c r="L28" s="2180"/>
      <c r="M28" s="2180"/>
      <c r="N28" s="324"/>
      <c r="O28" s="2335" t="e">
        <f ca="1">SUM(O23:P27)</f>
        <v>#VALUE!</v>
      </c>
      <c r="P28" s="2336"/>
    </row>
    <row r="29" spans="1:16" x14ac:dyDescent="0.4">
      <c r="A29" s="64">
        <v>11</v>
      </c>
      <c r="B29" s="2097" t="s">
        <v>138</v>
      </c>
      <c r="C29" s="2097"/>
      <c r="D29" s="2097"/>
      <c r="E29" s="2097"/>
      <c r="F29" s="2097"/>
      <c r="G29" s="2097"/>
      <c r="H29" s="2097"/>
      <c r="I29" s="2097"/>
      <c r="J29" s="2097"/>
      <c r="K29" s="2097"/>
      <c r="L29" s="2097"/>
      <c r="M29" s="2097"/>
      <c r="N29" s="2097"/>
      <c r="O29" s="2267">
        <f ca="1">Projekt!H439</f>
        <v>0.83</v>
      </c>
      <c r="P29" s="2268"/>
    </row>
    <row r="30" spans="1:16" x14ac:dyDescent="0.4">
      <c r="A30" s="64">
        <v>12</v>
      </c>
      <c r="B30" s="2081" t="s">
        <v>54</v>
      </c>
      <c r="C30" s="2081"/>
      <c r="D30" s="2081"/>
      <c r="E30" s="2081"/>
      <c r="F30" s="2081"/>
      <c r="G30" s="2081"/>
      <c r="H30" s="2084" t="s">
        <v>55</v>
      </c>
      <c r="I30" s="2084"/>
      <c r="J30" s="2085"/>
      <c r="K30" s="2339">
        <f ca="1">Projekt!H440</f>
        <v>0.2994</v>
      </c>
      <c r="L30" s="2340"/>
      <c r="M30" s="2182"/>
      <c r="N30" s="2183"/>
      <c r="O30" s="2267" t="e">
        <f ca="1">K30*O28</f>
        <v>#VALUE!</v>
      </c>
      <c r="P30" s="2268"/>
    </row>
    <row r="31" spans="1:16" x14ac:dyDescent="0.4">
      <c r="A31" s="64">
        <v>13</v>
      </c>
      <c r="B31" s="2081" t="s">
        <v>56</v>
      </c>
      <c r="C31" s="2081"/>
      <c r="D31" s="2081"/>
      <c r="E31" s="2081"/>
      <c r="F31" s="2081"/>
      <c r="G31" s="2081"/>
      <c r="H31" s="2084" t="s">
        <v>55</v>
      </c>
      <c r="I31" s="2084"/>
      <c r="J31" s="2085"/>
      <c r="K31" s="2339">
        <f ca="1">Projekt!H441</f>
        <v>0.7</v>
      </c>
      <c r="L31" s="2340"/>
      <c r="M31" s="2182"/>
      <c r="N31" s="2183"/>
      <c r="O31" s="2267" t="e">
        <f ca="1">K31*O28</f>
        <v>#VALUE!</v>
      </c>
      <c r="P31" s="2268"/>
    </row>
    <row r="32" spans="1:16" ht="15.4" thickBot="1" x14ac:dyDescent="0.45">
      <c r="A32" s="64">
        <v>14</v>
      </c>
      <c r="B32" s="2082" t="s">
        <v>57</v>
      </c>
      <c r="C32" s="2083"/>
      <c r="D32" s="2083"/>
      <c r="E32" s="2083"/>
      <c r="F32" s="2083"/>
      <c r="G32" s="2083"/>
      <c r="H32" s="2086" t="s">
        <v>55</v>
      </c>
      <c r="I32" s="2086"/>
      <c r="J32" s="2087"/>
      <c r="K32" s="2331">
        <f ca="1">Projekt!H442</f>
        <v>4.4999999999999997E-3</v>
      </c>
      <c r="L32" s="2332"/>
      <c r="M32" s="2236"/>
      <c r="N32" s="2237"/>
      <c r="O32" s="2271" t="e">
        <f ca="1">K32*O28</f>
        <v>#VALUE!</v>
      </c>
      <c r="P32" s="2272"/>
    </row>
    <row r="33" spans="1:16" x14ac:dyDescent="0.4">
      <c r="A33" s="64">
        <v>15</v>
      </c>
      <c r="B33" s="2094" t="s">
        <v>58</v>
      </c>
      <c r="C33" s="2095"/>
      <c r="D33" s="2095"/>
      <c r="E33" s="2095"/>
      <c r="F33" s="2095"/>
      <c r="G33" s="2095"/>
      <c r="H33" s="2273" t="s">
        <v>304</v>
      </c>
      <c r="I33" s="2180"/>
      <c r="J33" s="2180"/>
      <c r="K33" s="2180"/>
      <c r="L33" s="2180"/>
      <c r="M33" s="2180"/>
      <c r="N33" s="2180"/>
      <c r="O33" s="2335" t="e">
        <f ca="1">SUM(O28:P32)</f>
        <v>#VALUE!</v>
      </c>
      <c r="P33" s="2336"/>
    </row>
    <row r="34" spans="1:16" x14ac:dyDescent="0.4">
      <c r="A34" s="64">
        <v>16</v>
      </c>
      <c r="B34" s="2193" t="s">
        <v>59</v>
      </c>
      <c r="C34" s="2193"/>
      <c r="D34" s="2193"/>
      <c r="E34" s="2193"/>
      <c r="F34" s="2193"/>
      <c r="G34" s="2193"/>
      <c r="H34" s="2099" t="s">
        <v>60</v>
      </c>
      <c r="I34" s="2099"/>
      <c r="J34" s="2100"/>
      <c r="K34" s="2234">
        <f ca="1">Projekt!H443</f>
        <v>0.13689999999999999</v>
      </c>
      <c r="L34" s="2235"/>
      <c r="M34" s="2101"/>
      <c r="N34" s="2102"/>
      <c r="O34" s="2343" t="e">
        <f ca="1">K34*O33</f>
        <v>#VALUE!</v>
      </c>
      <c r="P34" s="2344"/>
    </row>
    <row r="35" spans="1:16" ht="24.4" customHeight="1" x14ac:dyDescent="0.4">
      <c r="A35" s="64">
        <v>17</v>
      </c>
      <c r="B35" s="2216" t="s">
        <v>114</v>
      </c>
      <c r="C35" s="2217"/>
      <c r="D35" s="2217"/>
      <c r="E35" s="2217"/>
      <c r="F35" s="2217"/>
      <c r="G35" s="2217"/>
      <c r="H35" s="2217"/>
      <c r="I35" s="2217"/>
      <c r="J35" s="2218"/>
      <c r="K35" s="2199" t="s">
        <v>140</v>
      </c>
      <c r="L35" s="2200"/>
      <c r="M35" s="2199" t="s">
        <v>139</v>
      </c>
      <c r="N35" s="2200"/>
      <c r="O35" s="2259"/>
      <c r="P35" s="2260"/>
    </row>
    <row r="36" spans="1:16" x14ac:dyDescent="0.4">
      <c r="A36" s="157" t="s">
        <v>61</v>
      </c>
      <c r="B36" s="2119" t="str">
        <f>Projekt!A446</f>
        <v>Test 1</v>
      </c>
      <c r="C36" s="2120"/>
      <c r="D36" s="2120"/>
      <c r="E36" s="2120"/>
      <c r="F36" s="2120"/>
      <c r="G36" s="2120"/>
      <c r="H36" s="2120"/>
      <c r="I36" s="2120"/>
      <c r="J36" s="2121"/>
      <c r="K36" s="2242" t="str">
        <f>IF(Projekt!G446=0,"",Projekt!G446)</f>
        <v/>
      </c>
      <c r="L36" s="2242"/>
      <c r="M36" s="2274" t="str">
        <f ca="1">IFERROR(IF(AND(Projekt!F446=0,Projekt!G446=0),"",IF(Projekt!G446&gt;0,Projekt!G446*O$33,IF(Projekt!F446=0,"",Projekt!F446))),"")</f>
        <v/>
      </c>
      <c r="N36" s="2275"/>
      <c r="O36" s="2261"/>
      <c r="P36" s="2262"/>
    </row>
    <row r="37" spans="1:16" x14ac:dyDescent="0.4">
      <c r="A37" s="157" t="s">
        <v>62</v>
      </c>
      <c r="B37" s="2107" t="str">
        <f>Projekt!A447</f>
        <v/>
      </c>
      <c r="C37" s="2108"/>
      <c r="D37" s="2108"/>
      <c r="E37" s="2108"/>
      <c r="F37" s="2108"/>
      <c r="G37" s="2108"/>
      <c r="H37" s="2108"/>
      <c r="I37" s="2108"/>
      <c r="J37" s="2109"/>
      <c r="K37" s="2265" t="str">
        <f>IF(Projekt!G447=0,"",Projekt!G447)</f>
        <v/>
      </c>
      <c r="L37" s="2265"/>
      <c r="M37" s="2267" t="str">
        <f>IFERROR(IF(AND(Projekt!F447=0,Projekt!G447=0),"",IF(Projekt!G447&gt;0,Projekt!G447*O$33,IF(Projekt!F447=0,"",Projekt!F447))),"")</f>
        <v/>
      </c>
      <c r="N37" s="2268"/>
      <c r="O37" s="2261"/>
      <c r="P37" s="2262"/>
    </row>
    <row r="38" spans="1:16" ht="15.4" thickBot="1" x14ac:dyDescent="0.45">
      <c r="A38" s="157" t="s">
        <v>63</v>
      </c>
      <c r="B38" s="2110" t="str">
        <f>Projekt!A448</f>
        <v>Test 2</v>
      </c>
      <c r="C38" s="2111"/>
      <c r="D38" s="2111"/>
      <c r="E38" s="2111"/>
      <c r="F38" s="2111"/>
      <c r="G38" s="2111"/>
      <c r="H38" s="2111"/>
      <c r="I38" s="2111"/>
      <c r="J38" s="2112"/>
      <c r="K38" s="2269" t="str">
        <f>IF(Projekt!G448=0,"",Projekt!G448)</f>
        <v/>
      </c>
      <c r="L38" s="2269"/>
      <c r="M38" s="2271" t="str">
        <f ca="1">IFERROR(IF(AND(Projekt!F448=0,Projekt!G448=0),"",IF(Projekt!G448&gt;0,Projekt!G448*O$33,IF(Projekt!F448=0,"",Projekt!F448))),"")</f>
        <v/>
      </c>
      <c r="N38" s="2272"/>
      <c r="O38" s="2263"/>
      <c r="P38" s="2264"/>
    </row>
    <row r="39" spans="1:16" ht="15.4" thickBot="1" x14ac:dyDescent="0.45">
      <c r="A39" s="65">
        <v>18</v>
      </c>
      <c r="B39" s="52" t="s">
        <v>309</v>
      </c>
      <c r="C39" s="4"/>
      <c r="D39" s="4"/>
      <c r="E39" s="4"/>
      <c r="F39" s="53"/>
      <c r="G39" s="53"/>
      <c r="H39" s="54"/>
      <c r="I39" s="2086" t="s">
        <v>311</v>
      </c>
      <c r="J39" s="2086"/>
      <c r="K39" s="2086"/>
      <c r="L39" s="2087"/>
      <c r="M39" s="2252" t="str">
        <f ca="1">IF(SUM(M36:N38)&gt;0,SUM(M36:N38),"")</f>
        <v/>
      </c>
      <c r="N39" s="2253"/>
      <c r="O39" s="2254" t="e">
        <f ca="1">O33+O34</f>
        <v>#VALUE!</v>
      </c>
      <c r="P39" s="2253"/>
    </row>
    <row r="40" spans="1:16" ht="27.85" customHeight="1" thickBot="1" x14ac:dyDescent="0.45">
      <c r="A40" s="65">
        <v>19</v>
      </c>
      <c r="B40" s="2068" t="s">
        <v>249</v>
      </c>
      <c r="C40" s="2069"/>
      <c r="D40" s="2069"/>
      <c r="E40" s="2069"/>
      <c r="F40" s="2069"/>
      <c r="G40" s="2069"/>
      <c r="H40" s="2069"/>
      <c r="I40" s="2069"/>
      <c r="J40" s="2070"/>
      <c r="K40" s="2078" t="s">
        <v>305</v>
      </c>
      <c r="L40" s="2079"/>
      <c r="M40" s="544"/>
      <c r="N40" s="2255" t="e">
        <f ca="1">SUM(M39:P39)</f>
        <v>#VALUE!</v>
      </c>
      <c r="O40" s="2255"/>
      <c r="P40" s="545"/>
    </row>
    <row r="41" spans="1:16" hidden="1" x14ac:dyDescent="0.4">
      <c r="A41" s="65"/>
      <c r="B41" s="250" t="s">
        <v>67</v>
      </c>
      <c r="C41" s="6"/>
      <c r="D41" s="6"/>
      <c r="E41" s="6"/>
      <c r="F41" s="6"/>
      <c r="G41" s="6"/>
      <c r="H41" s="7"/>
      <c r="I41" s="1"/>
      <c r="J41" s="31"/>
      <c r="K41" s="5"/>
      <c r="L41" s="5"/>
      <c r="M41" s="34"/>
      <c r="N41" s="35"/>
      <c r="O41" s="35"/>
      <c r="P41" s="36"/>
    </row>
    <row r="42" spans="1:16" x14ac:dyDescent="0.4">
      <c r="A42" s="65"/>
      <c r="B42" s="2249" t="s">
        <v>66</v>
      </c>
      <c r="C42" s="2250"/>
      <c r="D42" s="2250"/>
      <c r="E42" s="2250"/>
      <c r="F42" s="2250"/>
      <c r="G42" s="2250"/>
      <c r="H42" s="2251"/>
      <c r="I42" s="2201" t="s">
        <v>64</v>
      </c>
      <c r="J42" s="2202"/>
      <c r="K42" s="2201" t="s">
        <v>65</v>
      </c>
      <c r="L42" s="2202"/>
      <c r="M42" s="2256"/>
      <c r="N42" s="2257"/>
      <c r="O42" s="2257"/>
      <c r="P42" s="2258"/>
    </row>
    <row r="43" spans="1:16" ht="15.4" thickBot="1" x14ac:dyDescent="0.45">
      <c r="A43" s="65">
        <v>20</v>
      </c>
      <c r="B43" s="2091"/>
      <c r="C43" s="2092"/>
      <c r="D43" s="2092"/>
      <c r="E43" s="2092"/>
      <c r="F43" s="2092"/>
      <c r="G43" s="2092"/>
      <c r="H43" s="2093"/>
      <c r="I43" s="2345" t="str">
        <f ca="1">IF(M39="","",Projekt!G268)</f>
        <v/>
      </c>
      <c r="J43" s="2346"/>
      <c r="K43" s="2345">
        <f>Projekt!E451</f>
        <v>0.22411</v>
      </c>
      <c r="L43" s="2346"/>
      <c r="M43" s="2347" t="str">
        <f ca="1">IFERROR(I43*M39,"")</f>
        <v/>
      </c>
      <c r="N43" s="2348"/>
      <c r="O43" s="2347" t="e">
        <f ca="1">K43*O39</f>
        <v>#VALUE!</v>
      </c>
      <c r="P43" s="2348"/>
    </row>
    <row r="44" spans="1:16" ht="15.4" thickBot="1" x14ac:dyDescent="0.45">
      <c r="A44" s="65">
        <v>21</v>
      </c>
      <c r="B44" s="2245" t="s">
        <v>308</v>
      </c>
      <c r="C44" s="2246"/>
      <c r="D44" s="2246"/>
      <c r="E44" s="2246"/>
      <c r="F44" s="2246"/>
      <c r="G44" s="2246"/>
      <c r="H44" s="2246"/>
      <c r="I44" s="2126" t="s">
        <v>307</v>
      </c>
      <c r="J44" s="2126"/>
      <c r="K44" s="2126"/>
      <c r="L44" s="2127"/>
      <c r="M44" s="2349" t="str">
        <f ca="1">IFERROR(M39+M43,"")</f>
        <v/>
      </c>
      <c r="N44" s="2350"/>
      <c r="O44" s="2349" t="e">
        <f ca="1">SUM(O39:P43)</f>
        <v>#VALUE!</v>
      </c>
      <c r="P44" s="2350"/>
    </row>
    <row r="45" spans="1:16" ht="27.85" customHeight="1" thickBot="1" x14ac:dyDescent="0.45">
      <c r="A45" s="66">
        <v>22</v>
      </c>
      <c r="B45" s="2068" t="s">
        <v>252</v>
      </c>
      <c r="C45" s="2069"/>
      <c r="D45" s="2069"/>
      <c r="E45" s="2069"/>
      <c r="F45" s="2069"/>
      <c r="G45" s="2069"/>
      <c r="H45" s="2069"/>
      <c r="I45" s="2069"/>
      <c r="J45" s="2070"/>
      <c r="K45" s="2078" t="s">
        <v>306</v>
      </c>
      <c r="L45" s="2079"/>
      <c r="M45" s="544"/>
      <c r="N45" s="2255" t="e">
        <f ca="1">SUM(M44:P44)</f>
        <v>#VALUE!</v>
      </c>
      <c r="O45" s="2255"/>
      <c r="P45" s="545"/>
    </row>
    <row r="46" spans="1:16" hidden="1" x14ac:dyDescent="0.4">
      <c r="A46" s="249"/>
      <c r="B46" s="250" t="s">
        <v>67</v>
      </c>
      <c r="C46" s="1"/>
      <c r="D46" s="1"/>
      <c r="E46" s="1"/>
      <c r="F46" s="1"/>
      <c r="G46" s="1"/>
      <c r="H46" s="1"/>
      <c r="I46" s="3"/>
      <c r="J46" s="30"/>
      <c r="K46" s="30"/>
      <c r="L46" s="27"/>
      <c r="M46" s="29"/>
      <c r="N46" s="29"/>
      <c r="O46" s="28"/>
      <c r="P46" s="27"/>
    </row>
    <row r="47" spans="1:16" ht="55.9" customHeight="1" x14ac:dyDescent="0.4">
      <c r="A47" s="2225" t="str">
        <f>'Lizenz u lies mich'!B32&amp;"      
Lizenziert für:"</f>
        <v>Vers. 3.0      
Lizenziert für:</v>
      </c>
      <c r="B47" s="2226"/>
      <c r="C47" s="2226"/>
      <c r="D47" s="2064" t="str">
        <f ca="1">' K3 PP'!D47</f>
        <v xml:space="preserve">Malerhandbuch 2022 </v>
      </c>
      <c r="E47" s="2064"/>
      <c r="F47" s="2064"/>
      <c r="G47" s="2064"/>
      <c r="H47" s="2065"/>
      <c r="I47" s="2063"/>
      <c r="J47" s="2063"/>
      <c r="K47" s="2063"/>
      <c r="L47" s="2063"/>
      <c r="M47" s="2063"/>
      <c r="N47" s="2060" t="s">
        <v>669</v>
      </c>
      <c r="O47" s="2061"/>
      <c r="P47" s="2062"/>
    </row>
  </sheetData>
  <sheetProtection password="B984" sheet="1" formatColumns="0" selectLockedCells="1"/>
  <mergeCells count="161">
    <mergeCell ref="A47:C47"/>
    <mergeCell ref="O43:P43"/>
    <mergeCell ref="B44:H44"/>
    <mergeCell ref="I44:L44"/>
    <mergeCell ref="M44:N44"/>
    <mergeCell ref="O44:P44"/>
    <mergeCell ref="B45:J45"/>
    <mergeCell ref="K45:L45"/>
    <mergeCell ref="N45:O45"/>
    <mergeCell ref="N47:P47"/>
    <mergeCell ref="I47:M47"/>
    <mergeCell ref="D47:H47"/>
    <mergeCell ref="B40:J40"/>
    <mergeCell ref="K40:L40"/>
    <mergeCell ref="N40:O40"/>
    <mergeCell ref="B42:H43"/>
    <mergeCell ref="I42:J42"/>
    <mergeCell ref="K42:L42"/>
    <mergeCell ref="M42:P42"/>
    <mergeCell ref="I43:J43"/>
    <mergeCell ref="K43:L43"/>
    <mergeCell ref="M43:N43"/>
    <mergeCell ref="B38:J38"/>
    <mergeCell ref="K38:L38"/>
    <mergeCell ref="M38:N38"/>
    <mergeCell ref="I39:L39"/>
    <mergeCell ref="M39:N39"/>
    <mergeCell ref="O39:P39"/>
    <mergeCell ref="B35:J35"/>
    <mergeCell ref="K35:L35"/>
    <mergeCell ref="M35:N35"/>
    <mergeCell ref="O35:P38"/>
    <mergeCell ref="B36:J36"/>
    <mergeCell ref="K36:L36"/>
    <mergeCell ref="M36:N36"/>
    <mergeCell ref="B37:J37"/>
    <mergeCell ref="K37:L37"/>
    <mergeCell ref="M37:N37"/>
    <mergeCell ref="B33:G33"/>
    <mergeCell ref="H33:N33"/>
    <mergeCell ref="O33:P33"/>
    <mergeCell ref="B34:G34"/>
    <mergeCell ref="H34:J34"/>
    <mergeCell ref="K34:L34"/>
    <mergeCell ref="M34:N34"/>
    <mergeCell ref="O34:P34"/>
    <mergeCell ref="B31:G31"/>
    <mergeCell ref="H31:J31"/>
    <mergeCell ref="K31:L31"/>
    <mergeCell ref="M31:N31"/>
    <mergeCell ref="O31:P31"/>
    <mergeCell ref="B32:G32"/>
    <mergeCell ref="H32:J32"/>
    <mergeCell ref="K32:L32"/>
    <mergeCell ref="M32:N32"/>
    <mergeCell ref="O32:P32"/>
    <mergeCell ref="B28:G28"/>
    <mergeCell ref="H28:M28"/>
    <mergeCell ref="O28:P28"/>
    <mergeCell ref="B29:N29"/>
    <mergeCell ref="O29:P29"/>
    <mergeCell ref="B30:G30"/>
    <mergeCell ref="H30:J30"/>
    <mergeCell ref="K30:L30"/>
    <mergeCell ref="M30:N30"/>
    <mergeCell ref="O30:P30"/>
    <mergeCell ref="B26:G26"/>
    <mergeCell ref="H26:J26"/>
    <mergeCell ref="K26:L26"/>
    <mergeCell ref="M26:N26"/>
    <mergeCell ref="O26:P26"/>
    <mergeCell ref="B27:N27"/>
    <mergeCell ref="O27:P27"/>
    <mergeCell ref="B24:G24"/>
    <mergeCell ref="H24:J24"/>
    <mergeCell ref="K24:L24"/>
    <mergeCell ref="M24:N24"/>
    <mergeCell ref="O24:P24"/>
    <mergeCell ref="B25:G25"/>
    <mergeCell ref="H25:J25"/>
    <mergeCell ref="K25:L25"/>
    <mergeCell ref="M25:N25"/>
    <mergeCell ref="O25:P25"/>
    <mergeCell ref="B22:G22"/>
    <mergeCell ref="H22:J22"/>
    <mergeCell ref="K22:L22"/>
    <mergeCell ref="M22:N22"/>
    <mergeCell ref="O22:P22"/>
    <mergeCell ref="B23:G23"/>
    <mergeCell ref="H23:M23"/>
    <mergeCell ref="O23:P23"/>
    <mergeCell ref="I19:J19"/>
    <mergeCell ref="K19:O19"/>
    <mergeCell ref="B20:L20"/>
    <mergeCell ref="M20:N20"/>
    <mergeCell ref="O20:P20"/>
    <mergeCell ref="H21:N21"/>
    <mergeCell ref="O21:P21"/>
    <mergeCell ref="B17:E17"/>
    <mergeCell ref="F17:G17"/>
    <mergeCell ref="I17:J17"/>
    <mergeCell ref="K17:N17"/>
    <mergeCell ref="B18:E18"/>
    <mergeCell ref="F18:G18"/>
    <mergeCell ref="I18:J18"/>
    <mergeCell ref="K18:N18"/>
    <mergeCell ref="B15:E15"/>
    <mergeCell ref="F15:G15"/>
    <mergeCell ref="I15:J15"/>
    <mergeCell ref="K15:N15"/>
    <mergeCell ref="B16:E16"/>
    <mergeCell ref="F16:G16"/>
    <mergeCell ref="I16:J16"/>
    <mergeCell ref="K16:N16"/>
    <mergeCell ref="B13:E13"/>
    <mergeCell ref="F13:G13"/>
    <mergeCell ref="I13:J13"/>
    <mergeCell ref="K13:N13"/>
    <mergeCell ref="B14:E14"/>
    <mergeCell ref="F14:G14"/>
    <mergeCell ref="I14:J14"/>
    <mergeCell ref="K14:N14"/>
    <mergeCell ref="B11:E11"/>
    <mergeCell ref="F11:G11"/>
    <mergeCell ref="I11:J11"/>
    <mergeCell ref="K11:N11"/>
    <mergeCell ref="B12:E12"/>
    <mergeCell ref="F12:G12"/>
    <mergeCell ref="I12:J12"/>
    <mergeCell ref="K12:N12"/>
    <mergeCell ref="B1:E1"/>
    <mergeCell ref="G1:P1"/>
    <mergeCell ref="B9:E9"/>
    <mergeCell ref="F9:G9"/>
    <mergeCell ref="I9:J9"/>
    <mergeCell ref="K9:O9"/>
    <mergeCell ref="B10:E10"/>
    <mergeCell ref="F10:G10"/>
    <mergeCell ref="I10:J10"/>
    <mergeCell ref="K10:N10"/>
    <mergeCell ref="B7:E7"/>
    <mergeCell ref="F7:I7"/>
    <mergeCell ref="K7:P7"/>
    <mergeCell ref="B8:L8"/>
    <mergeCell ref="M8:N8"/>
    <mergeCell ref="O8:P8"/>
    <mergeCell ref="A2:A8"/>
    <mergeCell ref="B2:E3"/>
    <mergeCell ref="F2:J3"/>
    <mergeCell ref="K2:P2"/>
    <mergeCell ref="K3:P3"/>
    <mergeCell ref="C4:E4"/>
    <mergeCell ref="G4:J4"/>
    <mergeCell ref="K4:P4"/>
    <mergeCell ref="B5:D5"/>
    <mergeCell ref="F5:I5"/>
    <mergeCell ref="K5:P5"/>
    <mergeCell ref="B6:D6"/>
    <mergeCell ref="F6:I6"/>
    <mergeCell ref="K6:L6"/>
    <mergeCell ref="M6:P6"/>
  </mergeCells>
  <conditionalFormatting sqref="F5:I5">
    <cfRule type="expression" dxfId="31" priority="11">
      <formula>$J$5="X"</formula>
    </cfRule>
  </conditionalFormatting>
  <conditionalFormatting sqref="F6:I6">
    <cfRule type="expression" dxfId="30" priority="10">
      <formula>$J$6="X"</formula>
    </cfRule>
  </conditionalFormatting>
  <conditionalFormatting sqref="B5:D5">
    <cfRule type="expression" dxfId="29" priority="9">
      <formula>$E$5="X"</formula>
    </cfRule>
  </conditionalFormatting>
  <conditionalFormatting sqref="B6:D6">
    <cfRule type="expression" dxfId="28" priority="8">
      <formula>$E$6="X"</formula>
    </cfRule>
  </conditionalFormatting>
  <conditionalFormatting sqref="N45:O45 N40:O40 K3:P5">
    <cfRule type="expression" dxfId="27" priority="7">
      <formula>OR(_OK?&lt;&gt;"OK!",_OK_KV?&lt;&gt;"OK_KV!")</formula>
    </cfRule>
  </conditionalFormatting>
  <conditionalFormatting sqref="B36:J38">
    <cfRule type="expression" dxfId="26" priority="6">
      <formula>$B36=0</formula>
    </cfRule>
  </conditionalFormatting>
  <conditionalFormatting sqref="I19:J19 O21:P21 D47:H47">
    <cfRule type="expression" dxfId="25" priority="4">
      <formula>_OK?&lt;&gt;"OK!"</formula>
    </cfRule>
  </conditionalFormatting>
  <conditionalFormatting sqref="N40:O40 N45:O45">
    <cfRule type="expression" dxfId="24" priority="3">
      <formula>_OK?&lt;&gt;"OK!"</formula>
    </cfRule>
  </conditionalFormatting>
  <pageMargins left="0.59055118110236227" right="0.19685039370078741" top="0.59055118110236227" bottom="0.19685039370078741" header="0.19685039370078741" footer="0.11811023622047245"/>
  <pageSetup paperSize="9" orientation="portrait" r:id="rId1"/>
  <headerFooter>
    <oddFooter>&amp;L&amp;10K2-Blatt
Seite: &amp;P&amp;R&amp;10&amp;F</oddFooter>
  </headerFooter>
  <extLst>
    <ext xmlns:x14="http://schemas.microsoft.com/office/spreadsheetml/2009/9/main" uri="{78C0D931-6437-407d-A8EE-F0AAD7539E65}">
      <x14:conditionalFormattings>
        <x14:conditionalFormatting xmlns:xm="http://schemas.microsoft.com/office/excel/2006/main">
          <x14:cfRule type="expression" priority="2" id="{9C3AE7C3-49BA-4ECF-AD3F-730C845C99E7}">
            <xm:f>Projekt!$F$273="Nein"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1" id="{2EF5AA9D-97F4-4312-8F86-A94C40ACD3E3}">
            <xm:f>Projekt!$F$273="Nein"</xm:f>
            <x14:dxf>
              <border>
                <top style="thin">
                  <color theme="0"/>
                </top>
                <bottom style="thin">
                  <color theme="0"/>
                </bottom>
                <vertical/>
                <horizontal/>
              </border>
            </x14:dxf>
          </x14:cfRule>
          <xm:sqref>K25:L26</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13D19-CC65-4183-A196-046741A7843C}">
  <sheetPr>
    <tabColor theme="0" tint="-0.499984740745262"/>
  </sheetPr>
  <dimension ref="A1:P47"/>
  <sheetViews>
    <sheetView showGridLines="0" topLeftCell="A24" zoomScaleNormal="100" workbookViewId="0">
      <selection activeCell="I47" sqref="I47:M47"/>
    </sheetView>
  </sheetViews>
  <sheetFormatPr baseColWidth="10" defaultRowHeight="15" x14ac:dyDescent="0.4"/>
  <cols>
    <col min="1" max="1" width="2.44140625" style="43" customWidth="1"/>
    <col min="2" max="5" width="4.44140625" customWidth="1"/>
    <col min="6" max="7" width="4.5546875" customWidth="1"/>
    <col min="8" max="8" width="5.5546875" customWidth="1"/>
    <col min="9" max="14" width="4.5546875" customWidth="1"/>
    <col min="15" max="16" width="5.33203125" customWidth="1"/>
  </cols>
  <sheetData>
    <row r="1" spans="1:16" ht="18" x14ac:dyDescent="0.55000000000000004">
      <c r="A1" s="206" t="s">
        <v>30</v>
      </c>
      <c r="B1" s="2194" t="s">
        <v>31</v>
      </c>
      <c r="C1" s="2194"/>
      <c r="D1" s="2194"/>
      <c r="E1" s="2194"/>
      <c r="F1" s="231" t="s">
        <v>310</v>
      </c>
      <c r="G1" s="2321" t="str">
        <f>Projekt!D10</f>
        <v>Musterprojekt Malerhandbuch 2022</v>
      </c>
      <c r="H1" s="2321"/>
      <c r="I1" s="2321"/>
      <c r="J1" s="2321"/>
      <c r="K1" s="2321"/>
      <c r="L1" s="2321"/>
      <c r="M1" s="2321"/>
      <c r="N1" s="2321"/>
      <c r="O1" s="2321"/>
      <c r="P1" s="2322"/>
    </row>
    <row r="2" spans="1:16" x14ac:dyDescent="0.4">
      <c r="A2" s="2305"/>
      <c r="B2" s="2128" t="s">
        <v>70</v>
      </c>
      <c r="C2" s="2129"/>
      <c r="D2" s="2129"/>
      <c r="E2" s="2129"/>
      <c r="F2" s="2307" t="str">
        <f>Projekt!D455</f>
        <v>Regie Qual. AN (50% Überstunde)</v>
      </c>
      <c r="G2" s="2307"/>
      <c r="H2" s="2307"/>
      <c r="I2" s="2307"/>
      <c r="J2" s="2308"/>
      <c r="K2" s="2080" t="s">
        <v>33</v>
      </c>
      <c r="L2" s="2081"/>
      <c r="M2" s="2081"/>
      <c r="N2" s="2081"/>
      <c r="O2" s="2081"/>
      <c r="P2" s="2116"/>
    </row>
    <row r="3" spans="1:16" x14ac:dyDescent="0.4">
      <c r="A3" s="2306"/>
      <c r="B3" s="2130"/>
      <c r="C3" s="2131"/>
      <c r="D3" s="2131"/>
      <c r="E3" s="2131"/>
      <c r="F3" s="2309"/>
      <c r="G3" s="2309"/>
      <c r="H3" s="2309"/>
      <c r="I3" s="2309"/>
      <c r="J3" s="2310"/>
      <c r="K3" s="2107" t="str">
        <f ca="1">Projekt!D7</f>
        <v>Malerhandbuch 2022</v>
      </c>
      <c r="L3" s="2108"/>
      <c r="M3" s="2108"/>
      <c r="N3" s="2108"/>
      <c r="O3" s="2108"/>
      <c r="P3" s="2109"/>
    </row>
    <row r="4" spans="1:16" x14ac:dyDescent="0.4">
      <c r="A4" s="2306"/>
      <c r="B4" s="607" t="s">
        <v>266</v>
      </c>
      <c r="C4" s="2311" t="str">
        <f>Projekt!B14</f>
        <v>Gz-Uxx</v>
      </c>
      <c r="D4" s="2311"/>
      <c r="E4" s="2312"/>
      <c r="F4" s="607" t="s">
        <v>267</v>
      </c>
      <c r="G4" s="2313" t="str">
        <f>Projekt!B15</f>
        <v>AG-NNN</v>
      </c>
      <c r="H4" s="2313"/>
      <c r="I4" s="2313"/>
      <c r="J4" s="2314"/>
      <c r="K4" s="2145" t="str">
        <f>IF(Projekt!D8&lt;&gt;0,Projekt!D8,"")</f>
        <v>Musterkalkulation</v>
      </c>
      <c r="L4" s="2146"/>
      <c r="M4" s="2146"/>
      <c r="N4" s="2146"/>
      <c r="O4" s="2146"/>
      <c r="P4" s="2147"/>
    </row>
    <row r="5" spans="1:16" x14ac:dyDescent="0.4">
      <c r="A5" s="2306"/>
      <c r="B5" s="2148" t="s">
        <v>34</v>
      </c>
      <c r="C5" s="2105"/>
      <c r="D5" s="2105"/>
      <c r="E5" s="9" t="str">
        <f>IF(Projekt!C$18=Projekt!F$18,"X","-")</f>
        <v>X</v>
      </c>
      <c r="F5" s="2149" t="s">
        <v>2</v>
      </c>
      <c r="G5" s="2149"/>
      <c r="H5" s="2149"/>
      <c r="I5" s="2149"/>
      <c r="J5" s="246" t="str">
        <f>IF(Projekt!C$19=Projekt!F$19,"X","-")</f>
        <v>X</v>
      </c>
      <c r="K5" s="2145" t="str">
        <f>IF(Projekt!D9&lt;&gt;0,Projekt!D9,"")</f>
        <v/>
      </c>
      <c r="L5" s="2146"/>
      <c r="M5" s="2146"/>
      <c r="N5" s="2146"/>
      <c r="O5" s="2146"/>
      <c r="P5" s="2147"/>
    </row>
    <row r="6" spans="1:16" x14ac:dyDescent="0.4">
      <c r="A6" s="2306"/>
      <c r="B6" s="1587" t="s">
        <v>35</v>
      </c>
      <c r="C6" s="2138"/>
      <c r="D6" s="2138"/>
      <c r="E6" s="247" t="str">
        <f>IF(Projekt!C$18=Projekt!G$18,"X","-")</f>
        <v>-</v>
      </c>
      <c r="F6" s="2080" t="s">
        <v>3</v>
      </c>
      <c r="G6" s="2081"/>
      <c r="H6" s="2081"/>
      <c r="I6" s="2081"/>
      <c r="J6" s="10" t="str">
        <f>IF(Projekt!C$19=Projekt!G$19,"X","-")</f>
        <v>-</v>
      </c>
      <c r="K6" s="2149" t="s">
        <v>1</v>
      </c>
      <c r="L6" s="2149"/>
      <c r="M6" s="2319">
        <f>Projekt!F14</f>
        <v>44686</v>
      </c>
      <c r="N6" s="2319"/>
      <c r="O6" s="2319"/>
      <c r="P6" s="2320"/>
    </row>
    <row r="7" spans="1:16" x14ac:dyDescent="0.4">
      <c r="A7" s="2306"/>
      <c r="B7" s="2165" t="s">
        <v>184</v>
      </c>
      <c r="C7" s="2166"/>
      <c r="D7" s="2166"/>
      <c r="E7" s="2166"/>
      <c r="F7" s="2315" t="s">
        <v>36</v>
      </c>
      <c r="G7" s="2316"/>
      <c r="H7" s="2316"/>
      <c r="I7" s="2316"/>
      <c r="J7" s="245" t="s">
        <v>9</v>
      </c>
      <c r="K7" s="2143" t="s">
        <v>237</v>
      </c>
      <c r="L7" s="2143"/>
      <c r="M7" s="2143"/>
      <c r="N7" s="2143"/>
      <c r="O7" s="2143"/>
      <c r="P7" s="2144"/>
    </row>
    <row r="8" spans="1:16" ht="15.4" thickBot="1" x14ac:dyDescent="0.45">
      <c r="A8" s="2306"/>
      <c r="B8" s="2323" t="str">
        <f ca="1">Stammdaten!B3</f>
        <v>KollV MALER-, LACKIERER-, SCHILDERHERST.GEWERBE</v>
      </c>
      <c r="C8" s="2324"/>
      <c r="D8" s="2324"/>
      <c r="E8" s="2324"/>
      <c r="F8" s="2324"/>
      <c r="G8" s="2324"/>
      <c r="H8" s="2324"/>
      <c r="I8" s="2324"/>
      <c r="J8" s="2324"/>
      <c r="K8" s="2324"/>
      <c r="L8" s="2325"/>
      <c r="M8" s="2117" t="s">
        <v>37</v>
      </c>
      <c r="N8" s="2118"/>
      <c r="O8" s="2317">
        <f ca="1">Stammdaten!B4</f>
        <v>44682</v>
      </c>
      <c r="P8" s="2318"/>
    </row>
    <row r="9" spans="1:16" x14ac:dyDescent="0.4">
      <c r="A9" s="158">
        <v>1</v>
      </c>
      <c r="B9" s="2101" t="s">
        <v>142</v>
      </c>
      <c r="C9" s="2102"/>
      <c r="D9" s="2102"/>
      <c r="E9" s="2150"/>
      <c r="F9" s="2122" t="s">
        <v>143</v>
      </c>
      <c r="G9" s="2123"/>
      <c r="H9" s="609" t="s">
        <v>38</v>
      </c>
      <c r="I9" s="2195" t="s">
        <v>39</v>
      </c>
      <c r="J9" s="2196"/>
      <c r="K9" s="2197" t="s">
        <v>144</v>
      </c>
      <c r="L9" s="2197"/>
      <c r="M9" s="2197"/>
      <c r="N9" s="2197"/>
      <c r="O9" s="2197"/>
      <c r="P9" s="39">
        <f ca="1">Projekt!C152</f>
        <v>39</v>
      </c>
    </row>
    <row r="10" spans="1:16" x14ac:dyDescent="0.4">
      <c r="A10" s="64" t="s">
        <v>40</v>
      </c>
      <c r="B10" s="2299" t="str">
        <f>Projekt!A458</f>
        <v>LG 5 Qualifizierter Arbeitnehmer</v>
      </c>
      <c r="C10" s="2299"/>
      <c r="D10" s="2299"/>
      <c r="E10" s="2300"/>
      <c r="F10" s="2301" t="str">
        <f ca="1">IFERROR((VLOOKUP(B10,Stammdaten!A$7:D$33,4,FALSE)),"")</f>
        <v/>
      </c>
      <c r="G10" s="2301"/>
      <c r="H10" s="41">
        <f>Projekt!F458</f>
        <v>1</v>
      </c>
      <c r="I10" s="2267" t="e">
        <f ca="1">IF(PRODUCT(F10,H10)=0,"",F10*H10)</f>
        <v>#VALUE!</v>
      </c>
      <c r="J10" s="2268"/>
      <c r="K10" s="2142" t="s">
        <v>246</v>
      </c>
      <c r="L10" s="2142"/>
      <c r="M10" s="2142"/>
      <c r="N10" s="2302"/>
      <c r="O10" s="610" t="s">
        <v>41</v>
      </c>
      <c r="P10" s="8" t="s">
        <v>23</v>
      </c>
    </row>
    <row r="11" spans="1:16" x14ac:dyDescent="0.4">
      <c r="A11" s="64" t="s">
        <v>42</v>
      </c>
      <c r="B11" s="2287"/>
      <c r="C11" s="2287"/>
      <c r="D11" s="2287"/>
      <c r="E11" s="2288"/>
      <c r="F11" s="2289"/>
      <c r="G11" s="2289"/>
      <c r="H11" s="44"/>
      <c r="I11" s="2290"/>
      <c r="J11" s="2291"/>
      <c r="K11" s="2326" t="str">
        <f>IF(Projekt!F480=1,Projekt!B481,"Regiestunde")</f>
        <v>Überstunde 50%</v>
      </c>
      <c r="L11" s="2327"/>
      <c r="M11" s="2327"/>
      <c r="N11" s="2327"/>
      <c r="O11" s="445">
        <f ca="1">IF(Projekt!F480=1,Projekt!E481,"")</f>
        <v>0.5</v>
      </c>
      <c r="P11" s="446">
        <v>1</v>
      </c>
    </row>
    <row r="12" spans="1:16" x14ac:dyDescent="0.4">
      <c r="A12" s="64" t="s">
        <v>43</v>
      </c>
      <c r="B12" s="2287"/>
      <c r="C12" s="2287"/>
      <c r="D12" s="2287"/>
      <c r="E12" s="2288"/>
      <c r="F12" s="2289"/>
      <c r="G12" s="2289"/>
      <c r="H12" s="44"/>
      <c r="I12" s="2290"/>
      <c r="J12" s="2291"/>
      <c r="K12" s="2328" t="str">
        <f>IF(Projekt!F484=1,Projekt!B485,IF(Projekt!F488=1,Projekt!B489,""))</f>
        <v>Schichtzulage (2. Schicht)</v>
      </c>
      <c r="L12" s="2329"/>
      <c r="M12" s="2329"/>
      <c r="N12" s="2330"/>
      <c r="O12" s="447" t="str">
        <f>IF(Projekt!F484=1,Projekt!E485,"")</f>
        <v/>
      </c>
      <c r="P12" s="448"/>
    </row>
    <row r="13" spans="1:16" x14ac:dyDescent="0.4">
      <c r="A13" s="64" t="s">
        <v>44</v>
      </c>
      <c r="B13" s="2287"/>
      <c r="C13" s="2287"/>
      <c r="D13" s="2287"/>
      <c r="E13" s="2288"/>
      <c r="F13" s="2289"/>
      <c r="G13" s="2289"/>
      <c r="H13" s="44"/>
      <c r="I13" s="2290"/>
      <c r="J13" s="2291"/>
      <c r="K13" s="2294"/>
      <c r="L13" s="2294"/>
      <c r="M13" s="2294"/>
      <c r="N13" s="2295"/>
      <c r="O13" s="45"/>
      <c r="P13" s="46"/>
    </row>
    <row r="14" spans="1:16" x14ac:dyDescent="0.4">
      <c r="A14" s="64" t="s">
        <v>45</v>
      </c>
      <c r="B14" s="2287"/>
      <c r="C14" s="2287"/>
      <c r="D14" s="2287"/>
      <c r="E14" s="2288"/>
      <c r="F14" s="2289"/>
      <c r="G14" s="2289"/>
      <c r="H14" s="44"/>
      <c r="I14" s="2290"/>
      <c r="J14" s="2291"/>
      <c r="K14" s="2294"/>
      <c r="L14" s="2294"/>
      <c r="M14" s="2294"/>
      <c r="N14" s="2295"/>
      <c r="O14" s="45"/>
      <c r="P14" s="46"/>
    </row>
    <row r="15" spans="1:16" x14ac:dyDescent="0.4">
      <c r="A15" s="64" t="s">
        <v>46</v>
      </c>
      <c r="B15" s="2287"/>
      <c r="C15" s="2287"/>
      <c r="D15" s="2287"/>
      <c r="E15" s="2288"/>
      <c r="F15" s="2289"/>
      <c r="G15" s="2289"/>
      <c r="H15" s="44"/>
      <c r="I15" s="2290"/>
      <c r="J15" s="2291"/>
      <c r="K15" s="2294"/>
      <c r="L15" s="2294"/>
      <c r="M15" s="2294"/>
      <c r="N15" s="2295"/>
      <c r="O15" s="45"/>
      <c r="P15" s="46"/>
    </row>
    <row r="16" spans="1:16" x14ac:dyDescent="0.4">
      <c r="A16" s="64" t="s">
        <v>47</v>
      </c>
      <c r="B16" s="2287"/>
      <c r="C16" s="2287"/>
      <c r="D16" s="2287"/>
      <c r="E16" s="2288"/>
      <c r="F16" s="2289"/>
      <c r="G16" s="2289"/>
      <c r="H16" s="44"/>
      <c r="I16" s="2290"/>
      <c r="J16" s="2291"/>
      <c r="K16" s="2292"/>
      <c r="L16" s="2292"/>
      <c r="M16" s="2292"/>
      <c r="N16" s="2293"/>
      <c r="O16" s="47"/>
      <c r="P16" s="48"/>
    </row>
    <row r="17" spans="1:16" x14ac:dyDescent="0.4">
      <c r="A17" s="64" t="s">
        <v>48</v>
      </c>
      <c r="B17" s="2287"/>
      <c r="C17" s="2287"/>
      <c r="D17" s="2287"/>
      <c r="E17" s="2288"/>
      <c r="F17" s="2289"/>
      <c r="G17" s="2289"/>
      <c r="H17" s="44"/>
      <c r="I17" s="2290"/>
      <c r="J17" s="2291"/>
      <c r="K17" s="2292"/>
      <c r="L17" s="2292"/>
      <c r="M17" s="2292"/>
      <c r="N17" s="2293"/>
      <c r="O17" s="47"/>
      <c r="P17" s="48"/>
    </row>
    <row r="18" spans="1:16" ht="15.4" thickBot="1" x14ac:dyDescent="0.45">
      <c r="A18" s="64" t="s">
        <v>49</v>
      </c>
      <c r="B18" s="2278"/>
      <c r="C18" s="2279"/>
      <c r="D18" s="2279"/>
      <c r="E18" s="2280"/>
      <c r="F18" s="2281"/>
      <c r="G18" s="2281"/>
      <c r="H18" s="49"/>
      <c r="I18" s="2282"/>
      <c r="J18" s="2283"/>
      <c r="K18" s="2284"/>
      <c r="L18" s="2284"/>
      <c r="M18" s="2284"/>
      <c r="N18" s="2285"/>
      <c r="O18" s="50"/>
      <c r="P18" s="51"/>
    </row>
    <row r="19" spans="1:16" ht="15.4" thickBot="1" x14ac:dyDescent="0.45">
      <c r="A19" s="64">
        <v>2</v>
      </c>
      <c r="B19" s="226" t="s">
        <v>50</v>
      </c>
      <c r="C19" s="37"/>
      <c r="D19" s="38"/>
      <c r="E19" s="38"/>
      <c r="F19" s="38"/>
      <c r="G19" s="38"/>
      <c r="H19" s="224">
        <f>SUM(H10:H18)</f>
        <v>1</v>
      </c>
      <c r="I19" s="2170" t="e">
        <f ca="1">IF(AND(_OK?="OK!",_OK_KV?="OK_KV!"),SUM(I10:J18),Projekt!G459)</f>
        <v>#VALUE!</v>
      </c>
      <c r="J19" s="2171"/>
      <c r="K19" s="2286" t="s">
        <v>248</v>
      </c>
      <c r="L19" s="2286"/>
      <c r="M19" s="2286"/>
      <c r="N19" s="2286"/>
      <c r="O19" s="2286"/>
      <c r="P19" s="33">
        <f>Projekt!H479</f>
        <v>1</v>
      </c>
    </row>
    <row r="20" spans="1:16" x14ac:dyDescent="0.4">
      <c r="A20" s="64"/>
      <c r="B20" s="2166"/>
      <c r="C20" s="2166"/>
      <c r="D20" s="2166"/>
      <c r="E20" s="2166"/>
      <c r="F20" s="2166"/>
      <c r="G20" s="2166"/>
      <c r="H20" s="2166"/>
      <c r="I20" s="2166"/>
      <c r="J20" s="2166"/>
      <c r="K20" s="2166"/>
      <c r="L20" s="2167"/>
      <c r="M20" s="2158" t="s">
        <v>10</v>
      </c>
      <c r="N20" s="2159"/>
      <c r="O20" s="2160" t="s">
        <v>11</v>
      </c>
      <c r="P20" s="2159"/>
    </row>
    <row r="21" spans="1:16" x14ac:dyDescent="0.4">
      <c r="A21" s="64">
        <v>3</v>
      </c>
      <c r="B21" s="322" t="s">
        <v>50</v>
      </c>
      <c r="C21" s="323"/>
      <c r="D21" s="323"/>
      <c r="E21" s="323"/>
      <c r="F21" s="323"/>
      <c r="G21" s="323"/>
      <c r="H21" s="2276"/>
      <c r="I21" s="2276"/>
      <c r="J21" s="2276"/>
      <c r="K21" s="2276"/>
      <c r="L21" s="2276"/>
      <c r="M21" s="2276"/>
      <c r="N21" s="2277"/>
      <c r="O21" s="2337" t="e">
        <f ca="1">I19/H19</f>
        <v>#VALUE!</v>
      </c>
      <c r="P21" s="2338"/>
    </row>
    <row r="22" spans="1:16" ht="15.4" thickBot="1" x14ac:dyDescent="0.45">
      <c r="A22" s="64">
        <v>4</v>
      </c>
      <c r="B22" s="2184" t="s">
        <v>51</v>
      </c>
      <c r="C22" s="2185"/>
      <c r="D22" s="2185"/>
      <c r="E22" s="2185"/>
      <c r="F22" s="2185"/>
      <c r="G22" s="2185"/>
      <c r="H22" s="2177" t="s">
        <v>52</v>
      </c>
      <c r="I22" s="2177"/>
      <c r="J22" s="2178"/>
      <c r="K22" s="2331" t="e">
        <f ca="1">Projekt!G471</f>
        <v>#DIV/0!</v>
      </c>
      <c r="L22" s="2332"/>
      <c r="M22" s="2186"/>
      <c r="N22" s="2187"/>
      <c r="O22" s="2333" t="e">
        <f ca="1">K22*O21</f>
        <v>#DIV/0!</v>
      </c>
      <c r="P22" s="2334"/>
    </row>
    <row r="23" spans="1:16" x14ac:dyDescent="0.4">
      <c r="A23" s="64">
        <v>5</v>
      </c>
      <c r="B23" s="2094" t="s">
        <v>247</v>
      </c>
      <c r="C23" s="2095"/>
      <c r="D23" s="2095"/>
      <c r="E23" s="2095"/>
      <c r="F23" s="2095"/>
      <c r="G23" s="2095"/>
      <c r="H23" s="2273" t="s">
        <v>300</v>
      </c>
      <c r="I23" s="2180"/>
      <c r="J23" s="2180"/>
      <c r="K23" s="2180"/>
      <c r="L23" s="2180"/>
      <c r="M23" s="2180"/>
      <c r="N23" s="325"/>
      <c r="O23" s="2335" t="e">
        <f ca="1">SUM(O21:O22)</f>
        <v>#VALUE!</v>
      </c>
      <c r="P23" s="2336"/>
    </row>
    <row r="24" spans="1:16" x14ac:dyDescent="0.4">
      <c r="A24" s="64">
        <v>6</v>
      </c>
      <c r="B24" s="2081" t="s">
        <v>145</v>
      </c>
      <c r="C24" s="2081"/>
      <c r="D24" s="2081"/>
      <c r="E24" s="2081"/>
      <c r="F24" s="2081"/>
      <c r="G24" s="2081"/>
      <c r="H24" s="2084" t="s">
        <v>110</v>
      </c>
      <c r="I24" s="2084"/>
      <c r="J24" s="2085"/>
      <c r="K24" s="2341" t="e">
        <f ca="1">Projekt!H471</f>
        <v>#DIV/0!</v>
      </c>
      <c r="L24" s="2342"/>
      <c r="M24" s="2182"/>
      <c r="N24" s="2183"/>
      <c r="O24" s="2267" t="e">
        <f ca="1">K24*O23</f>
        <v>#DIV/0!</v>
      </c>
      <c r="P24" s="2268"/>
    </row>
    <row r="25" spans="1:16" x14ac:dyDescent="0.4">
      <c r="A25" s="64">
        <v>7</v>
      </c>
      <c r="B25" s="2081" t="s">
        <v>212</v>
      </c>
      <c r="C25" s="2081"/>
      <c r="D25" s="2081"/>
      <c r="E25" s="2081"/>
      <c r="F25" s="2081"/>
      <c r="G25" s="2081"/>
      <c r="H25" s="2084" t="s">
        <v>110</v>
      </c>
      <c r="I25" s="2084"/>
      <c r="J25" s="2085"/>
      <c r="K25" s="2339">
        <f>Projekt!H478</f>
        <v>0</v>
      </c>
      <c r="L25" s="2340"/>
      <c r="M25" s="2182"/>
      <c r="N25" s="2183"/>
      <c r="O25" s="2267" t="e">
        <f ca="1">K25*O23</f>
        <v>#VALUE!</v>
      </c>
      <c r="P25" s="2268"/>
    </row>
    <row r="26" spans="1:16" x14ac:dyDescent="0.4">
      <c r="A26" s="64">
        <v>8</v>
      </c>
      <c r="B26" s="2081" t="s">
        <v>81</v>
      </c>
      <c r="C26" s="2081"/>
      <c r="D26" s="2081"/>
      <c r="E26" s="2081"/>
      <c r="F26" s="2081"/>
      <c r="G26" s="2081"/>
      <c r="H26" s="2084" t="s">
        <v>110</v>
      </c>
      <c r="I26" s="2084"/>
      <c r="J26" s="2085"/>
      <c r="K26" s="2339" t="e">
        <f ca="1">Projekt!H490</f>
        <v>#VALUE!</v>
      </c>
      <c r="L26" s="2340"/>
      <c r="M26" s="2182"/>
      <c r="N26" s="2183"/>
      <c r="O26" s="2267" t="e">
        <f ca="1">K26*O23</f>
        <v>#VALUE!</v>
      </c>
      <c r="P26" s="2268"/>
    </row>
    <row r="27" spans="1:16" ht="15.4" thickBot="1" x14ac:dyDescent="0.45">
      <c r="A27" s="64">
        <v>9</v>
      </c>
      <c r="B27" s="2174" t="s">
        <v>137</v>
      </c>
      <c r="C27" s="2175"/>
      <c r="D27" s="2175"/>
      <c r="E27" s="2175"/>
      <c r="F27" s="2175"/>
      <c r="G27" s="2175"/>
      <c r="H27" s="2175"/>
      <c r="I27" s="2175"/>
      <c r="J27" s="2175"/>
      <c r="K27" s="2175"/>
      <c r="L27" s="2175"/>
      <c r="M27" s="2175"/>
      <c r="N27" s="2176"/>
      <c r="O27" s="2271">
        <f ca="1">Projekt!H491</f>
        <v>0.87</v>
      </c>
      <c r="P27" s="2272"/>
    </row>
    <row r="28" spans="1:16" x14ac:dyDescent="0.4">
      <c r="A28" s="64">
        <v>10</v>
      </c>
      <c r="B28" s="2094" t="s">
        <v>53</v>
      </c>
      <c r="C28" s="2095"/>
      <c r="D28" s="2095"/>
      <c r="E28" s="2095"/>
      <c r="F28" s="2095"/>
      <c r="G28" s="2095"/>
      <c r="H28" s="2273" t="s">
        <v>303</v>
      </c>
      <c r="I28" s="2180"/>
      <c r="J28" s="2180"/>
      <c r="K28" s="2180"/>
      <c r="L28" s="2180"/>
      <c r="M28" s="2180"/>
      <c r="N28" s="324"/>
      <c r="O28" s="2335" t="e">
        <f ca="1">SUM(O23:P27)</f>
        <v>#VALUE!</v>
      </c>
      <c r="P28" s="2336"/>
    </row>
    <row r="29" spans="1:16" x14ac:dyDescent="0.4">
      <c r="A29" s="64">
        <v>11</v>
      </c>
      <c r="B29" s="2097" t="s">
        <v>138</v>
      </c>
      <c r="C29" s="2097"/>
      <c r="D29" s="2097"/>
      <c r="E29" s="2097"/>
      <c r="F29" s="2097"/>
      <c r="G29" s="2097"/>
      <c r="H29" s="2097"/>
      <c r="I29" s="2097"/>
      <c r="J29" s="2097"/>
      <c r="K29" s="2097"/>
      <c r="L29" s="2097"/>
      <c r="M29" s="2097"/>
      <c r="N29" s="2097"/>
      <c r="O29" s="2267">
        <f ca="1">Projekt!H492</f>
        <v>0.83</v>
      </c>
      <c r="P29" s="2268"/>
    </row>
    <row r="30" spans="1:16" x14ac:dyDescent="0.4">
      <c r="A30" s="64">
        <v>12</v>
      </c>
      <c r="B30" s="2081" t="s">
        <v>54</v>
      </c>
      <c r="C30" s="2081"/>
      <c r="D30" s="2081"/>
      <c r="E30" s="2081"/>
      <c r="F30" s="2081"/>
      <c r="G30" s="2081"/>
      <c r="H30" s="2084" t="s">
        <v>55</v>
      </c>
      <c r="I30" s="2084"/>
      <c r="J30" s="2085"/>
      <c r="K30" s="2339">
        <f ca="1">Projekt!H493</f>
        <v>0.2994</v>
      </c>
      <c r="L30" s="2340"/>
      <c r="M30" s="2182"/>
      <c r="N30" s="2183"/>
      <c r="O30" s="2267" t="e">
        <f ca="1">K30*O28</f>
        <v>#VALUE!</v>
      </c>
      <c r="P30" s="2268"/>
    </row>
    <row r="31" spans="1:16" x14ac:dyDescent="0.4">
      <c r="A31" s="64">
        <v>13</v>
      </c>
      <c r="B31" s="2081" t="s">
        <v>56</v>
      </c>
      <c r="C31" s="2081"/>
      <c r="D31" s="2081"/>
      <c r="E31" s="2081"/>
      <c r="F31" s="2081"/>
      <c r="G31" s="2081"/>
      <c r="H31" s="2084" t="s">
        <v>55</v>
      </c>
      <c r="I31" s="2084"/>
      <c r="J31" s="2085"/>
      <c r="K31" s="2339">
        <f ca="1">Projekt!H494</f>
        <v>0.7</v>
      </c>
      <c r="L31" s="2340"/>
      <c r="M31" s="2182"/>
      <c r="N31" s="2183"/>
      <c r="O31" s="2267" t="e">
        <f ca="1">K31*O28</f>
        <v>#VALUE!</v>
      </c>
      <c r="P31" s="2268"/>
    </row>
    <row r="32" spans="1:16" ht="15.4" thickBot="1" x14ac:dyDescent="0.45">
      <c r="A32" s="64">
        <v>14</v>
      </c>
      <c r="B32" s="2082" t="s">
        <v>57</v>
      </c>
      <c r="C32" s="2083"/>
      <c r="D32" s="2083"/>
      <c r="E32" s="2083"/>
      <c r="F32" s="2083"/>
      <c r="G32" s="2083"/>
      <c r="H32" s="2086" t="s">
        <v>55</v>
      </c>
      <c r="I32" s="2086"/>
      <c r="J32" s="2087"/>
      <c r="K32" s="2331">
        <f ca="1">Projekt!H495</f>
        <v>4.4999999999999997E-3</v>
      </c>
      <c r="L32" s="2332"/>
      <c r="M32" s="2236"/>
      <c r="N32" s="2237"/>
      <c r="O32" s="2271" t="e">
        <f ca="1">K32*O28</f>
        <v>#VALUE!</v>
      </c>
      <c r="P32" s="2272"/>
    </row>
    <row r="33" spans="1:16" x14ac:dyDescent="0.4">
      <c r="A33" s="64">
        <v>15</v>
      </c>
      <c r="B33" s="2094" t="s">
        <v>58</v>
      </c>
      <c r="C33" s="2095"/>
      <c r="D33" s="2095"/>
      <c r="E33" s="2095"/>
      <c r="F33" s="2095"/>
      <c r="G33" s="2095"/>
      <c r="H33" s="2273" t="s">
        <v>304</v>
      </c>
      <c r="I33" s="2180"/>
      <c r="J33" s="2180"/>
      <c r="K33" s="2180"/>
      <c r="L33" s="2180"/>
      <c r="M33" s="2180"/>
      <c r="N33" s="2180"/>
      <c r="O33" s="2335" t="e">
        <f ca="1">SUM(O28:P32)</f>
        <v>#VALUE!</v>
      </c>
      <c r="P33" s="2336"/>
    </row>
    <row r="34" spans="1:16" x14ac:dyDescent="0.4">
      <c r="A34" s="64">
        <v>16</v>
      </c>
      <c r="B34" s="2193" t="s">
        <v>59</v>
      </c>
      <c r="C34" s="2193"/>
      <c r="D34" s="2193"/>
      <c r="E34" s="2193"/>
      <c r="F34" s="2193"/>
      <c r="G34" s="2193"/>
      <c r="H34" s="2099" t="s">
        <v>60</v>
      </c>
      <c r="I34" s="2099"/>
      <c r="J34" s="2100"/>
      <c r="K34" s="2234">
        <f ca="1">Projekt!H496</f>
        <v>0.13689999999999999</v>
      </c>
      <c r="L34" s="2235"/>
      <c r="M34" s="2101"/>
      <c r="N34" s="2102"/>
      <c r="O34" s="2343" t="e">
        <f ca="1">K34*O33</f>
        <v>#VALUE!</v>
      </c>
      <c r="P34" s="2344"/>
    </row>
    <row r="35" spans="1:16" ht="24.4" customHeight="1" x14ac:dyDescent="0.4">
      <c r="A35" s="64">
        <v>17</v>
      </c>
      <c r="B35" s="2216" t="s">
        <v>114</v>
      </c>
      <c r="C35" s="2217"/>
      <c r="D35" s="2217"/>
      <c r="E35" s="2217"/>
      <c r="F35" s="2217"/>
      <c r="G35" s="2217"/>
      <c r="H35" s="2217"/>
      <c r="I35" s="2217"/>
      <c r="J35" s="2218"/>
      <c r="K35" s="2199" t="s">
        <v>140</v>
      </c>
      <c r="L35" s="2200"/>
      <c r="M35" s="2199" t="s">
        <v>139</v>
      </c>
      <c r="N35" s="2200"/>
      <c r="O35" s="2259"/>
      <c r="P35" s="2260"/>
    </row>
    <row r="36" spans="1:16" x14ac:dyDescent="0.4">
      <c r="A36" s="157" t="s">
        <v>61</v>
      </c>
      <c r="B36" s="2119">
        <f>Projekt!A499</f>
        <v>0</v>
      </c>
      <c r="C36" s="2120"/>
      <c r="D36" s="2120"/>
      <c r="E36" s="2120"/>
      <c r="F36" s="2120"/>
      <c r="G36" s="2120"/>
      <c r="H36" s="2120"/>
      <c r="I36" s="2120"/>
      <c r="J36" s="2121"/>
      <c r="K36" s="2242" t="str">
        <f>IF(Projekt!G499=0,"",Projekt!G499)</f>
        <v/>
      </c>
      <c r="L36" s="2242"/>
      <c r="M36" s="2274" t="str">
        <f ca="1">IFERROR(IF(AND(Projekt!F499=0,Projekt!G499=0),"",IF(Projekt!G499&gt;0,Projekt!G499*O$33,IF(Projekt!F499=0,"",Projekt!F499))),"")</f>
        <v/>
      </c>
      <c r="N36" s="2275"/>
      <c r="O36" s="2261"/>
      <c r="P36" s="2262"/>
    </row>
    <row r="37" spans="1:16" x14ac:dyDescent="0.4">
      <c r="A37" s="157" t="s">
        <v>62</v>
      </c>
      <c r="B37" s="2107">
        <f>Projekt!A500</f>
        <v>0</v>
      </c>
      <c r="C37" s="2108"/>
      <c r="D37" s="2108"/>
      <c r="E37" s="2108"/>
      <c r="F37" s="2108"/>
      <c r="G37" s="2108"/>
      <c r="H37" s="2108"/>
      <c r="I37" s="2108"/>
      <c r="J37" s="2109"/>
      <c r="K37" s="2265" t="str">
        <f>IF(Projekt!G500=0,"",Projekt!G500)</f>
        <v/>
      </c>
      <c r="L37" s="2265"/>
      <c r="M37" s="2267" t="str">
        <f ca="1">IFERROR(IF(AND(Projekt!F500=0,Projekt!G500=0),"",IF(Projekt!G500&gt;0,Projekt!G500*O$33,IF(Projekt!F500=0,"",Projekt!F500))),"")</f>
        <v/>
      </c>
      <c r="N37" s="2268"/>
      <c r="O37" s="2261"/>
      <c r="P37" s="2262"/>
    </row>
    <row r="38" spans="1:16" ht="15.4" thickBot="1" x14ac:dyDescent="0.45">
      <c r="A38" s="157" t="s">
        <v>63</v>
      </c>
      <c r="B38" s="2110">
        <f>Projekt!A501</f>
        <v>0</v>
      </c>
      <c r="C38" s="2111"/>
      <c r="D38" s="2111"/>
      <c r="E38" s="2111"/>
      <c r="F38" s="2111"/>
      <c r="G38" s="2111"/>
      <c r="H38" s="2111"/>
      <c r="I38" s="2111"/>
      <c r="J38" s="2112"/>
      <c r="K38" s="2269" t="str">
        <f>IF(Projekt!G501=0,"",Projekt!G501)</f>
        <v/>
      </c>
      <c r="L38" s="2269"/>
      <c r="M38" s="2271" t="str">
        <f ca="1">IFERROR(IF(AND(Projekt!F501=0,Projekt!G501=0),"",IF(Projekt!G501&gt;0,Projekt!G501*O$33,IF(Projekt!F501=0,"",Projekt!F501))),"")</f>
        <v/>
      </c>
      <c r="N38" s="2272"/>
      <c r="O38" s="2263"/>
      <c r="P38" s="2264"/>
    </row>
    <row r="39" spans="1:16" ht="15.4" thickBot="1" x14ac:dyDescent="0.45">
      <c r="A39" s="65">
        <v>18</v>
      </c>
      <c r="B39" s="52" t="s">
        <v>309</v>
      </c>
      <c r="C39" s="4"/>
      <c r="D39" s="4"/>
      <c r="E39" s="4"/>
      <c r="F39" s="53"/>
      <c r="G39" s="53"/>
      <c r="H39" s="54"/>
      <c r="I39" s="2086" t="s">
        <v>311</v>
      </c>
      <c r="J39" s="2086"/>
      <c r="K39" s="2086"/>
      <c r="L39" s="2087"/>
      <c r="M39" s="2252" t="str">
        <f ca="1">IF(SUM(M36:N38)&gt;0,SUM(M36:N38),"")</f>
        <v/>
      </c>
      <c r="N39" s="2253"/>
      <c r="O39" s="2254" t="e">
        <f ca="1">O33+O34</f>
        <v>#VALUE!</v>
      </c>
      <c r="P39" s="2253"/>
    </row>
    <row r="40" spans="1:16" ht="27.85" customHeight="1" thickBot="1" x14ac:dyDescent="0.45">
      <c r="A40" s="65">
        <v>19</v>
      </c>
      <c r="B40" s="2068" t="s">
        <v>249</v>
      </c>
      <c r="C40" s="2069"/>
      <c r="D40" s="2069"/>
      <c r="E40" s="2069"/>
      <c r="F40" s="2069"/>
      <c r="G40" s="2069"/>
      <c r="H40" s="2069"/>
      <c r="I40" s="2069"/>
      <c r="J40" s="2070"/>
      <c r="K40" s="2078" t="s">
        <v>305</v>
      </c>
      <c r="L40" s="2079"/>
      <c r="M40" s="544"/>
      <c r="N40" s="2255" t="e">
        <f ca="1">SUM(M39:P39)</f>
        <v>#VALUE!</v>
      </c>
      <c r="O40" s="2255"/>
      <c r="P40" s="545"/>
    </row>
    <row r="41" spans="1:16" hidden="1" x14ac:dyDescent="0.4">
      <c r="A41" s="65"/>
      <c r="B41" s="250" t="s">
        <v>67</v>
      </c>
      <c r="C41" s="6"/>
      <c r="D41" s="6"/>
      <c r="E41" s="6"/>
      <c r="F41" s="6"/>
      <c r="G41" s="6"/>
      <c r="H41" s="7"/>
      <c r="I41" s="1"/>
      <c r="J41" s="31"/>
      <c r="K41" s="5"/>
      <c r="L41" s="5"/>
      <c r="M41" s="34"/>
      <c r="N41" s="35"/>
      <c r="O41" s="35"/>
      <c r="P41" s="36"/>
    </row>
    <row r="42" spans="1:16" x14ac:dyDescent="0.4">
      <c r="A42" s="65"/>
      <c r="B42" s="2249" t="s">
        <v>66</v>
      </c>
      <c r="C42" s="2250"/>
      <c r="D42" s="2250"/>
      <c r="E42" s="2250"/>
      <c r="F42" s="2250"/>
      <c r="G42" s="2250"/>
      <c r="H42" s="2251"/>
      <c r="I42" s="2201" t="s">
        <v>64</v>
      </c>
      <c r="J42" s="2202"/>
      <c r="K42" s="2201" t="s">
        <v>65</v>
      </c>
      <c r="L42" s="2202"/>
      <c r="M42" s="2256"/>
      <c r="N42" s="2257"/>
      <c r="O42" s="2257"/>
      <c r="P42" s="2258"/>
    </row>
    <row r="43" spans="1:16" ht="15.4" thickBot="1" x14ac:dyDescent="0.45">
      <c r="A43" s="65">
        <v>20</v>
      </c>
      <c r="B43" s="2091"/>
      <c r="C43" s="2092"/>
      <c r="D43" s="2092"/>
      <c r="E43" s="2092"/>
      <c r="F43" s="2092"/>
      <c r="G43" s="2092"/>
      <c r="H43" s="2093"/>
      <c r="I43" s="2345" t="str">
        <f ca="1">IF(M39="","",Projekt!G268)</f>
        <v/>
      </c>
      <c r="J43" s="2346"/>
      <c r="K43" s="2345">
        <f>Projekt!E504</f>
        <v>0.22411</v>
      </c>
      <c r="L43" s="2346"/>
      <c r="M43" s="2347" t="str">
        <f ca="1">IFERROR(I43*M39,"")</f>
        <v/>
      </c>
      <c r="N43" s="2348"/>
      <c r="O43" s="2347" t="e">
        <f ca="1">K43*O39</f>
        <v>#VALUE!</v>
      </c>
      <c r="P43" s="2348"/>
    </row>
    <row r="44" spans="1:16" ht="15.4" thickBot="1" x14ac:dyDescent="0.45">
      <c r="A44" s="65">
        <v>21</v>
      </c>
      <c r="B44" s="2245" t="s">
        <v>308</v>
      </c>
      <c r="C44" s="2246"/>
      <c r="D44" s="2246"/>
      <c r="E44" s="2246"/>
      <c r="F44" s="2246"/>
      <c r="G44" s="2246"/>
      <c r="H44" s="2246"/>
      <c r="I44" s="2126" t="s">
        <v>307</v>
      </c>
      <c r="J44" s="2126"/>
      <c r="K44" s="2126"/>
      <c r="L44" s="2127"/>
      <c r="M44" s="2349" t="str">
        <f ca="1">IFERROR(M39+M43,"")</f>
        <v/>
      </c>
      <c r="N44" s="2350"/>
      <c r="O44" s="2349" t="e">
        <f ca="1">SUM(O39:P43)</f>
        <v>#VALUE!</v>
      </c>
      <c r="P44" s="2350"/>
    </row>
    <row r="45" spans="1:16" ht="27.85" customHeight="1" thickBot="1" x14ac:dyDescent="0.45">
      <c r="A45" s="66">
        <v>22</v>
      </c>
      <c r="B45" s="2068" t="s">
        <v>252</v>
      </c>
      <c r="C45" s="2069"/>
      <c r="D45" s="2069"/>
      <c r="E45" s="2069"/>
      <c r="F45" s="2069"/>
      <c r="G45" s="2069"/>
      <c r="H45" s="2069"/>
      <c r="I45" s="2069"/>
      <c r="J45" s="2070"/>
      <c r="K45" s="2078" t="s">
        <v>306</v>
      </c>
      <c r="L45" s="2079"/>
      <c r="M45" s="544"/>
      <c r="N45" s="2255" t="e">
        <f ca="1">SUM(M44:P44)</f>
        <v>#VALUE!</v>
      </c>
      <c r="O45" s="2255"/>
      <c r="P45" s="545"/>
    </row>
    <row r="46" spans="1:16" hidden="1" x14ac:dyDescent="0.4">
      <c r="A46" s="249"/>
      <c r="B46" s="250" t="s">
        <v>67</v>
      </c>
      <c r="C46" s="1"/>
      <c r="D46" s="1"/>
      <c r="E46" s="1"/>
      <c r="F46" s="1"/>
      <c r="G46" s="1"/>
      <c r="H46" s="1"/>
      <c r="I46" s="3"/>
      <c r="J46" s="30"/>
      <c r="K46" s="30"/>
      <c r="L46" s="27"/>
      <c r="M46" s="29"/>
      <c r="N46" s="29"/>
      <c r="O46" s="28"/>
      <c r="P46" s="27"/>
    </row>
    <row r="47" spans="1:16" ht="55.9" customHeight="1" x14ac:dyDescent="0.4">
      <c r="A47" s="2225" t="str">
        <f>'Lizenz u lies mich'!B32&amp;"      
Lizenziert für:"</f>
        <v>Vers. 3.0      
Lizenziert für:</v>
      </c>
      <c r="B47" s="2226"/>
      <c r="C47" s="2226"/>
      <c r="D47" s="2064" t="str">
        <f ca="1">' K3 PP'!D47</f>
        <v xml:space="preserve">Malerhandbuch 2022 </v>
      </c>
      <c r="E47" s="2064"/>
      <c r="F47" s="2064"/>
      <c r="G47" s="2064"/>
      <c r="H47" s="2065"/>
      <c r="I47" s="2063"/>
      <c r="J47" s="2063"/>
      <c r="K47" s="2063"/>
      <c r="L47" s="2063"/>
      <c r="M47" s="2063"/>
      <c r="N47" s="2060" t="s">
        <v>669</v>
      </c>
      <c r="O47" s="2061"/>
      <c r="P47" s="2062"/>
    </row>
  </sheetData>
  <sheetProtection password="B984" sheet="1" formatColumns="0" selectLockedCells="1"/>
  <mergeCells count="161">
    <mergeCell ref="A47:C47"/>
    <mergeCell ref="O43:P43"/>
    <mergeCell ref="B44:H44"/>
    <mergeCell ref="I44:L44"/>
    <mergeCell ref="M44:N44"/>
    <mergeCell ref="O44:P44"/>
    <mergeCell ref="B45:J45"/>
    <mergeCell ref="K45:L45"/>
    <mergeCell ref="N45:O45"/>
    <mergeCell ref="N47:P47"/>
    <mergeCell ref="I47:M47"/>
    <mergeCell ref="D47:H47"/>
    <mergeCell ref="B40:J40"/>
    <mergeCell ref="K40:L40"/>
    <mergeCell ref="N40:O40"/>
    <mergeCell ref="B42:H43"/>
    <mergeCell ref="I42:J42"/>
    <mergeCell ref="K42:L42"/>
    <mergeCell ref="M42:P42"/>
    <mergeCell ref="I43:J43"/>
    <mergeCell ref="K43:L43"/>
    <mergeCell ref="M43:N43"/>
    <mergeCell ref="B38:J38"/>
    <mergeCell ref="K38:L38"/>
    <mergeCell ref="M38:N38"/>
    <mergeCell ref="I39:L39"/>
    <mergeCell ref="M39:N39"/>
    <mergeCell ref="O39:P39"/>
    <mergeCell ref="B35:J35"/>
    <mergeCell ref="K35:L35"/>
    <mergeCell ref="M35:N35"/>
    <mergeCell ref="O35:P38"/>
    <mergeCell ref="B36:J36"/>
    <mergeCell ref="K36:L36"/>
    <mergeCell ref="M36:N36"/>
    <mergeCell ref="B37:J37"/>
    <mergeCell ref="K37:L37"/>
    <mergeCell ref="M37:N37"/>
    <mergeCell ref="B33:G33"/>
    <mergeCell ref="H33:N33"/>
    <mergeCell ref="O33:P33"/>
    <mergeCell ref="B34:G34"/>
    <mergeCell ref="H34:J34"/>
    <mergeCell ref="K34:L34"/>
    <mergeCell ref="M34:N34"/>
    <mergeCell ref="O34:P34"/>
    <mergeCell ref="B31:G31"/>
    <mergeCell ref="H31:J31"/>
    <mergeCell ref="K31:L31"/>
    <mergeCell ref="M31:N31"/>
    <mergeCell ref="O31:P31"/>
    <mergeCell ref="B32:G32"/>
    <mergeCell ref="H32:J32"/>
    <mergeCell ref="K32:L32"/>
    <mergeCell ref="M32:N32"/>
    <mergeCell ref="O32:P32"/>
    <mergeCell ref="B28:G28"/>
    <mergeCell ref="H28:M28"/>
    <mergeCell ref="O28:P28"/>
    <mergeCell ref="B29:N29"/>
    <mergeCell ref="O29:P29"/>
    <mergeCell ref="B30:G30"/>
    <mergeCell ref="H30:J30"/>
    <mergeCell ref="K30:L30"/>
    <mergeCell ref="M30:N30"/>
    <mergeCell ref="O30:P30"/>
    <mergeCell ref="B26:G26"/>
    <mergeCell ref="H26:J26"/>
    <mergeCell ref="K26:L26"/>
    <mergeCell ref="M26:N26"/>
    <mergeCell ref="O26:P26"/>
    <mergeCell ref="B27:N27"/>
    <mergeCell ref="O27:P27"/>
    <mergeCell ref="B24:G24"/>
    <mergeCell ref="H24:J24"/>
    <mergeCell ref="K24:L24"/>
    <mergeCell ref="M24:N24"/>
    <mergeCell ref="O24:P24"/>
    <mergeCell ref="B25:G25"/>
    <mergeCell ref="H25:J25"/>
    <mergeCell ref="K25:L25"/>
    <mergeCell ref="M25:N25"/>
    <mergeCell ref="O25:P25"/>
    <mergeCell ref="B22:G22"/>
    <mergeCell ref="H22:J22"/>
    <mergeCell ref="K22:L22"/>
    <mergeCell ref="M22:N22"/>
    <mergeCell ref="O22:P22"/>
    <mergeCell ref="B23:G23"/>
    <mergeCell ref="H23:M23"/>
    <mergeCell ref="O23:P23"/>
    <mergeCell ref="I19:J19"/>
    <mergeCell ref="K19:O19"/>
    <mergeCell ref="B20:L20"/>
    <mergeCell ref="M20:N20"/>
    <mergeCell ref="O20:P20"/>
    <mergeCell ref="H21:N21"/>
    <mergeCell ref="O21:P21"/>
    <mergeCell ref="B17:E17"/>
    <mergeCell ref="F17:G17"/>
    <mergeCell ref="I17:J17"/>
    <mergeCell ref="K17:N17"/>
    <mergeCell ref="B18:E18"/>
    <mergeCell ref="F18:G18"/>
    <mergeCell ref="I18:J18"/>
    <mergeCell ref="K18:N18"/>
    <mergeCell ref="B15:E15"/>
    <mergeCell ref="F15:G15"/>
    <mergeCell ref="I15:J15"/>
    <mergeCell ref="K15:N15"/>
    <mergeCell ref="B16:E16"/>
    <mergeCell ref="F16:G16"/>
    <mergeCell ref="I16:J16"/>
    <mergeCell ref="K16:N16"/>
    <mergeCell ref="B13:E13"/>
    <mergeCell ref="F13:G13"/>
    <mergeCell ref="I13:J13"/>
    <mergeCell ref="K13:N13"/>
    <mergeCell ref="B14:E14"/>
    <mergeCell ref="F14:G14"/>
    <mergeCell ref="I14:J14"/>
    <mergeCell ref="K14:N14"/>
    <mergeCell ref="B11:E11"/>
    <mergeCell ref="F11:G11"/>
    <mergeCell ref="I11:J11"/>
    <mergeCell ref="K11:N11"/>
    <mergeCell ref="B12:E12"/>
    <mergeCell ref="F12:G12"/>
    <mergeCell ref="I12:J12"/>
    <mergeCell ref="K12:N12"/>
    <mergeCell ref="B1:E1"/>
    <mergeCell ref="G1:P1"/>
    <mergeCell ref="B9:E9"/>
    <mergeCell ref="F9:G9"/>
    <mergeCell ref="I9:J9"/>
    <mergeCell ref="K9:O9"/>
    <mergeCell ref="B10:E10"/>
    <mergeCell ref="F10:G10"/>
    <mergeCell ref="I10:J10"/>
    <mergeCell ref="K10:N10"/>
    <mergeCell ref="B7:E7"/>
    <mergeCell ref="F7:I7"/>
    <mergeCell ref="K7:P7"/>
    <mergeCell ref="B8:L8"/>
    <mergeCell ref="M8:N8"/>
    <mergeCell ref="O8:P8"/>
    <mergeCell ref="A2:A8"/>
    <mergeCell ref="B2:E3"/>
    <mergeCell ref="F2:J3"/>
    <mergeCell ref="K2:P2"/>
    <mergeCell ref="K3:P3"/>
    <mergeCell ref="C4:E4"/>
    <mergeCell ref="G4:J4"/>
    <mergeCell ref="K4:P4"/>
    <mergeCell ref="B5:D5"/>
    <mergeCell ref="F5:I5"/>
    <mergeCell ref="K5:P5"/>
    <mergeCell ref="B6:D6"/>
    <mergeCell ref="F6:I6"/>
    <mergeCell ref="K6:L6"/>
    <mergeCell ref="M6:P6"/>
  </mergeCells>
  <conditionalFormatting sqref="F5:I5">
    <cfRule type="expression" dxfId="21" priority="10">
      <formula>$J$5="X"</formula>
    </cfRule>
  </conditionalFormatting>
  <conditionalFormatting sqref="F6:I6">
    <cfRule type="expression" dxfId="20" priority="9">
      <formula>$J$6="X"</formula>
    </cfRule>
  </conditionalFormatting>
  <conditionalFormatting sqref="B5:D5">
    <cfRule type="expression" dxfId="19" priority="8">
      <formula>$E$5="X"</formula>
    </cfRule>
  </conditionalFormatting>
  <conditionalFormatting sqref="B6:D6">
    <cfRule type="expression" dxfId="18" priority="7">
      <formula>$E$6="X"</formula>
    </cfRule>
  </conditionalFormatting>
  <conditionalFormatting sqref="N45:O45 N40:O40 K3:P5">
    <cfRule type="expression" dxfId="17" priority="6">
      <formula>OR(_OK?&lt;&gt;"OK!",_OK_KV?&lt;&gt;"OK_KV!")</formula>
    </cfRule>
  </conditionalFormatting>
  <conditionalFormatting sqref="B36:J38">
    <cfRule type="expression" dxfId="16" priority="5">
      <formula>$B36=0</formula>
    </cfRule>
  </conditionalFormatting>
  <conditionalFormatting sqref="I19:J19 O21:P21 D47:H47">
    <cfRule type="expression" dxfId="15" priority="4">
      <formula>_OK?&lt;&gt;"OK!"</formula>
    </cfRule>
  </conditionalFormatting>
  <conditionalFormatting sqref="N40:O40 N45:O45">
    <cfRule type="expression" dxfId="14" priority="3">
      <formula>_OK?&lt;&gt;"OK!"</formula>
    </cfRule>
  </conditionalFormatting>
  <pageMargins left="0.59055118110236227" right="0.19685039370078741" top="0.59055118110236227" bottom="0.19685039370078741" header="0.19685039370078741" footer="0.11811023622047245"/>
  <pageSetup paperSize="9" orientation="portrait" r:id="rId1"/>
  <headerFooter>
    <oddFooter>&amp;L&amp;10K2-Blatt
Seite: &amp;P&amp;R&amp;10&amp;F</oddFooter>
  </headerFooter>
  <extLst>
    <ext xmlns:x14="http://schemas.microsoft.com/office/spreadsheetml/2009/9/main" uri="{78C0D931-6437-407d-A8EE-F0AAD7539E65}">
      <x14:conditionalFormattings>
        <x14:conditionalFormatting xmlns:xm="http://schemas.microsoft.com/office/excel/2006/main">
          <x14:cfRule type="expression" priority="2" id="{526A2510-74C5-40D6-B379-B8A19924E4C5}">
            <xm:f>Projekt!$F$273="Nein"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1" id="{EB85AE38-C245-494D-B629-742E8E1BE2FC}">
            <xm:f>Projekt!$F$273="Nein"</xm:f>
            <x14:dxf>
              <border>
                <top style="thin">
                  <color theme="0"/>
                </top>
                <bottom style="thin">
                  <color theme="0"/>
                </bottom>
                <vertical/>
                <horizontal/>
              </border>
            </x14:dxf>
          </x14:cfRule>
          <xm:sqref>K25:L26</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B32F8-D2C3-4A0C-B72D-11701DE3C989}">
  <sheetPr>
    <tabColor theme="4" tint="0.59999389629810485"/>
  </sheetPr>
  <dimension ref="A1:P47"/>
  <sheetViews>
    <sheetView showGridLines="0" topLeftCell="A24" zoomScaleNormal="100" workbookViewId="0">
      <selection activeCell="I47" sqref="I47:M47"/>
    </sheetView>
  </sheetViews>
  <sheetFormatPr baseColWidth="10" defaultRowHeight="15" x14ac:dyDescent="0.4"/>
  <cols>
    <col min="1" max="1" width="2.44140625" style="43" customWidth="1"/>
    <col min="2" max="5" width="4.44140625" customWidth="1"/>
    <col min="6" max="7" width="4.5546875" customWidth="1"/>
    <col min="8" max="8" width="5.5546875" customWidth="1"/>
    <col min="9" max="14" width="4.5546875" customWidth="1"/>
    <col min="15" max="16" width="5.33203125" customWidth="1"/>
  </cols>
  <sheetData>
    <row r="1" spans="1:16" ht="18" x14ac:dyDescent="0.55000000000000004">
      <c r="A1" s="206" t="s">
        <v>30</v>
      </c>
      <c r="B1" s="2194" t="s">
        <v>31</v>
      </c>
      <c r="C1" s="2194"/>
      <c r="D1" s="2194"/>
      <c r="E1" s="2194"/>
      <c r="F1" s="231" t="s">
        <v>310</v>
      </c>
      <c r="G1" s="2321" t="str">
        <f>Projekt!D10</f>
        <v>Musterprojekt Malerhandbuch 2022</v>
      </c>
      <c r="H1" s="2321"/>
      <c r="I1" s="2321"/>
      <c r="J1" s="2321"/>
      <c r="K1" s="2321"/>
      <c r="L1" s="2321"/>
      <c r="M1" s="2321"/>
      <c r="N1" s="2321"/>
      <c r="O1" s="2321"/>
      <c r="P1" s="2322"/>
    </row>
    <row r="2" spans="1:16" x14ac:dyDescent="0.4">
      <c r="A2" s="2305"/>
      <c r="B2" s="2128" t="s">
        <v>70</v>
      </c>
      <c r="C2" s="2129"/>
      <c r="D2" s="2129"/>
      <c r="E2" s="2129"/>
      <c r="F2" s="2307" t="str">
        <f>Projekt!D508</f>
        <v>Regiepartie - Monteur + Helfer</v>
      </c>
      <c r="G2" s="2307"/>
      <c r="H2" s="2307"/>
      <c r="I2" s="2307"/>
      <c r="J2" s="2308"/>
      <c r="K2" s="2080" t="s">
        <v>33</v>
      </c>
      <c r="L2" s="2081"/>
      <c r="M2" s="2081"/>
      <c r="N2" s="2081"/>
      <c r="O2" s="2081"/>
      <c r="P2" s="2116"/>
    </row>
    <row r="3" spans="1:16" x14ac:dyDescent="0.4">
      <c r="A3" s="2306"/>
      <c r="B3" s="2130"/>
      <c r="C3" s="2131"/>
      <c r="D3" s="2131"/>
      <c r="E3" s="2131"/>
      <c r="F3" s="2309"/>
      <c r="G3" s="2309"/>
      <c r="H3" s="2309"/>
      <c r="I3" s="2309"/>
      <c r="J3" s="2310"/>
      <c r="K3" s="2107" t="str">
        <f ca="1">Projekt!D7</f>
        <v>Malerhandbuch 2022</v>
      </c>
      <c r="L3" s="2108"/>
      <c r="M3" s="2108"/>
      <c r="N3" s="2108"/>
      <c r="O3" s="2108"/>
      <c r="P3" s="2109"/>
    </row>
    <row r="4" spans="1:16" x14ac:dyDescent="0.4">
      <c r="A4" s="2306"/>
      <c r="B4" s="849" t="s">
        <v>266</v>
      </c>
      <c r="C4" s="2311" t="str">
        <f>Projekt!B14</f>
        <v>Gz-Uxx</v>
      </c>
      <c r="D4" s="2311"/>
      <c r="E4" s="2312"/>
      <c r="F4" s="849" t="s">
        <v>267</v>
      </c>
      <c r="G4" s="2313" t="str">
        <f>Projekt!B15</f>
        <v>AG-NNN</v>
      </c>
      <c r="H4" s="2313"/>
      <c r="I4" s="2313"/>
      <c r="J4" s="2314"/>
      <c r="K4" s="2145" t="str">
        <f>IF(Projekt!D8&lt;&gt;0,Projekt!D8,"")</f>
        <v>Musterkalkulation</v>
      </c>
      <c r="L4" s="2146"/>
      <c r="M4" s="2146"/>
      <c r="N4" s="2146"/>
      <c r="O4" s="2146"/>
      <c r="P4" s="2147"/>
    </row>
    <row r="5" spans="1:16" x14ac:dyDescent="0.4">
      <c r="A5" s="2306"/>
      <c r="B5" s="2148" t="s">
        <v>34</v>
      </c>
      <c r="C5" s="2105"/>
      <c r="D5" s="2105"/>
      <c r="E5" s="9" t="str">
        <f>IF(Projekt!C$18=Projekt!F$18,"X","-")</f>
        <v>X</v>
      </c>
      <c r="F5" s="2149" t="s">
        <v>2</v>
      </c>
      <c r="G5" s="2149"/>
      <c r="H5" s="2149"/>
      <c r="I5" s="2149"/>
      <c r="J5" s="246" t="str">
        <f>IF(Projekt!C$19=Projekt!F$19,"X","-")</f>
        <v>X</v>
      </c>
      <c r="K5" s="2145" t="str">
        <f>IF(Projekt!D9&lt;&gt;0,Projekt!D9,"")</f>
        <v/>
      </c>
      <c r="L5" s="2146"/>
      <c r="M5" s="2146"/>
      <c r="N5" s="2146"/>
      <c r="O5" s="2146"/>
      <c r="P5" s="2147"/>
    </row>
    <row r="6" spans="1:16" x14ac:dyDescent="0.4">
      <c r="A6" s="2306"/>
      <c r="B6" s="1587" t="s">
        <v>35</v>
      </c>
      <c r="C6" s="2138"/>
      <c r="D6" s="2138"/>
      <c r="E6" s="247" t="str">
        <f>IF(Projekt!C$18=Projekt!G$18,"X","-")</f>
        <v>-</v>
      </c>
      <c r="F6" s="2080" t="s">
        <v>3</v>
      </c>
      <c r="G6" s="2081"/>
      <c r="H6" s="2081"/>
      <c r="I6" s="2081"/>
      <c r="J6" s="10" t="str">
        <f>IF(Projekt!C$19=Projekt!G$19,"X","-")</f>
        <v>-</v>
      </c>
      <c r="K6" s="2149" t="s">
        <v>1</v>
      </c>
      <c r="L6" s="2149"/>
      <c r="M6" s="2319">
        <f>Projekt!F14</f>
        <v>44686</v>
      </c>
      <c r="N6" s="2319"/>
      <c r="O6" s="2319"/>
      <c r="P6" s="2320"/>
    </row>
    <row r="7" spans="1:16" x14ac:dyDescent="0.4">
      <c r="A7" s="2306"/>
      <c r="B7" s="2165" t="s">
        <v>184</v>
      </c>
      <c r="C7" s="2166"/>
      <c r="D7" s="2166"/>
      <c r="E7" s="2166"/>
      <c r="F7" s="2315" t="s">
        <v>36</v>
      </c>
      <c r="G7" s="2316"/>
      <c r="H7" s="2316"/>
      <c r="I7" s="2316"/>
      <c r="J7" s="245" t="s">
        <v>9</v>
      </c>
      <c r="K7" s="2143" t="s">
        <v>237</v>
      </c>
      <c r="L7" s="2143"/>
      <c r="M7" s="2143"/>
      <c r="N7" s="2143"/>
      <c r="O7" s="2143"/>
      <c r="P7" s="2144"/>
    </row>
    <row r="8" spans="1:16" ht="15.4" thickBot="1" x14ac:dyDescent="0.45">
      <c r="A8" s="2306"/>
      <c r="B8" s="2323" t="str">
        <f ca="1">Stammdaten!B3</f>
        <v>KollV MALER-, LACKIERER-, SCHILDERHERST.GEWERBE</v>
      </c>
      <c r="C8" s="2324"/>
      <c r="D8" s="2324"/>
      <c r="E8" s="2324"/>
      <c r="F8" s="2324"/>
      <c r="G8" s="2324"/>
      <c r="H8" s="2324"/>
      <c r="I8" s="2324"/>
      <c r="J8" s="2324"/>
      <c r="K8" s="2324"/>
      <c r="L8" s="2325"/>
      <c r="M8" s="2117" t="s">
        <v>37</v>
      </c>
      <c r="N8" s="2118"/>
      <c r="O8" s="2317">
        <f ca="1">Stammdaten!B4</f>
        <v>44682</v>
      </c>
      <c r="P8" s="2318"/>
    </row>
    <row r="9" spans="1:16" x14ac:dyDescent="0.4">
      <c r="A9" s="158">
        <v>1</v>
      </c>
      <c r="B9" s="2101" t="s">
        <v>142</v>
      </c>
      <c r="C9" s="2102"/>
      <c r="D9" s="2102"/>
      <c r="E9" s="2150"/>
      <c r="F9" s="2182" t="s">
        <v>143</v>
      </c>
      <c r="G9" s="2351"/>
      <c r="H9" s="850" t="s">
        <v>630</v>
      </c>
      <c r="I9" s="2195" t="s">
        <v>631</v>
      </c>
      <c r="J9" s="2196"/>
      <c r="K9" s="2197" t="s">
        <v>144</v>
      </c>
      <c r="L9" s="2197"/>
      <c r="M9" s="2197"/>
      <c r="N9" s="2197"/>
      <c r="O9" s="2197"/>
      <c r="P9" s="39">
        <f ca="1">Projekt!C152</f>
        <v>39</v>
      </c>
    </row>
    <row r="10" spans="1:16" x14ac:dyDescent="0.4">
      <c r="A10" s="64" t="s">
        <v>40</v>
      </c>
      <c r="B10" s="2352" t="s">
        <v>635</v>
      </c>
      <c r="C10" s="2352"/>
      <c r="D10" s="2352"/>
      <c r="E10" s="2352"/>
      <c r="F10" s="2274" t="str">
        <f ca="1">IFERROR((VLOOKUP(B10,Stammdaten!A$7:D$33,4,FALSE)),"")</f>
        <v/>
      </c>
      <c r="G10" s="2275"/>
      <c r="H10" s="871"/>
      <c r="I10" s="2267" t="str">
        <f ca="1">IF(PRODUCT(F10,H10)=0,"",F10*H10)</f>
        <v/>
      </c>
      <c r="J10" s="2268"/>
      <c r="K10" s="2142" t="s">
        <v>246</v>
      </c>
      <c r="L10" s="2142"/>
      <c r="M10" s="2142"/>
      <c r="N10" s="2302"/>
      <c r="O10" s="851" t="s">
        <v>41</v>
      </c>
      <c r="P10" s="8" t="s">
        <v>23</v>
      </c>
    </row>
    <row r="11" spans="1:16" x14ac:dyDescent="0.4">
      <c r="A11" s="64" t="s">
        <v>42</v>
      </c>
      <c r="B11" s="2353" t="str">
        <f>IFERROR(Projekt!A511,"")</f>
        <v>LG 2 Qualifizierter Facharbeiter</v>
      </c>
      <c r="C11" s="2353"/>
      <c r="D11" s="2353"/>
      <c r="E11" s="2353"/>
      <c r="F11" s="2267" t="str">
        <f ca="1">IFERROR((VLOOKUP(B11,Stammdaten!A$7:D$33,4,FALSE)),"")</f>
        <v/>
      </c>
      <c r="G11" s="2268"/>
      <c r="H11" s="870">
        <f>Projekt!E511</f>
        <v>1</v>
      </c>
      <c r="I11" s="2267" t="e">
        <f t="shared" ref="I11" ca="1" si="0">IF(PRODUCT(F11,H11)=0,"",F11*H11)</f>
        <v>#VALUE!</v>
      </c>
      <c r="J11" s="2268"/>
      <c r="K11" s="2326" t="str">
        <f>IF(Projekt!F536=1,Projekt!B537,"Regiestunde")</f>
        <v>Überstunde 50%</v>
      </c>
      <c r="L11" s="2327"/>
      <c r="M11" s="2327"/>
      <c r="N11" s="2327"/>
      <c r="O11" s="445">
        <f ca="1">IF(Projekt!F536=1,Projekt!E537,"")</f>
        <v>0.5</v>
      </c>
      <c r="P11" s="446">
        <v>1</v>
      </c>
    </row>
    <row r="12" spans="1:16" x14ac:dyDescent="0.4">
      <c r="A12" s="64" t="s">
        <v>43</v>
      </c>
      <c r="B12" s="2353" t="str">
        <f>IFERROR(Projekt!A512,"")</f>
        <v>LG 5 Qualifizierter Arbeitnehmer</v>
      </c>
      <c r="C12" s="2353"/>
      <c r="D12" s="2353"/>
      <c r="E12" s="2353"/>
      <c r="F12" s="2267" t="str">
        <f ca="1">IFERROR((VLOOKUP(B12,Stammdaten!A$7:D$33,4,FALSE)),"")</f>
        <v/>
      </c>
      <c r="G12" s="2268"/>
      <c r="H12" s="870">
        <f>Projekt!E512</f>
        <v>1</v>
      </c>
      <c r="I12" s="2267" t="e">
        <f t="shared" ref="I12:I14" ca="1" si="1">IF(PRODUCT(F12,H12)=0,"",F12*H12)</f>
        <v>#VALUE!</v>
      </c>
      <c r="J12" s="2268"/>
      <c r="K12" s="2328" t="str">
        <f>IF(Projekt!F540=1,Projekt!B541,IF(Projekt!F544=1,Projekt!B545,""))</f>
        <v>Nachtarbeiteit, 22-6 Uhr</v>
      </c>
      <c r="L12" s="2329"/>
      <c r="M12" s="2329"/>
      <c r="N12" s="2330"/>
      <c r="O12" s="447" t="str">
        <f>IF(Projekt!F540=1,Projekt!E541,"")</f>
        <v/>
      </c>
      <c r="P12" s="448"/>
    </row>
    <row r="13" spans="1:16" x14ac:dyDescent="0.4">
      <c r="A13" s="64" t="s">
        <v>44</v>
      </c>
      <c r="B13" s="2353">
        <f>IFERROR(Projekt!A513,"")</f>
        <v>0</v>
      </c>
      <c r="C13" s="2353"/>
      <c r="D13" s="2353"/>
      <c r="E13" s="2353"/>
      <c r="F13" s="2267">
        <f ca="1">IFERROR((VLOOKUP(B13,Stammdaten!A$7:D$33,4,FALSE)),"")</f>
        <v>0</v>
      </c>
      <c r="G13" s="2268"/>
      <c r="H13" s="870">
        <f>Projekt!E513</f>
        <v>0</v>
      </c>
      <c r="I13" s="2267" t="str">
        <f t="shared" ca="1" si="1"/>
        <v/>
      </c>
      <c r="J13" s="2268"/>
      <c r="K13" s="2294"/>
      <c r="L13" s="2294"/>
      <c r="M13" s="2294"/>
      <c r="N13" s="2295"/>
      <c r="O13" s="45"/>
      <c r="P13" s="46"/>
    </row>
    <row r="14" spans="1:16" x14ac:dyDescent="0.4">
      <c r="A14" s="64" t="s">
        <v>45</v>
      </c>
      <c r="B14" s="2353">
        <f>IFERROR(Projekt!A514,"")</f>
        <v>0</v>
      </c>
      <c r="C14" s="2353"/>
      <c r="D14" s="2353"/>
      <c r="E14" s="2353"/>
      <c r="F14" s="2267">
        <f ca="1">IFERROR((VLOOKUP(B14,Stammdaten!A$7:D$33,4,FALSE)),"")</f>
        <v>0</v>
      </c>
      <c r="G14" s="2268"/>
      <c r="H14" s="870">
        <f>Projekt!E514</f>
        <v>0</v>
      </c>
      <c r="I14" s="2267" t="str">
        <f t="shared" ca="1" si="1"/>
        <v/>
      </c>
      <c r="J14" s="2268"/>
      <c r="K14" s="2294"/>
      <c r="L14" s="2294"/>
      <c r="M14" s="2294"/>
      <c r="N14" s="2295"/>
      <c r="O14" s="45"/>
      <c r="P14" s="46"/>
    </row>
    <row r="15" spans="1:16" x14ac:dyDescent="0.4">
      <c r="A15" s="64" t="s">
        <v>46</v>
      </c>
      <c r="B15" s="2287"/>
      <c r="C15" s="2287"/>
      <c r="D15" s="2287"/>
      <c r="E15" s="2287"/>
      <c r="F15" s="2290"/>
      <c r="G15" s="2291"/>
      <c r="H15" s="872"/>
      <c r="I15" s="2290"/>
      <c r="J15" s="2291"/>
      <c r="K15" s="2294"/>
      <c r="L15" s="2294"/>
      <c r="M15" s="2294"/>
      <c r="N15" s="2295"/>
      <c r="O15" s="45"/>
      <c r="P15" s="46"/>
    </row>
    <row r="16" spans="1:16" x14ac:dyDescent="0.4">
      <c r="A16" s="64" t="s">
        <v>47</v>
      </c>
      <c r="B16" s="2287"/>
      <c r="C16" s="2287"/>
      <c r="D16" s="2287"/>
      <c r="E16" s="2287"/>
      <c r="F16" s="2290"/>
      <c r="G16" s="2291"/>
      <c r="H16" s="872"/>
      <c r="I16" s="2290"/>
      <c r="J16" s="2291"/>
      <c r="K16" s="2292"/>
      <c r="L16" s="2292"/>
      <c r="M16" s="2292"/>
      <c r="N16" s="2293"/>
      <c r="O16" s="47"/>
      <c r="P16" s="48"/>
    </row>
    <row r="17" spans="1:16" x14ac:dyDescent="0.4">
      <c r="A17" s="64" t="s">
        <v>48</v>
      </c>
      <c r="B17" s="2287"/>
      <c r="C17" s="2287"/>
      <c r="D17" s="2287"/>
      <c r="E17" s="2287"/>
      <c r="F17" s="2290"/>
      <c r="G17" s="2291"/>
      <c r="H17" s="872"/>
      <c r="I17" s="2290"/>
      <c r="J17" s="2291"/>
      <c r="K17" s="2292"/>
      <c r="L17" s="2292"/>
      <c r="M17" s="2292"/>
      <c r="N17" s="2293"/>
      <c r="O17" s="47"/>
      <c r="P17" s="48"/>
    </row>
    <row r="18" spans="1:16" ht="15.4" thickBot="1" x14ac:dyDescent="0.45">
      <c r="A18" s="64" t="s">
        <v>49</v>
      </c>
      <c r="B18" s="2278"/>
      <c r="C18" s="2279"/>
      <c r="D18" s="2279"/>
      <c r="E18" s="2279"/>
      <c r="F18" s="2282"/>
      <c r="G18" s="2283"/>
      <c r="H18" s="873"/>
      <c r="I18" s="2282"/>
      <c r="J18" s="2283"/>
      <c r="K18" s="2284"/>
      <c r="L18" s="2284"/>
      <c r="M18" s="2284"/>
      <c r="N18" s="2285"/>
      <c r="O18" s="50"/>
      <c r="P18" s="51"/>
    </row>
    <row r="19" spans="1:16" ht="15.4" thickBot="1" x14ac:dyDescent="0.45">
      <c r="A19" s="64">
        <v>2</v>
      </c>
      <c r="B19" s="226" t="s">
        <v>632</v>
      </c>
      <c r="C19" s="37"/>
      <c r="D19" s="38"/>
      <c r="E19" s="38"/>
      <c r="F19" s="38"/>
      <c r="G19" s="38"/>
      <c r="H19" s="874">
        <f>SUM(H10:H18)</f>
        <v>2</v>
      </c>
      <c r="I19" s="2170" t="e">
        <f ca="1">IF(AND(_OK?="OK!",_OK_KV?="OK_KV!"),SUM(I10:J18),Projekt!G512*2)</f>
        <v>#VALUE!</v>
      </c>
      <c r="J19" s="2171"/>
      <c r="K19" s="2286" t="s">
        <v>248</v>
      </c>
      <c r="L19" s="2286"/>
      <c r="M19" s="2286"/>
      <c r="N19" s="2286"/>
      <c r="O19" s="2286"/>
      <c r="P19" s="33">
        <f>Projekt!H535</f>
        <v>1</v>
      </c>
    </row>
    <row r="20" spans="1:16" x14ac:dyDescent="0.4">
      <c r="A20" s="64"/>
      <c r="B20" s="2166"/>
      <c r="C20" s="2166"/>
      <c r="D20" s="2166"/>
      <c r="E20" s="2166"/>
      <c r="F20" s="2166"/>
      <c r="G20" s="2166"/>
      <c r="H20" s="2166"/>
      <c r="I20" s="2166"/>
      <c r="J20" s="2166"/>
      <c r="K20" s="2166"/>
      <c r="L20" s="2167"/>
      <c r="M20" s="2158" t="s">
        <v>10</v>
      </c>
      <c r="N20" s="2159"/>
      <c r="O20" s="2160" t="s">
        <v>11</v>
      </c>
      <c r="P20" s="2159"/>
    </row>
    <row r="21" spans="1:16" x14ac:dyDescent="0.4">
      <c r="A21" s="64">
        <v>3</v>
      </c>
      <c r="B21" s="322" t="s">
        <v>50</v>
      </c>
      <c r="C21" s="323"/>
      <c r="D21" s="323"/>
      <c r="E21" s="323"/>
      <c r="F21" s="323"/>
      <c r="G21" s="323"/>
      <c r="H21" s="2276"/>
      <c r="I21" s="2276"/>
      <c r="J21" s="2276"/>
      <c r="K21" s="2276"/>
      <c r="L21" s="2276"/>
      <c r="M21" s="2276"/>
      <c r="N21" s="2277"/>
      <c r="O21" s="2337" t="e">
        <f ca="1">I19/H19</f>
        <v>#VALUE!</v>
      </c>
      <c r="P21" s="2338"/>
    </row>
    <row r="22" spans="1:16" ht="15.4" thickBot="1" x14ac:dyDescent="0.45">
      <c r="A22" s="64">
        <v>4</v>
      </c>
      <c r="B22" s="2184" t="s">
        <v>51</v>
      </c>
      <c r="C22" s="2185"/>
      <c r="D22" s="2185"/>
      <c r="E22" s="2185"/>
      <c r="F22" s="2185"/>
      <c r="G22" s="2185"/>
      <c r="H22" s="2177" t="s">
        <v>52</v>
      </c>
      <c r="I22" s="2177"/>
      <c r="J22" s="2178"/>
      <c r="K22" s="2331" t="e">
        <f ca="1">Projekt!G527</f>
        <v>#DIV/0!</v>
      </c>
      <c r="L22" s="2332"/>
      <c r="M22" s="2186"/>
      <c r="N22" s="2187"/>
      <c r="O22" s="2333" t="e">
        <f ca="1">K22*O21</f>
        <v>#DIV/0!</v>
      </c>
      <c r="P22" s="2334"/>
    </row>
    <row r="23" spans="1:16" x14ac:dyDescent="0.4">
      <c r="A23" s="64">
        <v>5</v>
      </c>
      <c r="B23" s="2094" t="s">
        <v>247</v>
      </c>
      <c r="C23" s="2095"/>
      <c r="D23" s="2095"/>
      <c r="E23" s="2095"/>
      <c r="F23" s="2095"/>
      <c r="G23" s="2095"/>
      <c r="H23" s="2273" t="s">
        <v>300</v>
      </c>
      <c r="I23" s="2180"/>
      <c r="J23" s="2180"/>
      <c r="K23" s="2180"/>
      <c r="L23" s="2180"/>
      <c r="M23" s="2180"/>
      <c r="N23" s="325"/>
      <c r="O23" s="2335" t="e">
        <f ca="1">SUM(O21:O22)</f>
        <v>#VALUE!</v>
      </c>
      <c r="P23" s="2336"/>
    </row>
    <row r="24" spans="1:16" x14ac:dyDescent="0.4">
      <c r="A24" s="64">
        <v>6</v>
      </c>
      <c r="B24" s="2081" t="s">
        <v>145</v>
      </c>
      <c r="C24" s="2081"/>
      <c r="D24" s="2081"/>
      <c r="E24" s="2081"/>
      <c r="F24" s="2081"/>
      <c r="G24" s="2081"/>
      <c r="H24" s="2084" t="s">
        <v>110</v>
      </c>
      <c r="I24" s="2084"/>
      <c r="J24" s="2085"/>
      <c r="K24" s="2341" t="e">
        <f ca="1">Projekt!H527</f>
        <v>#DIV/0!</v>
      </c>
      <c r="L24" s="2342"/>
      <c r="M24" s="2182"/>
      <c r="N24" s="2183"/>
      <c r="O24" s="2267" t="e">
        <f ca="1">K24*O23</f>
        <v>#DIV/0!</v>
      </c>
      <c r="P24" s="2268"/>
    </row>
    <row r="25" spans="1:16" x14ac:dyDescent="0.4">
      <c r="A25" s="64">
        <v>7</v>
      </c>
      <c r="B25" s="2081" t="s">
        <v>212</v>
      </c>
      <c r="C25" s="2081"/>
      <c r="D25" s="2081"/>
      <c r="E25" s="2081"/>
      <c r="F25" s="2081"/>
      <c r="G25" s="2081"/>
      <c r="H25" s="2084" t="s">
        <v>110</v>
      </c>
      <c r="I25" s="2084"/>
      <c r="J25" s="2085"/>
      <c r="K25" s="2339">
        <f>Projekt!H534</f>
        <v>0</v>
      </c>
      <c r="L25" s="2340"/>
      <c r="M25" s="2182"/>
      <c r="N25" s="2183"/>
      <c r="O25" s="2267" t="e">
        <f ca="1">K25*O23</f>
        <v>#VALUE!</v>
      </c>
      <c r="P25" s="2268"/>
    </row>
    <row r="26" spans="1:16" x14ac:dyDescent="0.4">
      <c r="A26" s="64">
        <v>8</v>
      </c>
      <c r="B26" s="2081" t="s">
        <v>81</v>
      </c>
      <c r="C26" s="2081"/>
      <c r="D26" s="2081"/>
      <c r="E26" s="2081"/>
      <c r="F26" s="2081"/>
      <c r="G26" s="2081"/>
      <c r="H26" s="2084" t="s">
        <v>110</v>
      </c>
      <c r="I26" s="2084"/>
      <c r="J26" s="2085"/>
      <c r="K26" s="2339" t="e">
        <f ca="1">Projekt!H546</f>
        <v>#VALUE!</v>
      </c>
      <c r="L26" s="2340"/>
      <c r="M26" s="2182"/>
      <c r="N26" s="2183"/>
      <c r="O26" s="2267" t="e">
        <f ca="1">K26*O23</f>
        <v>#VALUE!</v>
      </c>
      <c r="P26" s="2268"/>
    </row>
    <row r="27" spans="1:16" ht="15.4" thickBot="1" x14ac:dyDescent="0.45">
      <c r="A27" s="64">
        <v>9</v>
      </c>
      <c r="B27" s="2174" t="s">
        <v>137</v>
      </c>
      <c r="C27" s="2175"/>
      <c r="D27" s="2175"/>
      <c r="E27" s="2175"/>
      <c r="F27" s="2175"/>
      <c r="G27" s="2175"/>
      <c r="H27" s="2175"/>
      <c r="I27" s="2175"/>
      <c r="J27" s="2175"/>
      <c r="K27" s="2175"/>
      <c r="L27" s="2175"/>
      <c r="M27" s="2175"/>
      <c r="N27" s="2176"/>
      <c r="O27" s="2271">
        <f ca="1">Projekt!H547</f>
        <v>0.87</v>
      </c>
      <c r="P27" s="2272"/>
    </row>
    <row r="28" spans="1:16" x14ac:dyDescent="0.4">
      <c r="A28" s="64">
        <v>10</v>
      </c>
      <c r="B28" s="2094" t="s">
        <v>53</v>
      </c>
      <c r="C28" s="2095"/>
      <c r="D28" s="2095"/>
      <c r="E28" s="2095"/>
      <c r="F28" s="2095"/>
      <c r="G28" s="2095"/>
      <c r="H28" s="2273" t="s">
        <v>303</v>
      </c>
      <c r="I28" s="2180"/>
      <c r="J28" s="2180"/>
      <c r="K28" s="2180"/>
      <c r="L28" s="2180"/>
      <c r="M28" s="2180"/>
      <c r="N28" s="324"/>
      <c r="O28" s="2335" t="e">
        <f ca="1">SUM(O23:P27)</f>
        <v>#VALUE!</v>
      </c>
      <c r="P28" s="2336"/>
    </row>
    <row r="29" spans="1:16" x14ac:dyDescent="0.4">
      <c r="A29" s="64">
        <v>11</v>
      </c>
      <c r="B29" s="2097" t="s">
        <v>138</v>
      </c>
      <c r="C29" s="2097"/>
      <c r="D29" s="2097"/>
      <c r="E29" s="2097"/>
      <c r="F29" s="2097"/>
      <c r="G29" s="2097"/>
      <c r="H29" s="2097"/>
      <c r="I29" s="2097"/>
      <c r="J29" s="2097"/>
      <c r="K29" s="2097"/>
      <c r="L29" s="2097"/>
      <c r="M29" s="2097"/>
      <c r="N29" s="2097"/>
      <c r="O29" s="2267">
        <f ca="1">Projekt!H548</f>
        <v>0.83</v>
      </c>
      <c r="P29" s="2268"/>
    </row>
    <row r="30" spans="1:16" x14ac:dyDescent="0.4">
      <c r="A30" s="64">
        <v>12</v>
      </c>
      <c r="B30" s="2081" t="s">
        <v>54</v>
      </c>
      <c r="C30" s="2081"/>
      <c r="D30" s="2081"/>
      <c r="E30" s="2081"/>
      <c r="F30" s="2081"/>
      <c r="G30" s="2081"/>
      <c r="H30" s="2084" t="s">
        <v>55</v>
      </c>
      <c r="I30" s="2084"/>
      <c r="J30" s="2085"/>
      <c r="K30" s="2339">
        <f ca="1">Projekt!H549</f>
        <v>0.2994</v>
      </c>
      <c r="L30" s="2340"/>
      <c r="M30" s="2182"/>
      <c r="N30" s="2183"/>
      <c r="O30" s="2267" t="e">
        <f ca="1">K30*O28</f>
        <v>#VALUE!</v>
      </c>
      <c r="P30" s="2268"/>
    </row>
    <row r="31" spans="1:16" x14ac:dyDescent="0.4">
      <c r="A31" s="64">
        <v>13</v>
      </c>
      <c r="B31" s="2081" t="s">
        <v>56</v>
      </c>
      <c r="C31" s="2081"/>
      <c r="D31" s="2081"/>
      <c r="E31" s="2081"/>
      <c r="F31" s="2081"/>
      <c r="G31" s="2081"/>
      <c r="H31" s="2084" t="s">
        <v>55</v>
      </c>
      <c r="I31" s="2084"/>
      <c r="J31" s="2085"/>
      <c r="K31" s="2339">
        <f ca="1">Projekt!H550</f>
        <v>0.7</v>
      </c>
      <c r="L31" s="2340"/>
      <c r="M31" s="2182"/>
      <c r="N31" s="2183"/>
      <c r="O31" s="2267" t="e">
        <f ca="1">K31*O28</f>
        <v>#VALUE!</v>
      </c>
      <c r="P31" s="2268"/>
    </row>
    <row r="32" spans="1:16" ht="15.4" thickBot="1" x14ac:dyDescent="0.45">
      <c r="A32" s="64">
        <v>14</v>
      </c>
      <c r="B32" s="2082" t="s">
        <v>57</v>
      </c>
      <c r="C32" s="2083"/>
      <c r="D32" s="2083"/>
      <c r="E32" s="2083"/>
      <c r="F32" s="2083"/>
      <c r="G32" s="2083"/>
      <c r="H32" s="2086" t="s">
        <v>55</v>
      </c>
      <c r="I32" s="2086"/>
      <c r="J32" s="2087"/>
      <c r="K32" s="2331">
        <f ca="1">Projekt!H551</f>
        <v>4.4999999999999997E-3</v>
      </c>
      <c r="L32" s="2332"/>
      <c r="M32" s="2236"/>
      <c r="N32" s="2237"/>
      <c r="O32" s="2271" t="e">
        <f ca="1">K32*O28</f>
        <v>#VALUE!</v>
      </c>
      <c r="P32" s="2272"/>
    </row>
    <row r="33" spans="1:16" x14ac:dyDescent="0.4">
      <c r="A33" s="64">
        <v>15</v>
      </c>
      <c r="B33" s="2094" t="s">
        <v>58</v>
      </c>
      <c r="C33" s="2095"/>
      <c r="D33" s="2095"/>
      <c r="E33" s="2095"/>
      <c r="F33" s="2095"/>
      <c r="G33" s="2095"/>
      <c r="H33" s="2273" t="s">
        <v>304</v>
      </c>
      <c r="I33" s="2180"/>
      <c r="J33" s="2180"/>
      <c r="K33" s="2180"/>
      <c r="L33" s="2180"/>
      <c r="M33" s="2180"/>
      <c r="N33" s="2180"/>
      <c r="O33" s="2335" t="e">
        <f ca="1">SUM(O28:P32)</f>
        <v>#VALUE!</v>
      </c>
      <c r="P33" s="2336"/>
    </row>
    <row r="34" spans="1:16" x14ac:dyDescent="0.4">
      <c r="A34" s="64">
        <v>16</v>
      </c>
      <c r="B34" s="2354" t="s">
        <v>59</v>
      </c>
      <c r="C34" s="2354"/>
      <c r="D34" s="2354"/>
      <c r="E34" s="2354"/>
      <c r="F34" s="2354"/>
      <c r="G34" s="2354"/>
      <c r="H34" s="2355" t="s">
        <v>60</v>
      </c>
      <c r="I34" s="2355"/>
      <c r="J34" s="2356"/>
      <c r="K34" s="2357">
        <f ca="1">Projekt!H552</f>
        <v>0.13689999999999999</v>
      </c>
      <c r="L34" s="2358"/>
      <c r="M34" s="2080"/>
      <c r="N34" s="2081"/>
      <c r="O34" s="2359" t="e">
        <f ca="1">K34*O33</f>
        <v>#VALUE!</v>
      </c>
      <c r="P34" s="2360"/>
    </row>
    <row r="35" spans="1:16" ht="24.4" customHeight="1" x14ac:dyDescent="0.4">
      <c r="A35" s="158">
        <v>17</v>
      </c>
      <c r="B35" s="2216" t="s">
        <v>114</v>
      </c>
      <c r="C35" s="2217"/>
      <c r="D35" s="2217"/>
      <c r="E35" s="2217"/>
      <c r="F35" s="2217"/>
      <c r="G35" s="2217"/>
      <c r="H35" s="2217"/>
      <c r="I35" s="2217"/>
      <c r="J35" s="2217"/>
      <c r="K35" s="2361" t="s">
        <v>140</v>
      </c>
      <c r="L35" s="2362"/>
      <c r="M35" s="2361" t="s">
        <v>139</v>
      </c>
      <c r="N35" s="2362"/>
      <c r="O35" s="2363"/>
      <c r="P35" s="2260"/>
    </row>
    <row r="36" spans="1:16" x14ac:dyDescent="0.4">
      <c r="A36" s="157" t="s">
        <v>61</v>
      </c>
      <c r="B36" s="2119" t="str">
        <f>Projekt!A555</f>
        <v>Test 1</v>
      </c>
      <c r="C36" s="2120"/>
      <c r="D36" s="2120"/>
      <c r="E36" s="2120"/>
      <c r="F36" s="2120"/>
      <c r="G36" s="2120"/>
      <c r="H36" s="2120"/>
      <c r="I36" s="2120"/>
      <c r="J36" s="2121"/>
      <c r="K36" s="2265" t="str">
        <f>IF(Projekt!G555=0,"",Projekt!G555)</f>
        <v/>
      </c>
      <c r="L36" s="2266"/>
      <c r="M36" s="2267" t="str">
        <f ca="1">IFERROR(IF(AND(Projekt!F555=0,Projekt!G555=0),"",IF(Projekt!G555&gt;0,Projekt!G555*O$33,IF(Projekt!F555=0,"",Projekt!F555))),"")</f>
        <v/>
      </c>
      <c r="N36" s="2268"/>
      <c r="O36" s="2261"/>
      <c r="P36" s="2262"/>
    </row>
    <row r="37" spans="1:16" x14ac:dyDescent="0.4">
      <c r="A37" s="157" t="s">
        <v>62</v>
      </c>
      <c r="B37" s="2107" t="str">
        <f>Projekt!A556</f>
        <v/>
      </c>
      <c r="C37" s="2108"/>
      <c r="D37" s="2108"/>
      <c r="E37" s="2108"/>
      <c r="F37" s="2108"/>
      <c r="G37" s="2108"/>
      <c r="H37" s="2108"/>
      <c r="I37" s="2108"/>
      <c r="J37" s="2109"/>
      <c r="K37" s="2265" t="str">
        <f>IF(Projekt!G556=0,"",Projekt!G556)</f>
        <v/>
      </c>
      <c r="L37" s="2266"/>
      <c r="M37" s="2267" t="str">
        <f>IFERROR(IF(AND(Projekt!F556=0,Projekt!G556=0),"",IF(Projekt!G556&gt;0,Projekt!G556*O$33,IF(Projekt!F556=0,"",Projekt!F556))),"")</f>
        <v/>
      </c>
      <c r="N37" s="2268"/>
      <c r="O37" s="2261"/>
      <c r="P37" s="2262"/>
    </row>
    <row r="38" spans="1:16" ht="15.4" thickBot="1" x14ac:dyDescent="0.45">
      <c r="A38" s="157" t="s">
        <v>63</v>
      </c>
      <c r="B38" s="2110" t="str">
        <f>Projekt!A557</f>
        <v>Test 2</v>
      </c>
      <c r="C38" s="2111"/>
      <c r="D38" s="2111"/>
      <c r="E38" s="2111"/>
      <c r="F38" s="2111"/>
      <c r="G38" s="2111"/>
      <c r="H38" s="2111"/>
      <c r="I38" s="2111"/>
      <c r="J38" s="2112"/>
      <c r="K38" s="2269" t="str">
        <f>IF(Projekt!G557=0,"",Projekt!G557)</f>
        <v/>
      </c>
      <c r="L38" s="2270"/>
      <c r="M38" s="2271" t="str">
        <f ca="1">IFERROR(IF(AND(Projekt!F557=0,Projekt!G557=0),"",IF(Projekt!G557&gt;0,Projekt!G557*O$33,IF(Projekt!F557=0,"",Projekt!F557))),"")</f>
        <v/>
      </c>
      <c r="N38" s="2272"/>
      <c r="O38" s="2263"/>
      <c r="P38" s="2264"/>
    </row>
    <row r="39" spans="1:16" ht="15.4" thickBot="1" x14ac:dyDescent="0.45">
      <c r="A39" s="65">
        <v>18</v>
      </c>
      <c r="B39" s="52" t="s">
        <v>309</v>
      </c>
      <c r="C39" s="4"/>
      <c r="D39" s="4"/>
      <c r="E39" s="4"/>
      <c r="F39" s="53"/>
      <c r="G39" s="53"/>
      <c r="H39" s="54"/>
      <c r="I39" s="2086" t="s">
        <v>311</v>
      </c>
      <c r="J39" s="2086"/>
      <c r="K39" s="2086"/>
      <c r="L39" s="2087"/>
      <c r="M39" s="2252" t="str">
        <f ca="1">IF(SUM(M36:N38)&gt;0,SUM(M36:N38),"")</f>
        <v/>
      </c>
      <c r="N39" s="2253"/>
      <c r="O39" s="2254" t="e">
        <f ca="1">O33+O34</f>
        <v>#VALUE!</v>
      </c>
      <c r="P39" s="2253"/>
    </row>
    <row r="40" spans="1:16" ht="27.85" customHeight="1" thickBot="1" x14ac:dyDescent="0.45">
      <c r="A40" s="65">
        <v>19</v>
      </c>
      <c r="B40" s="2068" t="s">
        <v>633</v>
      </c>
      <c r="C40" s="2069"/>
      <c r="D40" s="2069"/>
      <c r="E40" s="2069"/>
      <c r="F40" s="2069"/>
      <c r="G40" s="2069"/>
      <c r="H40" s="2069"/>
      <c r="I40" s="2069"/>
      <c r="J40" s="2070"/>
      <c r="K40" s="2078" t="s">
        <v>305</v>
      </c>
      <c r="L40" s="2079"/>
      <c r="M40" s="2364" t="e">
        <f ca="1">"(€ "&amp;TEXT(SUM(M39:P39),"0,00")&amp;") / € "&amp;TEXT(SUM(M39:P39)*H$19,"0,00")</f>
        <v>#VALUE!</v>
      </c>
      <c r="N40" s="2364"/>
      <c r="O40" s="2364"/>
      <c r="P40" s="2365"/>
    </row>
    <row r="41" spans="1:16" hidden="1" x14ac:dyDescent="0.4">
      <c r="A41" s="65"/>
      <c r="B41" s="250" t="s">
        <v>67</v>
      </c>
      <c r="C41" s="6"/>
      <c r="D41" s="6"/>
      <c r="E41" s="6"/>
      <c r="F41" s="6"/>
      <c r="G41" s="6"/>
      <c r="H41" s="7"/>
      <c r="I41" s="1"/>
      <c r="J41" s="31"/>
      <c r="K41" s="5"/>
      <c r="L41" s="5"/>
      <c r="M41" s="34"/>
      <c r="N41" s="35"/>
      <c r="O41" s="35"/>
      <c r="P41" s="36"/>
    </row>
    <row r="42" spans="1:16" x14ac:dyDescent="0.4">
      <c r="A42" s="65"/>
      <c r="B42" s="2249" t="s">
        <v>66</v>
      </c>
      <c r="C42" s="2250"/>
      <c r="D42" s="2250"/>
      <c r="E42" s="2250"/>
      <c r="F42" s="2250"/>
      <c r="G42" s="2250"/>
      <c r="H42" s="2251"/>
      <c r="I42" s="2201" t="s">
        <v>64</v>
      </c>
      <c r="J42" s="2202"/>
      <c r="K42" s="2201" t="s">
        <v>65</v>
      </c>
      <c r="L42" s="2202"/>
      <c r="M42" s="2256"/>
      <c r="N42" s="2257"/>
      <c r="O42" s="2257"/>
      <c r="P42" s="2258"/>
    </row>
    <row r="43" spans="1:16" ht="15.4" thickBot="1" x14ac:dyDescent="0.45">
      <c r="A43" s="65">
        <v>20</v>
      </c>
      <c r="B43" s="2091"/>
      <c r="C43" s="2092"/>
      <c r="D43" s="2092"/>
      <c r="E43" s="2092"/>
      <c r="F43" s="2092"/>
      <c r="G43" s="2092"/>
      <c r="H43" s="2093"/>
      <c r="I43" s="2345" t="str">
        <f ca="1">IF(M39="","",Projekt!G268)</f>
        <v/>
      </c>
      <c r="J43" s="2346"/>
      <c r="K43" s="2345">
        <f>Projekt!E560</f>
        <v>0.22411</v>
      </c>
      <c r="L43" s="2346"/>
      <c r="M43" s="2347" t="str">
        <f ca="1">IFERROR(I43*M39,"")</f>
        <v/>
      </c>
      <c r="N43" s="2348"/>
      <c r="O43" s="2347" t="e">
        <f ca="1">K43*O39</f>
        <v>#VALUE!</v>
      </c>
      <c r="P43" s="2348"/>
    </row>
    <row r="44" spans="1:16" ht="15.4" thickBot="1" x14ac:dyDescent="0.45">
      <c r="A44" s="65">
        <v>21</v>
      </c>
      <c r="B44" s="2245" t="s">
        <v>308</v>
      </c>
      <c r="C44" s="2246"/>
      <c r="D44" s="2246"/>
      <c r="E44" s="2246"/>
      <c r="F44" s="2246"/>
      <c r="G44" s="2246"/>
      <c r="H44" s="2246"/>
      <c r="I44" s="2126" t="s">
        <v>307</v>
      </c>
      <c r="J44" s="2126"/>
      <c r="K44" s="2126"/>
      <c r="L44" s="2127"/>
      <c r="M44" s="2349" t="str">
        <f ca="1">IFERROR(M39+M43,"")</f>
        <v/>
      </c>
      <c r="N44" s="2350"/>
      <c r="O44" s="2349" t="e">
        <f ca="1">SUM(O39:P43)</f>
        <v>#VALUE!</v>
      </c>
      <c r="P44" s="2350"/>
    </row>
    <row r="45" spans="1:16" ht="27.85" customHeight="1" thickBot="1" x14ac:dyDescent="0.45">
      <c r="A45" s="66">
        <v>22</v>
      </c>
      <c r="B45" s="2068" t="s">
        <v>636</v>
      </c>
      <c r="C45" s="2069"/>
      <c r="D45" s="2069"/>
      <c r="E45" s="2069"/>
      <c r="F45" s="2069"/>
      <c r="G45" s="2069"/>
      <c r="H45" s="2069"/>
      <c r="I45" s="2069"/>
      <c r="J45" s="2070"/>
      <c r="K45" s="2078" t="s">
        <v>306</v>
      </c>
      <c r="L45" s="2079"/>
      <c r="M45" s="2364" t="e">
        <f ca="1">"(€ "&amp;TEXT(SUM(M44:P44),"0,00")&amp;") / € "&amp;TEXT(SUM(M44:P44)*H$19,"0,00")</f>
        <v>#VALUE!</v>
      </c>
      <c r="N45" s="2364"/>
      <c r="O45" s="2364"/>
      <c r="P45" s="2365"/>
    </row>
    <row r="46" spans="1:16" hidden="1" x14ac:dyDescent="0.4">
      <c r="A46" s="249"/>
      <c r="B46" s="250" t="s">
        <v>67</v>
      </c>
      <c r="C46" s="1"/>
      <c r="D46" s="1"/>
      <c r="E46" s="1"/>
      <c r="F46" s="1"/>
      <c r="G46" s="1"/>
      <c r="H46" s="1"/>
      <c r="I46" s="3"/>
      <c r="J46" s="30"/>
      <c r="K46" s="30"/>
      <c r="L46" s="27"/>
      <c r="M46" s="29"/>
      <c r="N46" s="29"/>
      <c r="O46" s="28"/>
      <c r="P46" s="27"/>
    </row>
    <row r="47" spans="1:16" ht="55.9" customHeight="1" x14ac:dyDescent="0.4">
      <c r="A47" s="2225" t="str">
        <f>'Lizenz u lies mich'!B32&amp;"      
Lizenziert für:"</f>
        <v>Vers. 3.0      
Lizenziert für:</v>
      </c>
      <c r="B47" s="2226"/>
      <c r="C47" s="2226"/>
      <c r="D47" s="2064" t="str">
        <f ca="1">' K3 PP'!D47</f>
        <v xml:space="preserve">Malerhandbuch 2022 </v>
      </c>
      <c r="E47" s="2064"/>
      <c r="F47" s="2064"/>
      <c r="G47" s="2064"/>
      <c r="H47" s="2065"/>
      <c r="I47" s="2063"/>
      <c r="J47" s="2063"/>
      <c r="K47" s="2063"/>
      <c r="L47" s="2063"/>
      <c r="M47" s="2063"/>
      <c r="N47" s="2060" t="s">
        <v>669</v>
      </c>
      <c r="O47" s="2061"/>
      <c r="P47" s="2062"/>
    </row>
  </sheetData>
  <sheetProtection password="B984" sheet="1" formatColumns="0" selectLockedCells="1"/>
  <mergeCells count="161">
    <mergeCell ref="A47:C47"/>
    <mergeCell ref="M40:P40"/>
    <mergeCell ref="M45:P45"/>
    <mergeCell ref="O43:P43"/>
    <mergeCell ref="B44:H44"/>
    <mergeCell ref="I44:L44"/>
    <mergeCell ref="M44:N44"/>
    <mergeCell ref="O44:P44"/>
    <mergeCell ref="B45:J45"/>
    <mergeCell ref="K45:L45"/>
    <mergeCell ref="B40:J40"/>
    <mergeCell ref="K40:L40"/>
    <mergeCell ref="B42:H43"/>
    <mergeCell ref="I42:J42"/>
    <mergeCell ref="K42:L42"/>
    <mergeCell ref="M42:P42"/>
    <mergeCell ref="I43:J43"/>
    <mergeCell ref="K43:L43"/>
    <mergeCell ref="M43:N43"/>
    <mergeCell ref="N47:P47"/>
    <mergeCell ref="I47:M47"/>
    <mergeCell ref="D47:H47"/>
    <mergeCell ref="B38:J38"/>
    <mergeCell ref="K38:L38"/>
    <mergeCell ref="M38:N38"/>
    <mergeCell ref="I39:L39"/>
    <mergeCell ref="M39:N39"/>
    <mergeCell ref="O39:P39"/>
    <mergeCell ref="B35:J35"/>
    <mergeCell ref="K35:L35"/>
    <mergeCell ref="M35:N35"/>
    <mergeCell ref="O35:P38"/>
    <mergeCell ref="B36:J36"/>
    <mergeCell ref="K36:L36"/>
    <mergeCell ref="M36:N36"/>
    <mergeCell ref="B37:J37"/>
    <mergeCell ref="K37:L37"/>
    <mergeCell ref="M37:N37"/>
    <mergeCell ref="B33:G33"/>
    <mergeCell ref="H33:N33"/>
    <mergeCell ref="O33:P33"/>
    <mergeCell ref="B34:G34"/>
    <mergeCell ref="H34:J34"/>
    <mergeCell ref="K34:L34"/>
    <mergeCell ref="M34:N34"/>
    <mergeCell ref="O34:P34"/>
    <mergeCell ref="B31:G31"/>
    <mergeCell ref="H31:J31"/>
    <mergeCell ref="K31:L31"/>
    <mergeCell ref="M31:N31"/>
    <mergeCell ref="O31:P31"/>
    <mergeCell ref="B32:G32"/>
    <mergeCell ref="H32:J32"/>
    <mergeCell ref="K32:L32"/>
    <mergeCell ref="M32:N32"/>
    <mergeCell ref="O32:P32"/>
    <mergeCell ref="B28:G28"/>
    <mergeCell ref="H28:M28"/>
    <mergeCell ref="O28:P28"/>
    <mergeCell ref="B29:N29"/>
    <mergeCell ref="O29:P29"/>
    <mergeCell ref="B30:G30"/>
    <mergeCell ref="H30:J30"/>
    <mergeCell ref="K30:L30"/>
    <mergeCell ref="M30:N30"/>
    <mergeCell ref="O30:P30"/>
    <mergeCell ref="B26:G26"/>
    <mergeCell ref="H26:J26"/>
    <mergeCell ref="K26:L26"/>
    <mergeCell ref="M26:N26"/>
    <mergeCell ref="O26:P26"/>
    <mergeCell ref="B27:N27"/>
    <mergeCell ref="O27:P27"/>
    <mergeCell ref="B24:G24"/>
    <mergeCell ref="H24:J24"/>
    <mergeCell ref="K24:L24"/>
    <mergeCell ref="M24:N24"/>
    <mergeCell ref="O24:P24"/>
    <mergeCell ref="B25:G25"/>
    <mergeCell ref="H25:J25"/>
    <mergeCell ref="K25:L25"/>
    <mergeCell ref="M25:N25"/>
    <mergeCell ref="O25:P25"/>
    <mergeCell ref="B22:G22"/>
    <mergeCell ref="H22:J22"/>
    <mergeCell ref="K22:L22"/>
    <mergeCell ref="M22:N22"/>
    <mergeCell ref="O22:P22"/>
    <mergeCell ref="B23:G23"/>
    <mergeCell ref="H23:M23"/>
    <mergeCell ref="O23:P23"/>
    <mergeCell ref="I19:J19"/>
    <mergeCell ref="K19:O19"/>
    <mergeCell ref="B20:L20"/>
    <mergeCell ref="M20:N20"/>
    <mergeCell ref="O20:P20"/>
    <mergeCell ref="H21:N21"/>
    <mergeCell ref="O21:P21"/>
    <mergeCell ref="B18:E18"/>
    <mergeCell ref="F18:G18"/>
    <mergeCell ref="I18:J18"/>
    <mergeCell ref="K18:N18"/>
    <mergeCell ref="B15:E15"/>
    <mergeCell ref="F15:G15"/>
    <mergeCell ref="I15:J15"/>
    <mergeCell ref="K15:N15"/>
    <mergeCell ref="B16:E16"/>
    <mergeCell ref="F16:G16"/>
    <mergeCell ref="I16:J16"/>
    <mergeCell ref="K16:N16"/>
    <mergeCell ref="B11:E11"/>
    <mergeCell ref="F11:G11"/>
    <mergeCell ref="I11:J11"/>
    <mergeCell ref="K11:N11"/>
    <mergeCell ref="B12:E12"/>
    <mergeCell ref="F12:G12"/>
    <mergeCell ref="I12:J12"/>
    <mergeCell ref="K12:N12"/>
    <mergeCell ref="B17:E17"/>
    <mergeCell ref="F17:G17"/>
    <mergeCell ref="I17:J17"/>
    <mergeCell ref="K17:N17"/>
    <mergeCell ref="B13:E13"/>
    <mergeCell ref="F13:G13"/>
    <mergeCell ref="I13:J13"/>
    <mergeCell ref="K13:N13"/>
    <mergeCell ref="B14:E14"/>
    <mergeCell ref="F14:G14"/>
    <mergeCell ref="I14:J14"/>
    <mergeCell ref="K14:N14"/>
    <mergeCell ref="B1:E1"/>
    <mergeCell ref="G1:P1"/>
    <mergeCell ref="B9:E9"/>
    <mergeCell ref="F9:G9"/>
    <mergeCell ref="I9:J9"/>
    <mergeCell ref="K9:O9"/>
    <mergeCell ref="B10:E10"/>
    <mergeCell ref="F10:G10"/>
    <mergeCell ref="I10:J10"/>
    <mergeCell ref="K10:N10"/>
    <mergeCell ref="B7:E7"/>
    <mergeCell ref="F7:I7"/>
    <mergeCell ref="K7:P7"/>
    <mergeCell ref="B8:L8"/>
    <mergeCell ref="M8:N8"/>
    <mergeCell ref="O8:P8"/>
    <mergeCell ref="A2:A8"/>
    <mergeCell ref="B2:E3"/>
    <mergeCell ref="F2:J3"/>
    <mergeCell ref="K2:P2"/>
    <mergeCell ref="K3:P3"/>
    <mergeCell ref="C4:E4"/>
    <mergeCell ref="G4:J4"/>
    <mergeCell ref="K4:P4"/>
    <mergeCell ref="B5:D5"/>
    <mergeCell ref="F5:I5"/>
    <mergeCell ref="K5:P5"/>
    <mergeCell ref="B6:D6"/>
    <mergeCell ref="F6:I6"/>
    <mergeCell ref="K6:L6"/>
    <mergeCell ref="M6:P6"/>
  </mergeCells>
  <conditionalFormatting sqref="F5:I5">
    <cfRule type="expression" dxfId="11" priority="13">
      <formula>$J$5="X"</formula>
    </cfRule>
  </conditionalFormatting>
  <conditionalFormatting sqref="F6:I6">
    <cfRule type="expression" dxfId="10" priority="12">
      <formula>$J$6="X"</formula>
    </cfRule>
  </conditionalFormatting>
  <conditionalFormatting sqref="B5:D5">
    <cfRule type="expression" dxfId="9" priority="11">
      <formula>$E$5="X"</formula>
    </cfRule>
  </conditionalFormatting>
  <conditionalFormatting sqref="B6:D6">
    <cfRule type="expression" dxfId="8" priority="10">
      <formula>$E$6="X"</formula>
    </cfRule>
  </conditionalFormatting>
  <conditionalFormatting sqref="M40 K3:P5">
    <cfRule type="expression" dxfId="7" priority="9">
      <formula>OR(_OK?&lt;&gt;"OK!",_OK_KV?&lt;&gt;"OK_KV!")</formula>
    </cfRule>
  </conditionalFormatting>
  <conditionalFormatting sqref="B11:J14">
    <cfRule type="expression" dxfId="6" priority="7">
      <formula>$B11=0</formula>
    </cfRule>
  </conditionalFormatting>
  <conditionalFormatting sqref="B36:J38">
    <cfRule type="expression" dxfId="5" priority="6">
      <formula>$B36=0</formula>
    </cfRule>
  </conditionalFormatting>
  <conditionalFormatting sqref="M45">
    <cfRule type="expression" dxfId="4" priority="5">
      <formula>OR(_OK?&lt;&gt;"OK!",_OK_KV?&lt;&gt;"OK_KV!")</formula>
    </cfRule>
  </conditionalFormatting>
  <conditionalFormatting sqref="I19:J19 O21:P21 D47:H47">
    <cfRule type="expression" dxfId="3" priority="4">
      <formula>_OK?&lt;&gt;"OK!"</formula>
    </cfRule>
  </conditionalFormatting>
  <conditionalFormatting sqref="M40:P40 M45:P45">
    <cfRule type="expression" dxfId="2" priority="3">
      <formula>_OK?&lt;&gt;"OK!"</formula>
    </cfRule>
  </conditionalFormatting>
  <pageMargins left="0.59055118110236227" right="0.19685039370078741" top="0.59055118110236227" bottom="0.19685039370078741" header="0.19685039370078741" footer="0.11811023622047245"/>
  <pageSetup paperSize="9" orientation="portrait" r:id="rId1"/>
  <headerFooter>
    <oddFooter>&amp;L&amp;10K2-Blatt
Seite: &amp;P&amp;R&amp;10&amp;F</oddFooter>
  </headerFooter>
  <extLst>
    <ext xmlns:x14="http://schemas.microsoft.com/office/spreadsheetml/2009/9/main" uri="{78C0D931-6437-407d-A8EE-F0AAD7539E65}">
      <x14:conditionalFormattings>
        <x14:conditionalFormatting xmlns:xm="http://schemas.microsoft.com/office/excel/2006/main">
          <x14:cfRule type="expression" priority="2" id="{4571985E-5172-4F75-A867-A57A1F8B91F5}">
            <xm:f>Projekt!$F$273="Nein"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1" id="{E1A39514-FE1F-45B2-BEEE-B9A5B9799382}">
            <xm:f>Projekt!$F$273="Nein"</xm:f>
            <x14:dxf>
              <border>
                <top style="thin">
                  <color theme="0"/>
                </top>
                <bottom style="thin">
                  <color theme="0"/>
                </bottom>
                <vertical/>
                <horizontal/>
              </border>
            </x14:dxf>
          </x14:cfRule>
          <xm:sqref>K25:L26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EF006-7FED-41ED-BFE6-DE41C8AD0138}">
  <sheetPr>
    <tabColor rgb="FFFF0000"/>
  </sheetPr>
  <dimension ref="A1:H51"/>
  <sheetViews>
    <sheetView showGridLines="0" zoomScaleNormal="100" workbookViewId="0">
      <selection sqref="A1:XFD1048576"/>
    </sheetView>
  </sheetViews>
  <sheetFormatPr baseColWidth="10" defaultColWidth="10.6640625" defaultRowHeight="15.75" x14ac:dyDescent="0.5"/>
  <cols>
    <col min="1" max="1" width="12.44140625" style="952" customWidth="1"/>
    <col min="2" max="4" width="11.21875" style="952" customWidth="1"/>
    <col min="5" max="6" width="9.6640625" style="952" customWidth="1"/>
    <col min="7" max="7" width="10.6640625" style="952"/>
    <col min="8" max="8" width="12.77734375" style="952" customWidth="1"/>
    <col min="9" max="9" width="21.33203125" style="952" customWidth="1"/>
    <col min="10" max="10" width="4.33203125" style="952" customWidth="1"/>
    <col min="11" max="16384" width="10.6640625" style="952"/>
  </cols>
  <sheetData>
    <row r="1" spans="2:8" ht="16.149999999999999" thickBot="1" x14ac:dyDescent="0.55000000000000004"/>
    <row r="2" spans="2:8" x14ac:dyDescent="0.5">
      <c r="B2" s="1235" t="str">
        <f>'Lizenz u lies mich'!C7</f>
        <v>Malerhandbuch 2022</v>
      </c>
      <c r="C2" s="1236"/>
      <c r="D2" s="1236"/>
      <c r="E2" s="1237"/>
      <c r="F2" s="953">
        <f>LEN(B2)</f>
        <v>18</v>
      </c>
      <c r="G2" s="954"/>
      <c r="H2" s="955"/>
    </row>
    <row r="3" spans="2:8" ht="16.149999999999999" thickBot="1" x14ac:dyDescent="0.55000000000000004">
      <c r="B3" s="1238" t="str">
        <f>'Lizenz u lies mich'!C9</f>
        <v>Musterkalkulation</v>
      </c>
      <c r="C3" s="1239"/>
      <c r="D3" s="1239"/>
      <c r="E3" s="1240"/>
      <c r="F3" s="956">
        <f>LEN(B3)</f>
        <v>17</v>
      </c>
      <c r="G3" s="957"/>
      <c r="H3" s="958"/>
    </row>
    <row r="4" spans="2:8" x14ac:dyDescent="0.5">
      <c r="B4" s="959" t="str">
        <f>TEXT('Lizenz u lies mich'!B14,"000000")</f>
        <v>044940</v>
      </c>
      <c r="C4" s="960"/>
      <c r="D4" s="960"/>
      <c r="E4" s="961"/>
      <c r="F4" s="962">
        <f>F2+F3</f>
        <v>35</v>
      </c>
      <c r="G4" s="963"/>
      <c r="H4" s="964"/>
    </row>
    <row r="5" spans="2:8" x14ac:dyDescent="0.5">
      <c r="B5" s="965">
        <f>IFERROR(CODE(MID(B$2,1,1))+F2,61+F3)</f>
        <v>95</v>
      </c>
      <c r="C5" s="966">
        <f>INT(B5/100)</f>
        <v>0</v>
      </c>
      <c r="D5" s="966">
        <f>INT(B5/10)-C5*10</f>
        <v>9</v>
      </c>
      <c r="E5" s="967">
        <f>B5-C5*100-D5*10</f>
        <v>5</v>
      </c>
      <c r="F5" s="968"/>
      <c r="G5" s="957"/>
      <c r="H5" s="964"/>
    </row>
    <row r="6" spans="2:8" x14ac:dyDescent="0.5">
      <c r="B6" s="969">
        <f>IFERROR(CODE(MID(B$2,2,1)),65)</f>
        <v>97</v>
      </c>
      <c r="C6" s="963">
        <f t="shared" ref="C6:C31" si="0">INT(B6/100)</f>
        <v>0</v>
      </c>
      <c r="D6" s="963">
        <f t="shared" ref="D6:D31" si="1">INT(B6/10)-C6*10</f>
        <v>9</v>
      </c>
      <c r="E6" s="968">
        <f t="shared" ref="E6:E31" si="2">B6-C6*100-D6*10</f>
        <v>7</v>
      </c>
      <c r="F6" s="968"/>
      <c r="G6" s="957"/>
      <c r="H6" s="964"/>
    </row>
    <row r="7" spans="2:8" x14ac:dyDescent="0.5">
      <c r="B7" s="969">
        <f>IFERROR(CODE(MID(B$2,3,1)),69)</f>
        <v>108</v>
      </c>
      <c r="C7" s="963">
        <f t="shared" si="0"/>
        <v>1</v>
      </c>
      <c r="D7" s="963">
        <f t="shared" si="1"/>
        <v>0</v>
      </c>
      <c r="E7" s="968">
        <f t="shared" si="2"/>
        <v>8</v>
      </c>
      <c r="F7" s="968"/>
      <c r="G7" s="957"/>
      <c r="H7" s="964"/>
    </row>
    <row r="8" spans="2:8" x14ac:dyDescent="0.5">
      <c r="B8" s="969">
        <f>IFERROR(CODE(MID(B$2,4,1)),61)</f>
        <v>101</v>
      </c>
      <c r="C8" s="963">
        <f t="shared" si="0"/>
        <v>1</v>
      </c>
      <c r="D8" s="963">
        <f t="shared" si="1"/>
        <v>0</v>
      </c>
      <c r="E8" s="968">
        <f t="shared" si="2"/>
        <v>1</v>
      </c>
      <c r="F8" s="968"/>
      <c r="G8" s="957"/>
      <c r="H8" s="964"/>
    </row>
    <row r="9" spans="2:8" x14ac:dyDescent="0.5">
      <c r="B9" s="969">
        <f>IFERROR(CODE(MID(B$2,5,1))*2+F3,61+F4)</f>
        <v>245</v>
      </c>
      <c r="C9" s="963">
        <f t="shared" si="0"/>
        <v>2</v>
      </c>
      <c r="D9" s="963">
        <f t="shared" si="1"/>
        <v>4</v>
      </c>
      <c r="E9" s="968">
        <f t="shared" si="2"/>
        <v>5</v>
      </c>
      <c r="F9" s="968"/>
      <c r="G9" s="957"/>
      <c r="H9" s="964"/>
    </row>
    <row r="10" spans="2:8" x14ac:dyDescent="0.5">
      <c r="B10" s="969">
        <f>IFERROR(CODE(MID(B$2,6,1)),91)</f>
        <v>104</v>
      </c>
      <c r="C10" s="963">
        <f t="shared" si="0"/>
        <v>1</v>
      </c>
      <c r="D10" s="963">
        <f t="shared" si="1"/>
        <v>0</v>
      </c>
      <c r="E10" s="968">
        <f t="shared" si="2"/>
        <v>4</v>
      </c>
      <c r="F10" s="968"/>
      <c r="G10" s="957"/>
      <c r="H10" s="964"/>
    </row>
    <row r="11" spans="2:8" x14ac:dyDescent="0.5">
      <c r="B11" s="969">
        <f>IFERROR(CODE(MID(B$2,7,1)),61)</f>
        <v>97</v>
      </c>
      <c r="C11" s="963">
        <f t="shared" si="0"/>
        <v>0</v>
      </c>
      <c r="D11" s="963">
        <f t="shared" si="1"/>
        <v>9</v>
      </c>
      <c r="E11" s="968">
        <f t="shared" si="2"/>
        <v>7</v>
      </c>
      <c r="F11" s="968"/>
      <c r="G11" s="957"/>
      <c r="H11" s="964"/>
    </row>
    <row r="12" spans="2:8" x14ac:dyDescent="0.5">
      <c r="B12" s="969">
        <f>IFERROR(CODE(MID(B$2,8,1))+F2,61)</f>
        <v>128</v>
      </c>
      <c r="C12" s="963">
        <f t="shared" si="0"/>
        <v>1</v>
      </c>
      <c r="D12" s="963">
        <f t="shared" si="1"/>
        <v>2</v>
      </c>
      <c r="E12" s="968">
        <f t="shared" si="2"/>
        <v>8</v>
      </c>
      <c r="F12" s="968"/>
      <c r="G12" s="957"/>
      <c r="H12" s="964"/>
    </row>
    <row r="13" spans="2:8" x14ac:dyDescent="0.5">
      <c r="B13" s="969">
        <f>IFERROR(CODE(MID(B$2,9,1)),71)</f>
        <v>100</v>
      </c>
      <c r="C13" s="963">
        <f t="shared" si="0"/>
        <v>1</v>
      </c>
      <c r="D13" s="963">
        <f t="shared" si="1"/>
        <v>0</v>
      </c>
      <c r="E13" s="968">
        <f t="shared" si="2"/>
        <v>0</v>
      </c>
      <c r="F13" s="968"/>
      <c r="G13" s="957"/>
      <c r="H13" s="964"/>
    </row>
    <row r="14" spans="2:8" x14ac:dyDescent="0.5">
      <c r="B14" s="970">
        <f>IFERROR(CODE(MID(B$2,10,1)),111)</f>
        <v>98</v>
      </c>
      <c r="C14" s="971">
        <f t="shared" si="0"/>
        <v>0</v>
      </c>
      <c r="D14" s="971">
        <f t="shared" si="1"/>
        <v>9</v>
      </c>
      <c r="E14" s="972">
        <f t="shared" si="2"/>
        <v>8</v>
      </c>
      <c r="F14" s="968"/>
      <c r="G14" s="957"/>
      <c r="H14" s="964"/>
    </row>
    <row r="15" spans="2:8" x14ac:dyDescent="0.5">
      <c r="B15" s="965">
        <f>IFERROR(CODE(MID(B$3,1,1)),61)</f>
        <v>77</v>
      </c>
      <c r="C15" s="966">
        <f t="shared" si="0"/>
        <v>0</v>
      </c>
      <c r="D15" s="966">
        <f t="shared" si="1"/>
        <v>7</v>
      </c>
      <c r="E15" s="967">
        <f t="shared" si="2"/>
        <v>7</v>
      </c>
      <c r="F15" s="968"/>
      <c r="G15" s="957"/>
      <c r="H15" s="964"/>
    </row>
    <row r="16" spans="2:8" x14ac:dyDescent="0.5">
      <c r="B16" s="969">
        <f>IFERROR(CODE(MID(B$3,2,1)),61)</f>
        <v>117</v>
      </c>
      <c r="C16" s="963">
        <f t="shared" si="0"/>
        <v>1</v>
      </c>
      <c r="D16" s="963">
        <f t="shared" si="1"/>
        <v>1</v>
      </c>
      <c r="E16" s="968">
        <f t="shared" si="2"/>
        <v>7</v>
      </c>
      <c r="F16" s="968"/>
      <c r="G16" s="957"/>
      <c r="H16" s="964"/>
    </row>
    <row r="17" spans="2:8" x14ac:dyDescent="0.5">
      <c r="B17" s="969">
        <f>IFERROR(CODE(MID(B$3,3,1)),61)</f>
        <v>115</v>
      </c>
      <c r="C17" s="963">
        <f t="shared" si="0"/>
        <v>1</v>
      </c>
      <c r="D17" s="963">
        <f t="shared" si="1"/>
        <v>1</v>
      </c>
      <c r="E17" s="968">
        <f t="shared" si="2"/>
        <v>5</v>
      </c>
      <c r="F17" s="968"/>
      <c r="G17" s="957"/>
      <c r="H17" s="964"/>
    </row>
    <row r="18" spans="2:8" x14ac:dyDescent="0.5">
      <c r="B18" s="969">
        <f>IFERROR(CODE(MID(B$3,4,1)),61)</f>
        <v>116</v>
      </c>
      <c r="C18" s="963">
        <f t="shared" si="0"/>
        <v>1</v>
      </c>
      <c r="D18" s="963">
        <f t="shared" si="1"/>
        <v>1</v>
      </c>
      <c r="E18" s="968">
        <f t="shared" si="2"/>
        <v>6</v>
      </c>
      <c r="F18" s="968"/>
      <c r="G18" s="957"/>
      <c r="H18" s="964"/>
    </row>
    <row r="19" spans="2:8" x14ac:dyDescent="0.5">
      <c r="B19" s="969">
        <f>IFERROR(CODE(MID(B$3,5,1)),118)</f>
        <v>101</v>
      </c>
      <c r="C19" s="963">
        <f t="shared" si="0"/>
        <v>1</v>
      </c>
      <c r="D19" s="963">
        <f t="shared" si="1"/>
        <v>0</v>
      </c>
      <c r="E19" s="968">
        <f t="shared" si="2"/>
        <v>1</v>
      </c>
      <c r="F19" s="968"/>
      <c r="G19" s="957"/>
      <c r="H19" s="964"/>
    </row>
    <row r="20" spans="2:8" x14ac:dyDescent="0.5">
      <c r="B20" s="969">
        <f>IFERROR(CODE(MID(B$3,6,1)),61)</f>
        <v>114</v>
      </c>
      <c r="C20" s="963">
        <f t="shared" si="0"/>
        <v>1</v>
      </c>
      <c r="D20" s="963">
        <f t="shared" si="1"/>
        <v>1</v>
      </c>
      <c r="E20" s="968">
        <f t="shared" si="2"/>
        <v>4</v>
      </c>
      <c r="F20" s="968"/>
      <c r="G20" s="957"/>
      <c r="H20" s="964"/>
    </row>
    <row r="21" spans="2:8" x14ac:dyDescent="0.5">
      <c r="B21" s="969">
        <f>IFERROR(CODE(MID(B$3,7,1)),91)</f>
        <v>107</v>
      </c>
      <c r="C21" s="963">
        <f t="shared" si="0"/>
        <v>1</v>
      </c>
      <c r="D21" s="963">
        <f t="shared" si="1"/>
        <v>0</v>
      </c>
      <c r="E21" s="968">
        <f t="shared" si="2"/>
        <v>7</v>
      </c>
      <c r="F21" s="968"/>
      <c r="G21" s="957"/>
      <c r="H21" s="964"/>
    </row>
    <row r="22" spans="2:8" x14ac:dyDescent="0.5">
      <c r="B22" s="969">
        <f>IFERROR(CODE(MID(B$3,8,1)),61)</f>
        <v>97</v>
      </c>
      <c r="C22" s="963">
        <f t="shared" si="0"/>
        <v>0</v>
      </c>
      <c r="D22" s="963">
        <f t="shared" si="1"/>
        <v>9</v>
      </c>
      <c r="E22" s="968">
        <f t="shared" si="2"/>
        <v>7</v>
      </c>
      <c r="F22" s="968"/>
      <c r="G22" s="957"/>
      <c r="H22" s="964"/>
    </row>
    <row r="23" spans="2:8" x14ac:dyDescent="0.5">
      <c r="B23" s="969">
        <f>IFERROR(CODE(MID(B$3,9,1)),101)</f>
        <v>108</v>
      </c>
      <c r="C23" s="963">
        <f t="shared" si="0"/>
        <v>1</v>
      </c>
      <c r="D23" s="963">
        <f t="shared" si="1"/>
        <v>0</v>
      </c>
      <c r="E23" s="968">
        <f t="shared" si="2"/>
        <v>8</v>
      </c>
      <c r="F23" s="968"/>
      <c r="G23" s="957"/>
      <c r="H23" s="964"/>
    </row>
    <row r="24" spans="2:8" x14ac:dyDescent="0.5">
      <c r="B24" s="969">
        <f>IFERROR(CODE(MID(B$3,10,1)),61)</f>
        <v>107</v>
      </c>
      <c r="C24" s="963">
        <f t="shared" si="0"/>
        <v>1</v>
      </c>
      <c r="D24" s="963">
        <f t="shared" si="1"/>
        <v>0</v>
      </c>
      <c r="E24" s="968">
        <f t="shared" si="2"/>
        <v>7</v>
      </c>
      <c r="F24" s="968"/>
      <c r="G24" s="957"/>
      <c r="H24" s="964"/>
    </row>
    <row r="25" spans="2:8" x14ac:dyDescent="0.5">
      <c r="B25" s="970">
        <f>IFERROR(CODE(MID(B$3,11,1)),61)</f>
        <v>117</v>
      </c>
      <c r="C25" s="971">
        <f t="shared" si="0"/>
        <v>1</v>
      </c>
      <c r="D25" s="971">
        <f t="shared" si="1"/>
        <v>1</v>
      </c>
      <c r="E25" s="972">
        <f t="shared" si="2"/>
        <v>7</v>
      </c>
      <c r="F25" s="968"/>
      <c r="G25" s="957"/>
      <c r="H25" s="964"/>
    </row>
    <row r="26" spans="2:8" x14ac:dyDescent="0.5">
      <c r="B26" s="965">
        <f>IFERROR(CODE(MID(B$4,1,1)),91)*2</f>
        <v>96</v>
      </c>
      <c r="C26" s="966">
        <f t="shared" si="0"/>
        <v>0</v>
      </c>
      <c r="D26" s="966">
        <f t="shared" si="1"/>
        <v>9</v>
      </c>
      <c r="E26" s="967">
        <f t="shared" si="2"/>
        <v>6</v>
      </c>
      <c r="F26" s="968"/>
      <c r="G26" s="957"/>
      <c r="H26" s="964"/>
    </row>
    <row r="27" spans="2:8" x14ac:dyDescent="0.5">
      <c r="B27" s="969">
        <f>IFERROR(CODE(MID(B$4,2,1)),91)*2</f>
        <v>104</v>
      </c>
      <c r="C27" s="963">
        <f t="shared" si="0"/>
        <v>1</v>
      </c>
      <c r="D27" s="963">
        <f t="shared" si="1"/>
        <v>0</v>
      </c>
      <c r="E27" s="968">
        <f t="shared" si="2"/>
        <v>4</v>
      </c>
      <c r="F27" s="968"/>
      <c r="G27" s="957"/>
      <c r="H27" s="964"/>
    </row>
    <row r="28" spans="2:8" x14ac:dyDescent="0.5">
      <c r="B28" s="969">
        <f>IFERROR(CODE(MID(B$4,3,1)),91)*2</f>
        <v>104</v>
      </c>
      <c r="C28" s="963">
        <f t="shared" si="0"/>
        <v>1</v>
      </c>
      <c r="D28" s="963">
        <f t="shared" si="1"/>
        <v>0</v>
      </c>
      <c r="E28" s="968">
        <f t="shared" si="2"/>
        <v>4</v>
      </c>
      <c r="F28" s="968"/>
      <c r="G28" s="957"/>
      <c r="H28" s="964"/>
    </row>
    <row r="29" spans="2:8" x14ac:dyDescent="0.5">
      <c r="B29" s="969">
        <f>IFERROR(CODE(MID(B$4,4,1)),91)*2</f>
        <v>114</v>
      </c>
      <c r="C29" s="963">
        <f t="shared" si="0"/>
        <v>1</v>
      </c>
      <c r="D29" s="963">
        <f t="shared" si="1"/>
        <v>1</v>
      </c>
      <c r="E29" s="968">
        <f t="shared" si="2"/>
        <v>4</v>
      </c>
      <c r="F29" s="968"/>
      <c r="G29" s="957"/>
      <c r="H29" s="964"/>
    </row>
    <row r="30" spans="2:8" x14ac:dyDescent="0.5">
      <c r="B30" s="969">
        <f>IFERROR(CODE(MID(B$4,5,1)),91)*2</f>
        <v>104</v>
      </c>
      <c r="C30" s="963">
        <f t="shared" si="0"/>
        <v>1</v>
      </c>
      <c r="D30" s="963">
        <f t="shared" si="1"/>
        <v>0</v>
      </c>
      <c r="E30" s="968">
        <f t="shared" si="2"/>
        <v>4</v>
      </c>
      <c r="F30" s="968"/>
      <c r="G30" s="957"/>
      <c r="H30" s="964"/>
    </row>
    <row r="31" spans="2:8" x14ac:dyDescent="0.5">
      <c r="B31" s="970">
        <f>IFERROR(CODE(MID(B$4,5,1)),91)*2</f>
        <v>104</v>
      </c>
      <c r="C31" s="971">
        <f t="shared" si="0"/>
        <v>1</v>
      </c>
      <c r="D31" s="971">
        <f t="shared" si="1"/>
        <v>0</v>
      </c>
      <c r="E31" s="972">
        <f t="shared" si="2"/>
        <v>4</v>
      </c>
      <c r="F31" s="968"/>
      <c r="G31" s="957"/>
      <c r="H31" s="964"/>
    </row>
    <row r="32" spans="2:8" x14ac:dyDescent="0.5">
      <c r="B32" s="969"/>
      <c r="C32" s="963">
        <f>SUM(C5:C31)</f>
        <v>21</v>
      </c>
      <c r="D32" s="963">
        <f t="shared" ref="D32:E32" si="3">SUM(D5:D31)</f>
        <v>73</v>
      </c>
      <c r="E32" s="963">
        <f t="shared" si="3"/>
        <v>145</v>
      </c>
      <c r="F32" s="968">
        <f>SUM(C32:E32)</f>
        <v>239</v>
      </c>
      <c r="G32" s="957"/>
      <c r="H32" s="964"/>
    </row>
    <row r="33" spans="2:8" x14ac:dyDescent="0.5">
      <c r="B33" s="970"/>
      <c r="C33" s="973" t="str">
        <f>TEXT(C32*2.7,"0000")</f>
        <v>0057</v>
      </c>
      <c r="D33" s="973" t="str">
        <f>TEXT(D32*3.6,"0000")</f>
        <v>0263</v>
      </c>
      <c r="E33" s="973" t="str">
        <f>TEXT(E32*2.2,"0000")</f>
        <v>0319</v>
      </c>
      <c r="F33" s="974" t="str">
        <f>TEXT(F32*0.95,"0000")</f>
        <v>0227</v>
      </c>
      <c r="G33" s="957"/>
      <c r="H33" s="964"/>
    </row>
    <row r="34" spans="2:8" x14ac:dyDescent="0.5">
      <c r="B34" s="975"/>
      <c r="C34" s="960"/>
      <c r="D34" s="976" t="s">
        <v>357</v>
      </c>
      <c r="E34" s="976" t="s">
        <v>358</v>
      </c>
      <c r="F34" s="960" t="s">
        <v>358</v>
      </c>
      <c r="G34" s="976" t="s">
        <v>359</v>
      </c>
      <c r="H34" s="977"/>
    </row>
    <row r="35" spans="2:8" x14ac:dyDescent="0.5">
      <c r="B35" s="978">
        <f>+C32+B46/2</f>
        <v>491</v>
      </c>
      <c r="C35" s="979">
        <f>_xlfn.NUMBERVALUE(RIGHT(B35,3))</f>
        <v>491</v>
      </c>
      <c r="D35" s="980">
        <f>IF(C35&lt;65,65+C35/2,C35)</f>
        <v>491</v>
      </c>
      <c r="E35" s="981">
        <f>IF(D35&gt;122,D35*0.5+5,D35)</f>
        <v>251</v>
      </c>
      <c r="F35" s="981">
        <f>IF(E35&gt;122,122-E35/100*3,E35)</f>
        <v>114</v>
      </c>
      <c r="G35" s="981">
        <f>IF(AND(F35&gt;90,F35&lt;97),F35+10,F35)</f>
        <v>114</v>
      </c>
      <c r="H35" s="982" t="str">
        <f>CHAR(INT(G35))</f>
        <v>r</v>
      </c>
    </row>
    <row r="36" spans="2:8" x14ac:dyDescent="0.5">
      <c r="B36" s="978">
        <f>E6*10+E16*10+C19+C10+D21+E32/3</f>
        <v>190</v>
      </c>
      <c r="C36" s="979">
        <f t="shared" ref="C36:C39" si="4">_xlfn.NUMBERVALUE(RIGHT(B36,3))</f>
        <v>190</v>
      </c>
      <c r="D36" s="980">
        <f t="shared" ref="D36:D39" si="5">IF(C36&lt;65,65+C36/2,C36)</f>
        <v>190</v>
      </c>
      <c r="E36" s="981">
        <f t="shared" ref="E36:E39" si="6">IF(D36&gt;122,D36*0.5+5,D36)</f>
        <v>100</v>
      </c>
      <c r="F36" s="981">
        <f t="shared" ref="F36:F39" si="7">IF(E36&gt;122,122-E36/100*3,E36)</f>
        <v>100</v>
      </c>
      <c r="G36" s="981">
        <f t="shared" ref="G36:G39" si="8">IF(AND(F36&gt;90,F36&lt;97),F36+10,F36)</f>
        <v>100</v>
      </c>
      <c r="H36" s="982" t="str">
        <f>CHAR(INT(G36))</f>
        <v>d</v>
      </c>
    </row>
    <row r="37" spans="2:8" x14ac:dyDescent="0.5">
      <c r="B37" s="978">
        <f>E7*10+E17*10+C20+C11+D22*2+D32</f>
        <v>222</v>
      </c>
      <c r="C37" s="979">
        <f t="shared" si="4"/>
        <v>222</v>
      </c>
      <c r="D37" s="980">
        <f t="shared" si="5"/>
        <v>222</v>
      </c>
      <c r="E37" s="981">
        <f t="shared" si="6"/>
        <v>116</v>
      </c>
      <c r="F37" s="981">
        <f t="shared" si="7"/>
        <v>116</v>
      </c>
      <c r="G37" s="981">
        <f t="shared" si="8"/>
        <v>116</v>
      </c>
      <c r="H37" s="982" t="str">
        <f>CHAR(INT(G37))</f>
        <v>t</v>
      </c>
    </row>
    <row r="38" spans="2:8" x14ac:dyDescent="0.5">
      <c r="B38" s="978">
        <f>E8+E18+C21+C12+D23+C32+F4</f>
        <v>65</v>
      </c>
      <c r="C38" s="979">
        <f t="shared" si="4"/>
        <v>65</v>
      </c>
      <c r="D38" s="980">
        <f t="shared" si="5"/>
        <v>65</v>
      </c>
      <c r="E38" s="981">
        <f t="shared" si="6"/>
        <v>65</v>
      </c>
      <c r="F38" s="981">
        <f t="shared" si="7"/>
        <v>65</v>
      </c>
      <c r="G38" s="981">
        <f t="shared" si="8"/>
        <v>65</v>
      </c>
      <c r="H38" s="982" t="str">
        <f>CHAR(INT(G38))</f>
        <v>A</v>
      </c>
    </row>
    <row r="39" spans="2:8" x14ac:dyDescent="0.5">
      <c r="B39" s="983">
        <f>E9*10+E19+C22+C13+D24+B46+F32</f>
        <v>1231</v>
      </c>
      <c r="C39" s="984">
        <f t="shared" si="4"/>
        <v>231</v>
      </c>
      <c r="D39" s="985">
        <f t="shared" si="5"/>
        <v>231</v>
      </c>
      <c r="E39" s="986">
        <f t="shared" si="6"/>
        <v>121</v>
      </c>
      <c r="F39" s="986">
        <f t="shared" si="7"/>
        <v>121</v>
      </c>
      <c r="G39" s="986">
        <f t="shared" si="8"/>
        <v>121</v>
      </c>
      <c r="H39" s="987" t="str">
        <f>CHAR(INT(G39))</f>
        <v>y</v>
      </c>
    </row>
    <row r="40" spans="2:8" x14ac:dyDescent="0.5">
      <c r="B40" s="988"/>
      <c r="C40" s="989"/>
      <c r="D40" s="989"/>
      <c r="E40" s="989"/>
      <c r="F40" s="990"/>
      <c r="G40" s="957"/>
      <c r="H40" s="964"/>
    </row>
    <row r="41" spans="2:8" x14ac:dyDescent="0.5">
      <c r="B41" s="991" t="str">
        <f>LEFT(B4,3)</f>
        <v>044</v>
      </c>
      <c r="C41" s="963"/>
      <c r="D41" s="963"/>
      <c r="E41" s="963"/>
      <c r="F41" s="963"/>
      <c r="G41" s="963"/>
      <c r="H41" s="964"/>
    </row>
    <row r="42" spans="2:8" x14ac:dyDescent="0.5">
      <c r="B42" s="991" t="str">
        <f>TEXT(C33,"000")</f>
        <v>057</v>
      </c>
      <c r="C42" s="963"/>
      <c r="D42" s="963"/>
      <c r="E42" s="963"/>
      <c r="F42" s="963"/>
      <c r="G42" s="963"/>
      <c r="H42" s="964"/>
    </row>
    <row r="43" spans="2:8" x14ac:dyDescent="0.5">
      <c r="B43" s="991" t="str">
        <f>TEXT(D33,"000")</f>
        <v>263</v>
      </c>
      <c r="C43" s="963"/>
      <c r="D43" s="963"/>
      <c r="E43" s="963"/>
      <c r="F43" s="963"/>
      <c r="G43" s="963"/>
      <c r="H43" s="964"/>
    </row>
    <row r="44" spans="2:8" x14ac:dyDescent="0.5">
      <c r="B44" s="991" t="str">
        <f>TEXT(E33,"000")</f>
        <v>319</v>
      </c>
      <c r="C44" s="963"/>
      <c r="D44" s="963"/>
      <c r="E44" s="963"/>
      <c r="F44" s="963"/>
      <c r="G44" s="963"/>
      <c r="H44" s="964"/>
    </row>
    <row r="45" spans="2:8" x14ac:dyDescent="0.5">
      <c r="B45" s="991" t="str">
        <f>TEXT(F33,"000")</f>
        <v>227</v>
      </c>
      <c r="C45" s="963"/>
      <c r="D45" s="963"/>
      <c r="E45" s="963"/>
      <c r="F45" s="963"/>
      <c r="G45" s="963"/>
      <c r="H45" s="964"/>
    </row>
    <row r="46" spans="2:8" x14ac:dyDescent="0.5">
      <c r="B46" s="991" t="str">
        <f>RIGHT(B4,3)</f>
        <v>940</v>
      </c>
      <c r="C46" s="963"/>
      <c r="D46" s="963"/>
      <c r="E46" s="963"/>
      <c r="F46" s="963"/>
      <c r="G46" s="963"/>
      <c r="H46" s="964"/>
    </row>
    <row r="47" spans="2:8" ht="16.149999999999999" thickBot="1" x14ac:dyDescent="0.55000000000000004">
      <c r="B47" s="969"/>
      <c r="C47" s="963"/>
      <c r="D47" s="963"/>
      <c r="E47" s="963"/>
      <c r="F47" s="963"/>
      <c r="G47" s="963"/>
      <c r="H47" s="964"/>
    </row>
    <row r="48" spans="2:8" ht="16.149999999999999" thickBot="1" x14ac:dyDescent="0.55000000000000004">
      <c r="B48" s="992" t="str">
        <f>B41&amp;H35&amp;B42&amp;H36&amp;B43&amp;H37&amp;B44&amp;H38&amp;B46&amp;H39&amp;B45</f>
        <v>044r057d263t319A940y227</v>
      </c>
      <c r="C48" s="993"/>
      <c r="D48" s="963"/>
      <c r="E48" s="963" t="str">
        <f>LEFT(B48,3)</f>
        <v>044</v>
      </c>
      <c r="F48" s="963" t="str">
        <f>RIGHT(B48,7)</f>
        <v>940y227</v>
      </c>
      <c r="G48" s="963"/>
      <c r="H48" s="964"/>
    </row>
    <row r="49" spans="1:8" x14ac:dyDescent="0.5">
      <c r="B49" s="969"/>
      <c r="C49" s="963"/>
      <c r="D49" s="963"/>
      <c r="E49" s="963" t="str">
        <f>LEFT(F48,3)</f>
        <v>940</v>
      </c>
      <c r="F49" s="963"/>
      <c r="G49" s="963"/>
      <c r="H49" s="964"/>
    </row>
    <row r="50" spans="1:8" ht="16.149999999999999" thickBot="1" x14ac:dyDescent="0.55000000000000004">
      <c r="B50" s="994"/>
      <c r="C50" s="995"/>
      <c r="D50" s="995"/>
      <c r="E50" s="996">
        <f>E48*1000+E49</f>
        <v>44940</v>
      </c>
      <c r="F50" s="995"/>
      <c r="G50" s="995"/>
      <c r="H50" s="997"/>
    </row>
    <row r="51" spans="1:8" x14ac:dyDescent="0.5">
      <c r="A51" s="952" t="str">
        <f>RIGHT(A50,3)</f>
        <v/>
      </c>
    </row>
  </sheetData>
  <sheetProtection password="B984" sheet="1" objects="1" scenarios="1" selectLockedCells="1" selectUnlockedCells="1"/>
  <mergeCells count="2">
    <mergeCell ref="B2:E2"/>
    <mergeCell ref="B3:E3"/>
  </mergeCells>
  <dataValidations disablePrompts="1" count="2">
    <dataValidation operator="lessThan" allowBlank="1" showInputMessage="1" showErrorMessage="1" error="Maximal 40 Zeichen." sqref="B3:E3" xr:uid="{4DB7A285-9DAE-4FA6-8861-64CC43C5F856}"/>
    <dataValidation operator="lessThan" allowBlank="1" showInputMessage="1" showErrorMessage="1" error="Maximal 40 Zeichen" sqref="B2:E2" xr:uid="{8FDD301B-C4AA-4FAC-957A-AE4353077954}"/>
  </dataValidations>
  <pageMargins left="0.7" right="0.7" top="0.78740157499999996" bottom="0.78740157499999996" header="0.3" footer="0.3"/>
  <pageSetup paperSize="9" orientation="portrait" r:id="rId1"/>
  <headerFooter>
    <oddFooter>&amp;L&amp;10K3-Stammdaten
Seite: &amp;P von &amp;N&amp;R&amp;10&amp;F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P157"/>
  <sheetViews>
    <sheetView showGridLines="0" zoomScaleNormal="100" workbookViewId="0">
      <selection activeCell="I3" sqref="I3"/>
    </sheetView>
  </sheetViews>
  <sheetFormatPr baseColWidth="10" defaultColWidth="10.6640625" defaultRowHeight="15.75" x14ac:dyDescent="0.5"/>
  <cols>
    <col min="1" max="1" width="24" style="11" customWidth="1"/>
    <col min="2" max="2" width="10.77734375" style="11" customWidth="1"/>
    <col min="3" max="6" width="9.6640625" style="11" customWidth="1"/>
    <col min="7" max="7" width="18.77734375" style="11" customWidth="1"/>
    <col min="8" max="8" width="12.77734375" style="11" customWidth="1"/>
    <col min="9" max="9" width="21.33203125" style="11" customWidth="1"/>
    <col min="10" max="10" width="4.33203125" style="11" customWidth="1"/>
    <col min="11" max="11" width="10.6640625" style="11"/>
    <col min="12" max="12" width="20" style="866" hidden="1" customWidth="1"/>
    <col min="13" max="13" width="4.88671875" style="866" hidden="1" customWidth="1"/>
    <col min="14" max="14" width="6.33203125" style="866" hidden="1" customWidth="1"/>
    <col min="15" max="15" width="4.88671875" style="866" hidden="1" customWidth="1"/>
    <col min="16" max="16" width="6.44140625" style="866" hidden="1" customWidth="1"/>
    <col min="17" max="17" width="0" style="11" hidden="1" customWidth="1"/>
    <col min="18" max="16384" width="10.6640625" style="11"/>
  </cols>
  <sheetData>
    <row r="1" spans="1:16" ht="21" x14ac:dyDescent="0.65">
      <c r="A1" s="1316" t="s">
        <v>150</v>
      </c>
      <c r="B1" s="1317"/>
      <c r="C1" s="1317"/>
      <c r="D1" s="1317"/>
      <c r="E1" s="1317"/>
      <c r="F1" s="1318"/>
      <c r="G1" s="574"/>
      <c r="H1" s="1260" t="s">
        <v>349</v>
      </c>
      <c r="I1" s="1261"/>
      <c r="J1" s="1262"/>
      <c r="L1" s="1299" t="str">
        <f ca="1">A7&amp;A8&amp;A9&amp;A10&amp;A11&amp;A12&amp;A13&amp;A14&amp;A15&amp;A16&amp;A17&amp;A18&amp;A19&amp;A20&amp;A21&amp;A22&amp;A23&amp;A24&amp;A25&amp;A26&amp;A27&amp;A28&amp;A29&amp;A30&amp;A31&amp;A32&amp;A33</f>
        <v>Facharbeiter mit LAB (&gt;3.J)Facharbeiter mit LAB (1-3.J)Qual. AN (&gt;3.J)od FA o LABQualifizierter Arbeitnehmer (1-3.J)Helfer0000000000000000000000</v>
      </c>
      <c r="M1" s="1299"/>
      <c r="N1" s="1299"/>
      <c r="O1" s="1299"/>
      <c r="P1" s="1299"/>
    </row>
    <row r="2" spans="1:16" x14ac:dyDescent="0.5">
      <c r="A2" s="592" t="s">
        <v>459</v>
      </c>
      <c r="B2" s="1241" t="str">
        <f>I2&amp;J2</f>
        <v>K3_Quelle_Malerhandbuch.xlsx</v>
      </c>
      <c r="C2" s="1241"/>
      <c r="D2" s="593" t="s">
        <v>460</v>
      </c>
      <c r="E2" s="1241" t="str">
        <f>I3</f>
        <v>Maler_22</v>
      </c>
      <c r="F2" s="1242"/>
      <c r="H2" s="573" t="s">
        <v>343</v>
      </c>
      <c r="I2" s="587" t="s">
        <v>730</v>
      </c>
      <c r="J2" s="14" t="s">
        <v>294</v>
      </c>
      <c r="L2" s="866" t="s">
        <v>457</v>
      </c>
      <c r="M2" s="866">
        <f ca="1">IFERROR(SEARCH('Lizenz u lies mich'!$O33,B3),0)</f>
        <v>1</v>
      </c>
      <c r="N2" s="866">
        <f ca="1">IF(M2&gt;1,5,0)</f>
        <v>0</v>
      </c>
      <c r="O2" s="866">
        <f ca="1">IFERROR(SEARCH('Lizenz u lies mich'!$O33,Stammdaten!$L$1,M2+1),0)</f>
        <v>2</v>
      </c>
      <c r="P2" s="866">
        <f t="shared" ref="P2:P8" ca="1" si="0">IF(O2&gt;1,1,0)</f>
        <v>1</v>
      </c>
    </row>
    <row r="3" spans="1:16" x14ac:dyDescent="0.5">
      <c r="A3" s="331" t="s">
        <v>312</v>
      </c>
      <c r="B3" s="1327" t="str">
        <f ca="1">INDIRECT(CONCATENATE("[",$I$2,".xlsx]",$I$4,"!B3"))</f>
        <v>KollV MALER-, LACKIERER-, SCHILDERHERST.GEWERBE</v>
      </c>
      <c r="C3" s="1328"/>
      <c r="D3" s="1328"/>
      <c r="E3" s="1328"/>
      <c r="F3" s="1329"/>
      <c r="G3" s="1321" t="str">
        <f>IF(_Verband&gt;1,"Sie verwenden eine 'Verbandslizenzierung'. Die KollV-Bezeichnung ist auf die vom Verband vertretene Branche unveränderbar eingeschränkt!","")</f>
        <v/>
      </c>
      <c r="H3" s="13" t="s">
        <v>344</v>
      </c>
      <c r="I3" s="594" t="s">
        <v>724</v>
      </c>
      <c r="J3" s="14"/>
      <c r="L3" s="866" t="s">
        <v>458</v>
      </c>
      <c r="M3" s="866">
        <f ca="1">IFERROR(SEARCH('Lizenz u lies mich'!$O34,Stammdaten!$L$1),0)</f>
        <v>1</v>
      </c>
      <c r="N3" s="866">
        <f t="shared" ref="N3:N8" ca="1" si="1">IF(M3&gt;1,1,0)</f>
        <v>0</v>
      </c>
      <c r="O3" s="866">
        <f ca="1">IFERROR(SEARCH('Lizenz u lies mich'!$O34,Stammdaten!$L$1,M3+1),0)</f>
        <v>2</v>
      </c>
      <c r="P3" s="866">
        <f t="shared" ca="1" si="0"/>
        <v>1</v>
      </c>
    </row>
    <row r="4" spans="1:16" ht="15.75" customHeight="1" x14ac:dyDescent="0.5">
      <c r="A4" s="332" t="s">
        <v>127</v>
      </c>
      <c r="B4" s="333">
        <f ca="1">INDIRECT(CONCATENATE("[",$I$2,".xlsx]",$I$4,"!B4"))</f>
        <v>44682</v>
      </c>
      <c r="C4" s="589" t="s">
        <v>447</v>
      </c>
      <c r="D4" s="590">
        <f ca="1">INDIRECT(CONCATENATE("[",$I$2,".xlsx]",$I$4,"!D4"))</f>
        <v>1</v>
      </c>
      <c r="E4" s="1319" t="s">
        <v>269</v>
      </c>
      <c r="F4" s="1320"/>
      <c r="G4" s="1322"/>
      <c r="I4" s="481" t="str">
        <f>I3</f>
        <v>Maler_22</v>
      </c>
      <c r="J4" s="218"/>
      <c r="M4" s="866">
        <f ca="1">IFERROR(SEARCH('Lizenz u lies mich'!$O35,Stammdaten!$L$1),0)</f>
        <v>1</v>
      </c>
      <c r="N4" s="866">
        <f t="shared" ca="1" si="1"/>
        <v>0</v>
      </c>
      <c r="O4" s="866">
        <f ca="1">IFERROR(SEARCH('Lizenz u lies mich'!$O35,Stammdaten!$L$1,M4+1),0)</f>
        <v>2</v>
      </c>
      <c r="P4" s="866">
        <f t="shared" ca="1" si="0"/>
        <v>1</v>
      </c>
    </row>
    <row r="5" spans="1:16" x14ac:dyDescent="0.5">
      <c r="A5" s="1272" t="s">
        <v>27</v>
      </c>
      <c r="B5" s="1272" t="s">
        <v>286</v>
      </c>
      <c r="C5" s="1272" t="s">
        <v>116</v>
      </c>
      <c r="D5" s="1265" t="s">
        <v>185</v>
      </c>
      <c r="E5" s="1272" t="s">
        <v>151</v>
      </c>
      <c r="F5" s="1265" t="s">
        <v>88</v>
      </c>
      <c r="G5" s="1322"/>
      <c r="H5" s="1324" t="s">
        <v>344</v>
      </c>
      <c r="I5" s="1325"/>
      <c r="J5" s="1326"/>
      <c r="M5" s="866">
        <f ca="1">IFERROR(SEARCH('Lizenz u lies mich'!$O36,Stammdaten!$L$1),0)</f>
        <v>1</v>
      </c>
      <c r="N5" s="866">
        <f t="shared" ca="1" si="1"/>
        <v>0</v>
      </c>
      <c r="O5" s="866">
        <f ca="1">IFERROR(SEARCH('Lizenz u lies mich'!$O36,Stammdaten!$L$1,M5+1),0)</f>
        <v>2</v>
      </c>
      <c r="P5" s="866">
        <f t="shared" ca="1" si="0"/>
        <v>1</v>
      </c>
    </row>
    <row r="6" spans="1:16" x14ac:dyDescent="0.5">
      <c r="A6" s="1273"/>
      <c r="B6" s="1273"/>
      <c r="C6" s="1273"/>
      <c r="D6" s="1266"/>
      <c r="E6" s="1273"/>
      <c r="F6" s="1266"/>
      <c r="G6" s="1322"/>
      <c r="H6" s="1243" t="str">
        <f>IF(_Verband&gt;1,"Einzig zulässiger KollV:","")</f>
        <v/>
      </c>
      <c r="I6" s="1310" t="str">
        <f>IF(_Verband&gt;1,'Lizenz u lies mich'!O29,"")</f>
        <v/>
      </c>
      <c r="J6" s="1311"/>
      <c r="M6" s="866">
        <f ca="1">IFERROR(SEARCH('Lizenz u lies mich'!$O37,Stammdaten!$L$1),0)</f>
        <v>1</v>
      </c>
      <c r="N6" s="866">
        <f t="shared" ca="1" si="1"/>
        <v>0</v>
      </c>
      <c r="O6" s="866">
        <f ca="1">IFERROR(SEARCH('Lizenz u lies mich'!$O37,Stammdaten!$L$1,M6+1),0)</f>
        <v>2</v>
      </c>
      <c r="P6" s="866">
        <f t="shared" ca="1" si="0"/>
        <v>1</v>
      </c>
    </row>
    <row r="7" spans="1:16" x14ac:dyDescent="0.5">
      <c r="A7" s="253" t="str">
        <f ca="1">INDIRECT(CONCATENATE("[",$I$2,".xlsx]",$I$4,"!A7"))</f>
        <v>Facharbeiter mit LAB (&gt;3.J)</v>
      </c>
      <c r="B7" s="15">
        <f ca="1">INDIRECT(CONCATENATE("[",$I$2,".xlsx]",$I$4,"!B7"))</f>
        <v>13.35</v>
      </c>
      <c r="C7" s="254">
        <f ca="1">INDIRECT(CONCATENATE("[",$I$2,".xlsx]",$I$4,"!C7"))</f>
        <v>0</v>
      </c>
      <c r="D7" s="278">
        <f t="shared" ref="D7:D27" ca="1" si="2">B7*$D$4</f>
        <v>13.35</v>
      </c>
      <c r="E7" s="274">
        <f ca="1">INDIRECT(CONCATENATE("[",$I$2,".xlsx]",$I$4,"!E7"))</f>
        <v>0.1</v>
      </c>
      <c r="F7" s="278">
        <f ca="1">D7*E7</f>
        <v>1.34</v>
      </c>
      <c r="G7" s="1322"/>
      <c r="H7" s="1244"/>
      <c r="I7" s="1312"/>
      <c r="J7" s="1313"/>
      <c r="M7" s="866">
        <f ca="1">IFERROR(SEARCH('Lizenz u lies mich'!$O38,Stammdaten!$L$1),0)</f>
        <v>1</v>
      </c>
      <c r="N7" s="866">
        <f t="shared" ca="1" si="1"/>
        <v>0</v>
      </c>
      <c r="O7" s="866">
        <f ca="1">IFERROR(SEARCH('Lizenz u lies mich'!$O38,Stammdaten!$L$1,M7+1),0)</f>
        <v>2</v>
      </c>
      <c r="P7" s="866">
        <f t="shared" ca="1" si="0"/>
        <v>1</v>
      </c>
    </row>
    <row r="8" spans="1:16" x14ac:dyDescent="0.5">
      <c r="A8" s="253" t="str">
        <f ca="1">INDIRECT(CONCATENATE("[",$I$2,".xlsx]",$I$4,"!A8"))</f>
        <v>Facharbeiter mit LAB (1-3.J)</v>
      </c>
      <c r="B8" s="15">
        <f ca="1">INDIRECT(CONCATENATE("[",$I$2,".xlsx]",$I$4,"!B8"))</f>
        <v>12.15</v>
      </c>
      <c r="C8" s="254">
        <f ca="1">INDIRECT(CONCATENATE("[",$I$2,".xlsx]",$I$4,"!C8"))</f>
        <v>0</v>
      </c>
      <c r="D8" s="278">
        <f t="shared" ca="1" si="2"/>
        <v>12.15</v>
      </c>
      <c r="E8" s="274">
        <f ca="1">INDIRECT(CONCATENATE("[",$I$2,".xlsx]",$I$4,"!E8"))</f>
        <v>0.1</v>
      </c>
      <c r="F8" s="278">
        <f t="shared" ref="F8:F27" ca="1" si="3">D8*E8</f>
        <v>1.22</v>
      </c>
      <c r="G8" s="1322"/>
      <c r="H8" s="1245"/>
      <c r="I8" s="1314"/>
      <c r="J8" s="1315"/>
      <c r="M8" s="866">
        <f ca="1">IFERROR(SEARCH('Lizenz u lies mich'!$O39,Stammdaten!$L$1),0)</f>
        <v>1</v>
      </c>
      <c r="N8" s="866">
        <f t="shared" ca="1" si="1"/>
        <v>0</v>
      </c>
      <c r="O8" s="866">
        <f ca="1">IFERROR(SEARCH('Lizenz u lies mich'!$O39,Stammdaten!$L$1,M8+1),0)</f>
        <v>2</v>
      </c>
      <c r="P8" s="866">
        <f t="shared" ca="1" si="0"/>
        <v>1</v>
      </c>
    </row>
    <row r="9" spans="1:16" ht="15.75" customHeight="1" x14ac:dyDescent="0.5">
      <c r="A9" s="253" t="str">
        <f ca="1">INDIRECT(CONCATENATE("[",$I$2,".xlsx]",$I$4,"!A9"))</f>
        <v>Qual. AN (&gt;3.J)od FA o LAB</v>
      </c>
      <c r="B9" s="15">
        <f ca="1">INDIRECT(CONCATENATE("[",$I$2,".xlsx]",$I$4,"!B9"))</f>
        <v>12.01</v>
      </c>
      <c r="C9" s="254">
        <f ca="1">INDIRECT(CONCATENATE("[",$I$2,".xlsx]",$I$4,"!C9"))</f>
        <v>0</v>
      </c>
      <c r="D9" s="278">
        <f t="shared" ca="1" si="2"/>
        <v>12.01</v>
      </c>
      <c r="E9" s="274">
        <f ca="1">INDIRECT(CONCATENATE("[",$I$2,".xlsx]",$I$4,"!E9"))</f>
        <v>0.1</v>
      </c>
      <c r="F9" s="278">
        <f t="shared" ca="1" si="3"/>
        <v>1.2</v>
      </c>
      <c r="G9" s="1322"/>
      <c r="H9" s="13" t="s">
        <v>292</v>
      </c>
      <c r="I9" s="288">
        <f ca="1">B4</f>
        <v>44682</v>
      </c>
      <c r="J9" s="14"/>
      <c r="L9" s="866" t="s">
        <v>448</v>
      </c>
      <c r="N9" s="867">
        <f ca="1">SUM(N2:N8)</f>
        <v>0</v>
      </c>
      <c r="P9" s="867">
        <f ca="1">SUM(P2:P8)</f>
        <v>7</v>
      </c>
    </row>
    <row r="10" spans="1:16" ht="15.75" customHeight="1" x14ac:dyDescent="0.5">
      <c r="A10" s="253" t="str">
        <f ca="1">INDIRECT(CONCATENATE("[",$I$2,".xlsx]",$I$4,"!A10"))</f>
        <v>Qualifizierter Arbeitnehmer (1-3.J)</v>
      </c>
      <c r="B10" s="15">
        <f ca="1">INDIRECT(CONCATENATE("[",$I$2,".xlsx]",$I$4,"!B10"))</f>
        <v>11.18</v>
      </c>
      <c r="C10" s="254">
        <f ca="1">INDIRECT(CONCATENATE("[",$I$2,".xlsx]",$I$4,"!C10"))</f>
        <v>0</v>
      </c>
      <c r="D10" s="278">
        <f t="shared" ca="1" si="2"/>
        <v>11.18</v>
      </c>
      <c r="E10" s="274">
        <f ca="1">INDIRECT(CONCATENATE("[",$I$2,".xlsx]",$I$4,"!E10"))</f>
        <v>0.1</v>
      </c>
      <c r="F10" s="278">
        <f t="shared" ca="1" si="3"/>
        <v>1.1200000000000001</v>
      </c>
      <c r="G10" s="1323"/>
      <c r="H10" s="13" t="s">
        <v>293</v>
      </c>
      <c r="I10" s="288">
        <f ca="1">B130</f>
        <v>44562</v>
      </c>
      <c r="J10" s="14"/>
      <c r="L10" s="866" t="s">
        <v>454</v>
      </c>
      <c r="M10" s="866" t="str">
        <f>'Lizenz u lies mich'!O40</f>
        <v/>
      </c>
      <c r="N10" s="866">
        <f ca="1">IFERROR(IF(M10=C37,5,-10),-10)</f>
        <v>-10</v>
      </c>
    </row>
    <row r="11" spans="1:16" ht="15.75" customHeight="1" x14ac:dyDescent="0.5">
      <c r="A11" s="253" t="str">
        <f ca="1">INDIRECT(CONCATENATE("[",$I$2,".xlsx]",$I$4,"!A11"))</f>
        <v>Helfer</v>
      </c>
      <c r="B11" s="15">
        <f ca="1">INDIRECT(CONCATENATE("[",$I$2,".xlsx]",$I$4,"!B11"))</f>
        <v>10.75</v>
      </c>
      <c r="C11" s="254">
        <f ca="1">INDIRECT(CONCATENATE("[",$I$2,".xlsx]",$I$4,"!C11"))</f>
        <v>0</v>
      </c>
      <c r="D11" s="278">
        <f t="shared" ca="1" si="2"/>
        <v>10.75</v>
      </c>
      <c r="E11" s="274">
        <f ca="1">INDIRECT(CONCATENATE("[",$I$2,".xlsx]",$I$4,"!E11"))</f>
        <v>0.1</v>
      </c>
      <c r="F11" s="278">
        <f t="shared" ca="1" si="3"/>
        <v>1.08</v>
      </c>
      <c r="G11" s="1246" t="str">
        <f ca="1">IFERROR(IF((TODAY()-365)&gt;I9,"KollV ist älter als 1 Jahr!!",""),"Quelldatei geöffnet?")</f>
        <v/>
      </c>
      <c r="H11" s="1308" t="str">
        <f ca="1">IF(ISNUMBER(B7),"","Bitte einen GÜLTIGEN Dateinamen für die QUELLDATEN-Datei und die Bezeichnung des Tabellenblattes in dieser Datei angeben (siehe STAMMDATEN).
 Quelldaten-Datei MUSS geöffnet sein!
Beachten Sie die ANLEITUNG (www.bauwesen.at (Punkt Kalkulation)!")</f>
        <v/>
      </c>
      <c r="I11" s="1308"/>
      <c r="J11" s="1308"/>
      <c r="L11" s="866" t="s">
        <v>586</v>
      </c>
      <c r="M11" s="866">
        <f ca="1">IFERROR(SEARCH("qwert99",L1),0)</f>
        <v>0</v>
      </c>
      <c r="N11" s="866">
        <f ca="1">IF(M11&gt;1,25,0)</f>
        <v>0</v>
      </c>
    </row>
    <row r="12" spans="1:16" ht="15.75" customHeight="1" x14ac:dyDescent="0.5">
      <c r="A12" s="253">
        <f ca="1">INDIRECT(CONCATENATE("[",$I$2,".xlsx]",$I$4,"!A12"))</f>
        <v>0</v>
      </c>
      <c r="B12" s="15">
        <f ca="1">INDIRECT(CONCATENATE("[",$I$2,".xlsx]",$I$4,"!B12"))</f>
        <v>0</v>
      </c>
      <c r="C12" s="254">
        <f ca="1">INDIRECT(CONCATENATE("[",$I$2,".xlsx]",$I$4,"!C12"))</f>
        <v>0</v>
      </c>
      <c r="D12" s="278">
        <f t="shared" ca="1" si="2"/>
        <v>0</v>
      </c>
      <c r="E12" s="274">
        <f ca="1">INDIRECT(CONCATENATE("[",$I$2,".xlsx]",$I$4,"!E12"))</f>
        <v>0</v>
      </c>
      <c r="F12" s="278">
        <f t="shared" ca="1" si="3"/>
        <v>0</v>
      </c>
      <c r="G12" s="1247"/>
      <c r="H12" s="1309"/>
      <c r="I12" s="1309"/>
      <c r="J12" s="1309"/>
      <c r="L12" s="867" t="s">
        <v>449</v>
      </c>
      <c r="M12" s="867"/>
      <c r="N12" s="867">
        <f ca="1">N9+P9+N10+N11</f>
        <v>-3</v>
      </c>
      <c r="O12" s="867"/>
      <c r="P12" s="867" t="str">
        <f ca="1">IF(OR(N12&gt;13,_Verband&lt;2),"OK_KV!","f")</f>
        <v>OK_KV!</v>
      </c>
    </row>
    <row r="13" spans="1:16" ht="15.75" customHeight="1" x14ac:dyDescent="0.5">
      <c r="A13" s="253">
        <f ca="1">INDIRECT(CONCATENATE("[",$I$2,".xlsx]",$I$4,"!A13"))</f>
        <v>0</v>
      </c>
      <c r="B13" s="15">
        <f ca="1">INDIRECT(CONCATENATE("[",$I$2,".xlsx]",$I$4,"!B13"))</f>
        <v>0</v>
      </c>
      <c r="C13" s="254">
        <f ca="1">INDIRECT(CONCATENATE("[",$I$2,".xlsx]",$I$4,"!C13"))</f>
        <v>0</v>
      </c>
      <c r="D13" s="278">
        <f t="shared" ca="1" si="2"/>
        <v>0</v>
      </c>
      <c r="E13" s="274">
        <f ca="1">INDIRECT(CONCATENATE("[",$I$2,".xlsx]",$I$4,"!E13"))</f>
        <v>0</v>
      </c>
      <c r="F13" s="278">
        <f t="shared" ca="1" si="3"/>
        <v>0</v>
      </c>
      <c r="G13" s="1247"/>
      <c r="H13" s="1309"/>
      <c r="I13" s="1309"/>
      <c r="J13" s="1309"/>
      <c r="L13" s="1301" t="s">
        <v>455</v>
      </c>
      <c r="M13" s="1301"/>
      <c r="N13" s="1301"/>
      <c r="O13" s="1301"/>
      <c r="P13" s="1301"/>
    </row>
    <row r="14" spans="1:16" ht="15.75" customHeight="1" x14ac:dyDescent="0.5">
      <c r="A14" s="253">
        <f ca="1">INDIRECT(CONCATENATE("[",$I$2,".xlsx]",$I$4,"!A14"))</f>
        <v>0</v>
      </c>
      <c r="B14" s="15">
        <f ca="1">INDIRECT(CONCATENATE("[",$I$2,".xlsx]",$I$4,"!B14"))</f>
        <v>0</v>
      </c>
      <c r="C14" s="254">
        <f ca="1">INDIRECT(CONCATENATE("[",$I$2,".xlsx]",$I$4,"!C14"))</f>
        <v>0</v>
      </c>
      <c r="D14" s="278">
        <f t="shared" ca="1" si="2"/>
        <v>0</v>
      </c>
      <c r="E14" s="274">
        <f ca="1">INDIRECT(CONCATENATE("[",$I$2,".xlsx]",$I$4,"!E14"))</f>
        <v>0</v>
      </c>
      <c r="F14" s="278">
        <f t="shared" ca="1" si="3"/>
        <v>0</v>
      </c>
      <c r="G14" s="1300" t="str">
        <f ca="1">IFERROR(IF(_OK_KV?&lt;&gt;"OK_KV!",L13,""),"Quelldatei geöffnet? Vorhandenes Blatt ausgewählt? Zulässigen KollV verwendet (bei Verbandslizenzierung für Mitglieder)?")</f>
        <v/>
      </c>
      <c r="H14" s="1309"/>
      <c r="I14" s="1309"/>
      <c r="J14" s="1309"/>
    </row>
    <row r="15" spans="1:16" ht="15.75" customHeight="1" x14ac:dyDescent="0.5">
      <c r="A15" s="253">
        <f ca="1">INDIRECT(CONCATENATE("[",$I$2,".xlsx]",$I$4,"!A15"))</f>
        <v>0</v>
      </c>
      <c r="B15" s="15">
        <f ca="1">INDIRECT(CONCATENATE("[",$I$2,".xlsx]",$I$4,"!B15"))</f>
        <v>0</v>
      </c>
      <c r="C15" s="254">
        <f ca="1">INDIRECT(CONCATENATE("[",$I$2,".xlsx]",$I$4,"!C15"))</f>
        <v>0</v>
      </c>
      <c r="D15" s="278">
        <f t="shared" ca="1" si="2"/>
        <v>0</v>
      </c>
      <c r="E15" s="274">
        <f ca="1">INDIRECT(CONCATENATE("[",$I$2,".xlsx]",$I$4,"!E15"))</f>
        <v>0</v>
      </c>
      <c r="F15" s="278">
        <f t="shared" ca="1" si="3"/>
        <v>0</v>
      </c>
      <c r="G15" s="1300"/>
      <c r="H15" s="1309"/>
      <c r="I15" s="1309"/>
      <c r="J15" s="1309"/>
    </row>
    <row r="16" spans="1:16" ht="15.75" customHeight="1" x14ac:dyDescent="0.5">
      <c r="A16" s="253">
        <f ca="1">INDIRECT(CONCATENATE("[",$I$2,".xlsx]",$I$4,"!A16"))</f>
        <v>0</v>
      </c>
      <c r="B16" s="15">
        <f ca="1">INDIRECT(CONCATENATE("[",$I$2,".xlsx]",$I$4,"!B16"))</f>
        <v>0</v>
      </c>
      <c r="C16" s="254">
        <f ca="1">INDIRECT(CONCATENATE("[",$I$2,".xlsx]",$I$4,"!C16"))</f>
        <v>0</v>
      </c>
      <c r="D16" s="278">
        <f t="shared" ca="1" si="2"/>
        <v>0</v>
      </c>
      <c r="E16" s="274">
        <f ca="1">INDIRECT(CONCATENATE("[",$I$2,".xlsx]",$I$4,"!E16"))</f>
        <v>0</v>
      </c>
      <c r="F16" s="278">
        <f t="shared" ca="1" si="3"/>
        <v>0</v>
      </c>
      <c r="G16" s="1300"/>
      <c r="H16" s="1309"/>
      <c r="I16" s="1309"/>
      <c r="J16" s="1309"/>
    </row>
    <row r="17" spans="1:10" ht="15.75" customHeight="1" x14ac:dyDescent="0.5">
      <c r="A17" s="253">
        <f ca="1">INDIRECT(CONCATENATE("[",$I$2,".xlsx]",$I$4,"!A17"))</f>
        <v>0</v>
      </c>
      <c r="B17" s="15">
        <f ca="1">INDIRECT(CONCATENATE("[",$I$2,".xlsx]",$I$4,"!B17"))</f>
        <v>0</v>
      </c>
      <c r="C17" s="254">
        <f ca="1">INDIRECT(CONCATENATE("[",$I$2,".xlsx]",$I$4,"!C17"))</f>
        <v>0</v>
      </c>
      <c r="D17" s="278">
        <f t="shared" ca="1" si="2"/>
        <v>0</v>
      </c>
      <c r="E17" s="274">
        <f ca="1">INDIRECT(CONCATENATE("[",$I$2,".xlsx]",$I$4,"!E17"))</f>
        <v>0</v>
      </c>
      <c r="F17" s="278">
        <f t="shared" ca="1" si="3"/>
        <v>0</v>
      </c>
      <c r="G17" s="1300"/>
      <c r="H17" s="1309"/>
      <c r="I17" s="1309"/>
      <c r="J17" s="1309"/>
    </row>
    <row r="18" spans="1:10" ht="15.75" customHeight="1" x14ac:dyDescent="0.5">
      <c r="A18" s="253">
        <f ca="1">INDIRECT(CONCATENATE("[",$I$2,".xlsx]",$I$4,"!A18"))</f>
        <v>0</v>
      </c>
      <c r="B18" s="15">
        <f ca="1">INDIRECT(CONCATENATE("[",$I$2,".xlsx]",$I$4,"!B18"))</f>
        <v>0</v>
      </c>
      <c r="C18" s="254">
        <f ca="1">INDIRECT(CONCATENATE("[",$I$2,".xlsx]",$I$4,"!C18"))</f>
        <v>0</v>
      </c>
      <c r="D18" s="278">
        <f t="shared" ca="1" si="2"/>
        <v>0</v>
      </c>
      <c r="E18" s="274">
        <f ca="1">INDIRECT(CONCATENATE("[",$I$2,".xlsx]",$I$4,"!E18"))</f>
        <v>0</v>
      </c>
      <c r="F18" s="278">
        <f t="shared" ca="1" si="3"/>
        <v>0</v>
      </c>
      <c r="G18" s="1300"/>
      <c r="H18" s="1309"/>
      <c r="I18" s="1309"/>
      <c r="J18" s="1309"/>
    </row>
    <row r="19" spans="1:10" x14ac:dyDescent="0.5">
      <c r="A19" s="253">
        <f ca="1">INDIRECT(CONCATENATE("[",$I$2,".xlsx]",$I$4,"!A19"))</f>
        <v>0</v>
      </c>
      <c r="B19" s="15">
        <f ca="1">INDIRECT(CONCATENATE("[",$I$2,".xlsx]",$I$4,"!B19"))</f>
        <v>0</v>
      </c>
      <c r="C19" s="254">
        <f ca="1">INDIRECT(CONCATENATE("[",$I$2,".xlsx]",$I$4,"!C19"))</f>
        <v>0</v>
      </c>
      <c r="D19" s="278">
        <f t="shared" ca="1" si="2"/>
        <v>0</v>
      </c>
      <c r="E19" s="274">
        <f ca="1">INDIRECT(CONCATENATE("[",$I$2,".xlsx]",$I$4,"!E19"))</f>
        <v>0</v>
      </c>
      <c r="F19" s="278">
        <f t="shared" ca="1" si="3"/>
        <v>0</v>
      </c>
      <c r="G19" s="1300"/>
      <c r="H19" s="1309"/>
      <c r="I19" s="1309"/>
      <c r="J19" s="1309"/>
    </row>
    <row r="20" spans="1:10" x14ac:dyDescent="0.5">
      <c r="A20" s="253">
        <f ca="1">INDIRECT(CONCATENATE("[",$I$2,".xlsx]",$I$4,"!A20"))</f>
        <v>0</v>
      </c>
      <c r="B20" s="15">
        <f ca="1">INDIRECT(CONCATENATE("[",$I$2,".xlsx]",$I$4,"!B20"))</f>
        <v>0</v>
      </c>
      <c r="C20" s="254">
        <f ca="1">INDIRECT(CONCATENATE("[",$I$2,".xlsx]",$I$4,"!C20"))</f>
        <v>0</v>
      </c>
      <c r="D20" s="278">
        <f t="shared" ca="1" si="2"/>
        <v>0</v>
      </c>
      <c r="E20" s="274">
        <f ca="1">INDIRECT(CONCATENATE("[",$I$2,".xlsx]",$I$4,"!E20"))</f>
        <v>0</v>
      </c>
      <c r="F20" s="278">
        <f t="shared" ca="1" si="3"/>
        <v>0</v>
      </c>
      <c r="G20" s="1300"/>
      <c r="H20" s="1309"/>
      <c r="I20" s="1309"/>
      <c r="J20" s="1309"/>
    </row>
    <row r="21" spans="1:10" x14ac:dyDescent="0.5">
      <c r="A21" s="253">
        <f ca="1">INDIRECT(CONCATENATE("[",$I$2,".xlsx]",$I$4,"!A21"))</f>
        <v>0</v>
      </c>
      <c r="B21" s="15">
        <f ca="1">INDIRECT(CONCATENATE("[",$I$2,".xlsx]",$I$4,"!B21"))</f>
        <v>0</v>
      </c>
      <c r="C21" s="254">
        <f ca="1">INDIRECT(CONCATENATE("[",$I$2,".xlsx]",$I$4,"!C21"))</f>
        <v>0</v>
      </c>
      <c r="D21" s="278">
        <f t="shared" ca="1" si="2"/>
        <v>0</v>
      </c>
      <c r="E21" s="274">
        <f ca="1">INDIRECT(CONCATENATE("[",$I$2,".xlsx]",$I$4,"!E21"))</f>
        <v>0</v>
      </c>
      <c r="F21" s="278">
        <f t="shared" ca="1" si="3"/>
        <v>0</v>
      </c>
      <c r="G21" s="1300"/>
      <c r="H21" s="1309"/>
      <c r="I21" s="1309"/>
      <c r="J21" s="1309"/>
    </row>
    <row r="22" spans="1:10" x14ac:dyDescent="0.5">
      <c r="A22" s="253">
        <f ca="1">INDIRECT(CONCATENATE("[",$I$2,".xlsx]",$I$4,"!A22"))</f>
        <v>0</v>
      </c>
      <c r="B22" s="15">
        <f ca="1">INDIRECT(CONCATENATE("[",$I$2,".xlsx]",$I$4,"!B22"))</f>
        <v>0</v>
      </c>
      <c r="C22" s="254">
        <f ca="1">INDIRECT(CONCATENATE("[",$I$2,".xlsx]",$I$4,"!C22"))</f>
        <v>0</v>
      </c>
      <c r="D22" s="278">
        <f t="shared" ca="1" si="2"/>
        <v>0</v>
      </c>
      <c r="E22" s="274">
        <f ca="1">INDIRECT(CONCATENATE("[",$I$2,".xlsx]",$I$4,"!E22"))</f>
        <v>0</v>
      </c>
      <c r="F22" s="278">
        <f t="shared" ca="1" si="3"/>
        <v>0</v>
      </c>
      <c r="G22" s="1300"/>
    </row>
    <row r="23" spans="1:10" x14ac:dyDescent="0.5">
      <c r="A23" s="253">
        <f ca="1">INDIRECT(CONCATENATE("[",$I$2,".xlsx]",$I$4,"!A23"))</f>
        <v>0</v>
      </c>
      <c r="B23" s="15">
        <f ca="1">INDIRECT(CONCATENATE("[",$I$2,".xlsx]",$I$4,"!B23"))</f>
        <v>0</v>
      </c>
      <c r="C23" s="254">
        <f ca="1">INDIRECT(CONCATENATE("[",$I$2,".xlsx]",$I$4,"!C23"))</f>
        <v>0</v>
      </c>
      <c r="D23" s="278">
        <f t="shared" ca="1" si="2"/>
        <v>0</v>
      </c>
      <c r="E23" s="274">
        <f ca="1">INDIRECT(CONCATENATE("[",$I$2,".xlsx]",$I$4,"!E23"))</f>
        <v>0</v>
      </c>
      <c r="F23" s="278">
        <f t="shared" ca="1" si="3"/>
        <v>0</v>
      </c>
      <c r="G23" s="1300"/>
    </row>
    <row r="24" spans="1:10" x14ac:dyDescent="0.5">
      <c r="A24" s="253">
        <f ca="1">INDIRECT(CONCATENATE("[",$I$2,".xlsx]",$I$4,"!A24"))</f>
        <v>0</v>
      </c>
      <c r="B24" s="15">
        <f ca="1">INDIRECT(CONCATENATE("[",$I$2,".xlsx]",$I$4,"!B24"))</f>
        <v>0</v>
      </c>
      <c r="C24" s="254">
        <f ca="1">INDIRECT(CONCATENATE("[",$I$2,".xlsx]",$I$4,"!C24"))</f>
        <v>0</v>
      </c>
      <c r="D24" s="278">
        <f t="shared" ca="1" si="2"/>
        <v>0</v>
      </c>
      <c r="E24" s="274">
        <f ca="1">INDIRECT(CONCATENATE("[",$I$2,".xlsx]",$I$4,"!E24"))</f>
        <v>0</v>
      </c>
      <c r="F24" s="278">
        <f t="shared" ca="1" si="3"/>
        <v>0</v>
      </c>
      <c r="G24" s="1300"/>
    </row>
    <row r="25" spans="1:10" x14ac:dyDescent="0.5">
      <c r="A25" s="253">
        <f ca="1">INDIRECT(CONCATENATE("[",$I$2,".xlsx]",$I$4,"!A25"))</f>
        <v>0</v>
      </c>
      <c r="B25" s="15">
        <f ca="1">INDIRECT(CONCATENATE("[",$I$2,".xlsx]",$I$4,"!B25"))</f>
        <v>0</v>
      </c>
      <c r="C25" s="254">
        <f ca="1">INDIRECT(CONCATENATE("[",$I$2,".xlsx]",$I$4,"!C25"))</f>
        <v>0</v>
      </c>
      <c r="D25" s="278">
        <f t="shared" ca="1" si="2"/>
        <v>0</v>
      </c>
      <c r="E25" s="274">
        <f ca="1">INDIRECT(CONCATENATE("[",$I$2,".xlsx]",$I$4,"!E25"))</f>
        <v>0</v>
      </c>
      <c r="F25" s="278">
        <f t="shared" ca="1" si="3"/>
        <v>0</v>
      </c>
      <c r="G25" s="1300"/>
    </row>
    <row r="26" spans="1:10" x14ac:dyDescent="0.5">
      <c r="A26" s="253">
        <f ca="1">INDIRECT(CONCATENATE("[",$I$2,".xlsx]",$I$4,"!A26"))</f>
        <v>0</v>
      </c>
      <c r="B26" s="15">
        <f ca="1">INDIRECT(CONCATENATE("[",$I$2,".xlsx]",$I$4,"!B26"))</f>
        <v>0</v>
      </c>
      <c r="C26" s="254">
        <f ca="1">INDIRECT(CONCATENATE("[",$I$2,".xlsx]",$I$4,"!C26"))</f>
        <v>0</v>
      </c>
      <c r="D26" s="278">
        <f t="shared" ca="1" si="2"/>
        <v>0</v>
      </c>
      <c r="E26" s="274">
        <f ca="1">INDIRECT(CONCATENATE("[",$I$2,".xlsx]",$I$4,"!E26"))</f>
        <v>0</v>
      </c>
      <c r="F26" s="278">
        <f t="shared" ca="1" si="3"/>
        <v>0</v>
      </c>
      <c r="G26" s="1300"/>
    </row>
    <row r="27" spans="1:10" x14ac:dyDescent="0.5">
      <c r="A27" s="253">
        <f ca="1">INDIRECT(CONCATENATE("[",$I$2,".xlsx]",$I$4,"!A27"))</f>
        <v>0</v>
      </c>
      <c r="B27" s="15">
        <f ca="1">INDIRECT(CONCATENATE("[",$I$2,".xlsx]",$I$4,"!B27"))</f>
        <v>0</v>
      </c>
      <c r="C27" s="254">
        <f ca="1">INDIRECT(CONCATENATE("[",$I$2,".xlsx]",$I$4,"!C27"))</f>
        <v>0</v>
      </c>
      <c r="D27" s="278">
        <f t="shared" ca="1" si="2"/>
        <v>0</v>
      </c>
      <c r="E27" s="274">
        <f ca="1">INDIRECT(CONCATENATE("[",$I$2,".xlsx]",$I$4,"!E27"))</f>
        <v>0</v>
      </c>
      <c r="F27" s="278">
        <f t="shared" ca="1" si="3"/>
        <v>0</v>
      </c>
      <c r="G27" s="1300"/>
    </row>
    <row r="28" spans="1:10" x14ac:dyDescent="0.5">
      <c r="A28" s="253">
        <f ca="1">INDIRECT(CONCATENATE("[",$I$2,".xlsx]",$I$4,"!A28"))</f>
        <v>0</v>
      </c>
      <c r="B28" s="15">
        <f ca="1">INDIRECT(CONCATENATE("[",$I$2,".xlsx]",$I$4,"!B28"))</f>
        <v>0</v>
      </c>
      <c r="C28" s="254">
        <f ca="1">INDIRECT(CONCATENATE("[",$I$2,".xlsx]",$I$4,"!C28"))</f>
        <v>0</v>
      </c>
      <c r="D28" s="278">
        <f t="shared" ref="D28:D33" ca="1" si="4">B28*$D$4</f>
        <v>0</v>
      </c>
      <c r="E28" s="274">
        <f ca="1">INDIRECT(CONCATENATE("[",$I$2,".xlsx]",$I$4,"!E28"))</f>
        <v>0</v>
      </c>
      <c r="F28" s="278">
        <f t="shared" ref="F28:F33" ca="1" si="5">D28*E28</f>
        <v>0</v>
      </c>
      <c r="G28" s="1300"/>
    </row>
    <row r="29" spans="1:10" x14ac:dyDescent="0.5">
      <c r="A29" s="253">
        <f ca="1">INDIRECT(CONCATENATE("[",$I$2,".xlsx]",$I$4,"!A29"))</f>
        <v>0</v>
      </c>
      <c r="B29" s="15">
        <f ca="1">INDIRECT(CONCATENATE("[",$I$2,".xlsx]",$I$4,"!B29"))</f>
        <v>0</v>
      </c>
      <c r="C29" s="254">
        <f ca="1">INDIRECT(CONCATENATE("[",$I$2,".xlsx]",$I$4,"!C29"))</f>
        <v>0</v>
      </c>
      <c r="D29" s="278">
        <f t="shared" ca="1" si="4"/>
        <v>0</v>
      </c>
      <c r="E29" s="274">
        <f ca="1">INDIRECT(CONCATENATE("[",$I$2,".xlsx]",$I$4,"!E29"))</f>
        <v>0</v>
      </c>
      <c r="F29" s="278">
        <f t="shared" ca="1" si="5"/>
        <v>0</v>
      </c>
      <c r="G29" s="1300"/>
    </row>
    <row r="30" spans="1:10" x14ac:dyDescent="0.5">
      <c r="A30" s="253">
        <f ca="1">INDIRECT(CONCATENATE("[",$I$2,".xlsx]",$I$4,"!A30"))</f>
        <v>0</v>
      </c>
      <c r="B30" s="15">
        <f ca="1">INDIRECT(CONCATENATE("[",$I$2,".xlsx]",$I$4,"!B30"))</f>
        <v>0</v>
      </c>
      <c r="C30" s="254">
        <f ca="1">INDIRECT(CONCATENATE("[",$I$2,".xlsx]",$I$4,"!C30"))</f>
        <v>0</v>
      </c>
      <c r="D30" s="278">
        <f t="shared" ca="1" si="4"/>
        <v>0</v>
      </c>
      <c r="E30" s="274">
        <f ca="1">INDIRECT(CONCATENATE("[",$I$2,".xlsx]",$I$4,"!E30"))</f>
        <v>0</v>
      </c>
      <c r="F30" s="278">
        <f t="shared" ca="1" si="5"/>
        <v>0</v>
      </c>
      <c r="G30" s="1300"/>
    </row>
    <row r="31" spans="1:10" x14ac:dyDescent="0.5">
      <c r="A31" s="253">
        <f ca="1">INDIRECT(CONCATENATE("[",$I$2,".xlsx]",$I$4,"!A31"))</f>
        <v>0</v>
      </c>
      <c r="B31" s="15">
        <f ca="1">INDIRECT(CONCATENATE("[",$I$2,".xlsx]",$I$4,"!B31"))</f>
        <v>0</v>
      </c>
      <c r="C31" s="254">
        <f ca="1">INDIRECT(CONCATENATE("[",$I$2,".xlsx]",$I$4,"!C31"))</f>
        <v>0</v>
      </c>
      <c r="D31" s="278">
        <f t="shared" ca="1" si="4"/>
        <v>0</v>
      </c>
      <c r="E31" s="274">
        <f ca="1">INDIRECT(CONCATENATE("[",$I$2,".xlsx]",$I$4,"!E31"))</f>
        <v>0</v>
      </c>
      <c r="F31" s="278">
        <f t="shared" ca="1" si="5"/>
        <v>0</v>
      </c>
      <c r="G31" s="1300"/>
    </row>
    <row r="32" spans="1:10" x14ac:dyDescent="0.5">
      <c r="A32" s="253">
        <f ca="1">INDIRECT(CONCATENATE("[",$I$2,".xlsx]",$I$4,"!A32"))</f>
        <v>0</v>
      </c>
      <c r="B32" s="15">
        <f ca="1">INDIRECT(CONCATENATE("[",$I$2,".xlsx]",$I$4,"!B32"))</f>
        <v>0</v>
      </c>
      <c r="C32" s="254">
        <f ca="1">INDIRECT(CONCATENATE("[",$I$2,".xlsx]",$I$4,"!C32"))</f>
        <v>0</v>
      </c>
      <c r="D32" s="278">
        <f t="shared" ca="1" si="4"/>
        <v>0</v>
      </c>
      <c r="E32" s="274">
        <f ca="1">INDIRECT(CONCATENATE("[",$I$2,".xlsx]",$I$4,"!E32"))</f>
        <v>0</v>
      </c>
      <c r="F32" s="278">
        <f t="shared" ca="1" si="5"/>
        <v>0</v>
      </c>
      <c r="G32" s="1300"/>
    </row>
    <row r="33" spans="1:7" x14ac:dyDescent="0.5">
      <c r="A33" s="253">
        <f ca="1">INDIRECT(CONCATENATE("[",$I$2,".xlsx]",$I$4,"!A33"))</f>
        <v>0</v>
      </c>
      <c r="B33" s="15">
        <f ca="1">INDIRECT(CONCATENATE("[",$I$2,".xlsx]",$I$4,"!B33"))</f>
        <v>0</v>
      </c>
      <c r="C33" s="254">
        <f ca="1">INDIRECT(CONCATENATE("[",$I$2,".xlsx]",$I$4,"!C33"))</f>
        <v>0</v>
      </c>
      <c r="D33" s="278">
        <f t="shared" ca="1" si="4"/>
        <v>0</v>
      </c>
      <c r="E33" s="274">
        <f ca="1">INDIRECT(CONCATENATE("[",$I$2,".xlsx]",$I$4,"!E33"))</f>
        <v>0</v>
      </c>
      <c r="F33" s="278">
        <f t="shared" ca="1" si="5"/>
        <v>0</v>
      </c>
      <c r="G33" s="1300"/>
    </row>
    <row r="34" spans="1:7" x14ac:dyDescent="0.5">
      <c r="A34" s="1267" t="s">
        <v>257</v>
      </c>
      <c r="B34" s="1268"/>
      <c r="C34" s="1268"/>
      <c r="D34" s="1268"/>
      <c r="E34" s="1268"/>
      <c r="F34" s="1269"/>
    </row>
    <row r="35" spans="1:7" x14ac:dyDescent="0.5">
      <c r="A35" s="1280"/>
      <c r="B35" s="1281"/>
      <c r="C35" s="1281"/>
      <c r="D35" s="1281"/>
      <c r="E35" s="1281"/>
      <c r="F35" s="1282"/>
    </row>
    <row r="36" spans="1:7" ht="18" customHeight="1" x14ac:dyDescent="0.5">
      <c r="A36" s="1274" t="s">
        <v>193</v>
      </c>
      <c r="B36" s="1275"/>
      <c r="C36" s="1276"/>
      <c r="D36" s="217"/>
      <c r="E36" s="1246" t="s">
        <v>340</v>
      </c>
      <c r="F36" s="1304"/>
    </row>
    <row r="37" spans="1:7" ht="15.75" customHeight="1" x14ac:dyDescent="0.5">
      <c r="A37" s="12" t="s">
        <v>195</v>
      </c>
      <c r="B37" s="13"/>
      <c r="C37" s="552">
        <f ca="1">INDIRECT(CONCATENATE("[",$I$2,".xlsx]",$I$4,"!C37"))</f>
        <v>39</v>
      </c>
      <c r="D37" s="217"/>
      <c r="E37" s="1247"/>
      <c r="F37" s="1305"/>
    </row>
    <row r="38" spans="1:7" x14ac:dyDescent="0.5">
      <c r="A38" s="255" t="s">
        <v>287</v>
      </c>
      <c r="B38" s="256" t="s">
        <v>288</v>
      </c>
      <c r="C38" s="256" t="s">
        <v>87</v>
      </c>
      <c r="D38" s="217"/>
      <c r="E38" s="1247"/>
      <c r="F38" s="1305"/>
    </row>
    <row r="39" spans="1:7" x14ac:dyDescent="0.5">
      <c r="A39" s="253" t="str">
        <f ca="1">INDIRECT(CONCATENATE("[",$I$2,".xlsx]",$I$4,"!A39"))</f>
        <v>Zeitausgl. f 40igste-Std)</v>
      </c>
      <c r="B39" s="260">
        <f ca="1">INDIRECT(CONCATENATE("[",$I$2,".xlsx]",$I$4,"!B39"))</f>
        <v>1</v>
      </c>
      <c r="C39" s="263">
        <f ca="1">INDIRECT(CONCATENATE("[",$I$2,".xlsx]",$I$4,"!C39"))</f>
        <v>0</v>
      </c>
      <c r="D39" s="217"/>
      <c r="E39" s="1247"/>
      <c r="F39" s="1305"/>
    </row>
    <row r="40" spans="1:7" x14ac:dyDescent="0.5">
      <c r="A40" s="253" t="str">
        <f ca="1">INDIRECT(CONCATENATE("[",$I$2,".xlsx]",$I$4,"!A40"))</f>
        <v>Überstunde 50%</v>
      </c>
      <c r="B40" s="261">
        <f ca="1">INDIRECT(CONCATENATE("[",$I$2,".xlsx]",$I$4,"!B40"))</f>
        <v>1</v>
      </c>
      <c r="C40" s="263">
        <f ca="1">INDIRECT(CONCATENATE("[",$I$2,".xlsx]",$I$4,"!C40"))</f>
        <v>0.5</v>
      </c>
      <c r="D40" s="217"/>
      <c r="E40" s="1247"/>
      <c r="F40" s="1305"/>
    </row>
    <row r="41" spans="1:7" x14ac:dyDescent="0.5">
      <c r="A41" s="253" t="str">
        <f ca="1">INDIRECT(CONCATENATE("[",$I$2,".xlsx]",$I$4,"!A41"))</f>
        <v>Mehrarbeit 50%</v>
      </c>
      <c r="B41" s="261">
        <f ca="1">INDIRECT(CONCATENATE("[",$I$2,".xlsx]",$I$4,"!B41"))</f>
        <v>1</v>
      </c>
      <c r="C41" s="263">
        <f ca="1">INDIRECT(CONCATENATE("[",$I$2,".xlsx]",$I$4,"!C41"))</f>
        <v>0.5</v>
      </c>
      <c r="D41" s="217"/>
      <c r="E41" s="1247"/>
      <c r="F41" s="1305"/>
    </row>
    <row r="42" spans="1:7" x14ac:dyDescent="0.5">
      <c r="A42" s="253" t="str">
        <f ca="1">INDIRECT(CONCATENATE("[",$I$2,".xlsx]",$I$4,"!A42"))</f>
        <v>Überstunde 100%</v>
      </c>
      <c r="B42" s="261">
        <f ca="1">INDIRECT(CONCATENATE("[",$I$2,".xlsx]",$I$4,"!B42"))</f>
        <v>1</v>
      </c>
      <c r="C42" s="263">
        <f ca="1">INDIRECT(CONCATENATE("[",$I$2,".xlsx]",$I$4,"!C42"))</f>
        <v>1</v>
      </c>
      <c r="D42" s="217"/>
      <c r="E42" s="1247"/>
      <c r="F42" s="1305"/>
    </row>
    <row r="43" spans="1:7" x14ac:dyDescent="0.5">
      <c r="A43" s="253">
        <f ca="1">INDIRECT(CONCATENATE("[",$I$2,".xlsx]",$I$4,"!A43"))</f>
        <v>0</v>
      </c>
      <c r="B43" s="261">
        <f ca="1">INDIRECT(CONCATENATE("[",$I$2,".xlsx]",$I$4,"!B43"))</f>
        <v>0</v>
      </c>
      <c r="C43" s="263">
        <f ca="1">INDIRECT(CONCATENATE("[",$I$2,".xlsx]",$I$4,"!C43"))</f>
        <v>0</v>
      </c>
      <c r="D43" s="217"/>
      <c r="E43" s="1247"/>
      <c r="F43" s="1305"/>
    </row>
    <row r="44" spans="1:7" x14ac:dyDescent="0.5">
      <c r="A44" s="253">
        <f ca="1">INDIRECT(CONCATENATE("[",$I$2,".xlsx]",$I$4,"!A44"))</f>
        <v>0</v>
      </c>
      <c r="B44" s="261">
        <f ca="1">INDIRECT(CONCATENATE("[",$I$2,".xlsx]",$I$4,"!B44"))</f>
        <v>0</v>
      </c>
      <c r="C44" s="263">
        <f ca="1">INDIRECT(CONCATENATE("[",$I$2,".xlsx]",$I$4,"!C44"))</f>
        <v>0</v>
      </c>
      <c r="D44" s="217"/>
      <c r="E44" s="1247"/>
      <c r="F44" s="1305"/>
    </row>
    <row r="45" spans="1:7" x14ac:dyDescent="0.5">
      <c r="A45" s="253">
        <f ca="1">INDIRECT(CONCATENATE("[",$I$2,".xlsx]",$I$4,"!A45"))</f>
        <v>0</v>
      </c>
      <c r="B45" s="261">
        <f ca="1">INDIRECT(CONCATENATE("[",$I$2,".xlsx]",$I$4,"!B45"))</f>
        <v>0</v>
      </c>
      <c r="C45" s="263">
        <f ca="1">INDIRECT(CONCATENATE("[",$I$2,".xlsx]",$I$4,"!C45"))</f>
        <v>0</v>
      </c>
      <c r="D45" s="217"/>
      <c r="E45" s="1306"/>
      <c r="F45" s="1307"/>
    </row>
    <row r="46" spans="1:7" x14ac:dyDescent="0.5">
      <c r="A46" s="253">
        <f ca="1">INDIRECT(CONCATENATE("[",$I$2,".xlsx]",$I$4,"!A46"))</f>
        <v>0</v>
      </c>
      <c r="B46" s="261">
        <f ca="1">INDIRECT(CONCATENATE("[",$I$2,".xlsx]",$I$4,"!B46"))</f>
        <v>0</v>
      </c>
      <c r="C46" s="263">
        <f ca="1">INDIRECT(CONCATENATE("[",$I$2,".xlsx]",$I$4,"!C46"))</f>
        <v>0</v>
      </c>
      <c r="D46" s="217"/>
      <c r="E46" s="420"/>
      <c r="F46" s="421"/>
    </row>
    <row r="47" spans="1:7" x14ac:dyDescent="0.5">
      <c r="A47" s="253">
        <f ca="1">INDIRECT(CONCATENATE("[",$I$2,".xlsx]",$I$4,"!A47"))</f>
        <v>0</v>
      </c>
      <c r="B47" s="261">
        <f ca="1">INDIRECT(CONCATENATE("[",$I$2,".xlsx]",$I$4,"!B47"))</f>
        <v>0</v>
      </c>
      <c r="C47" s="263">
        <f ca="1">INDIRECT(CONCATENATE("[",$I$2,".xlsx]",$I$4,"!C47"))</f>
        <v>0</v>
      </c>
      <c r="D47" s="217"/>
      <c r="E47" s="217"/>
      <c r="F47" s="218"/>
    </row>
    <row r="48" spans="1:7" x14ac:dyDescent="0.5">
      <c r="A48" s="253">
        <f ca="1">INDIRECT(CONCATENATE("[",$I$2,".xlsx]",$I$4,"!A48"))</f>
        <v>0</v>
      </c>
      <c r="B48" s="262">
        <f ca="1">INDIRECT(CONCATENATE("[",$I$2,".xlsx]",$I$4,"!B48"))</f>
        <v>0</v>
      </c>
      <c r="C48" s="263">
        <f ca="1">INDIRECT(CONCATENATE("[",$I$2,".xlsx]",$I$4,"!C48"))</f>
        <v>0</v>
      </c>
      <c r="D48" s="217"/>
      <c r="E48" s="217"/>
      <c r="F48" s="218"/>
    </row>
    <row r="49" spans="1:6" x14ac:dyDescent="0.5">
      <c r="A49" s="255" t="s">
        <v>289</v>
      </c>
      <c r="B49" s="256" t="s">
        <v>288</v>
      </c>
      <c r="C49" s="256" t="s">
        <v>87</v>
      </c>
      <c r="D49" s="217"/>
      <c r="E49" s="217"/>
      <c r="F49" s="218"/>
    </row>
    <row r="50" spans="1:6" x14ac:dyDescent="0.5">
      <c r="A50" s="253" t="str">
        <f ca="1">INDIRECT(CONCATENATE("[",$I$2,".xlsx]",$I$4,"!A50"))</f>
        <v>Andere Verteil. (ab 40igsteStd)</v>
      </c>
      <c r="B50" s="261">
        <f ca="1">INDIRECT(CONCATENATE("[",$I$2,".xlsx]",$I$4,"!B50"))</f>
        <v>1</v>
      </c>
      <c r="C50" s="263">
        <f ca="1">INDIRECT(CONCATENATE("[",$I$2,".xlsx]",$I$4,"!C50"))</f>
        <v>0.1</v>
      </c>
      <c r="D50" s="217"/>
      <c r="E50" s="217"/>
      <c r="F50" s="218"/>
    </row>
    <row r="51" spans="1:6" x14ac:dyDescent="0.5">
      <c r="A51" s="253" t="str">
        <f ca="1">INDIRECT(CONCATENATE("[",$I$2,".xlsx]",$I$4,"!A51"))</f>
        <v>Sonntagsarbeit</v>
      </c>
      <c r="B51" s="261">
        <f ca="1">INDIRECT(CONCATENATE("[",$I$2,".xlsx]",$I$4,"!B51"))</f>
        <v>1</v>
      </c>
      <c r="C51" s="263">
        <f ca="1">INDIRECT(CONCATENATE("[",$I$2,".xlsx]",$I$4,"!C51"))</f>
        <v>1</v>
      </c>
      <c r="D51" s="217"/>
      <c r="E51" s="217"/>
      <c r="F51" s="218"/>
    </row>
    <row r="52" spans="1:6" x14ac:dyDescent="0.5">
      <c r="A52" s="253">
        <f ca="1">INDIRECT(CONCATENATE("[",$I$2,".xlsx]",$I$4,"!A52"))</f>
        <v>0</v>
      </c>
      <c r="B52" s="261">
        <f ca="1">INDIRECT(CONCATENATE("[",$I$2,".xlsx]",$I$4,"!B52"))</f>
        <v>0</v>
      </c>
      <c r="C52" s="263">
        <f ca="1">INDIRECT(CONCATENATE("[",$I$2,".xlsx]",$I$4,"!C52"))</f>
        <v>0</v>
      </c>
      <c r="D52" s="217"/>
      <c r="E52" s="217"/>
      <c r="F52" s="218"/>
    </row>
    <row r="53" spans="1:6" x14ac:dyDescent="0.5">
      <c r="A53" s="253">
        <f ca="1">INDIRECT(CONCATENATE("[",$I$2,".xlsx]",$I$4,"!A53"))</f>
        <v>0</v>
      </c>
      <c r="B53" s="261">
        <f ca="1">INDIRECT(CONCATENATE("[",$I$2,".xlsx]",$I$4,"!B53"))</f>
        <v>0</v>
      </c>
      <c r="C53" s="263">
        <f ca="1">INDIRECT(CONCATENATE("[",$I$2,".xlsx]",$I$4,"!C53"))</f>
        <v>0</v>
      </c>
      <c r="D53" s="217"/>
      <c r="E53" s="217"/>
      <c r="F53" s="218"/>
    </row>
    <row r="54" spans="1:6" x14ac:dyDescent="0.5">
      <c r="A54" s="253">
        <f ca="1">INDIRECT(CONCATENATE("[",$I$2,".xlsx]",$I$4,"!A54"))</f>
        <v>0</v>
      </c>
      <c r="B54" s="261">
        <f ca="1">INDIRECT(CONCATENATE("[",$I$2,".xlsx]",$I$4,"!B54"))</f>
        <v>0</v>
      </c>
      <c r="C54" s="263">
        <f ca="1">INDIRECT(CONCATENATE("[",$I$2,".xlsx]",$I$4,"!C54"))</f>
        <v>0</v>
      </c>
      <c r="D54" s="217"/>
      <c r="E54" s="217"/>
      <c r="F54" s="218"/>
    </row>
    <row r="55" spans="1:6" x14ac:dyDescent="0.5">
      <c r="A55" s="255" t="s">
        <v>341</v>
      </c>
      <c r="B55" s="256" t="s">
        <v>342</v>
      </c>
      <c r="C55" s="167"/>
      <c r="D55" s="217"/>
      <c r="E55" s="217"/>
      <c r="F55" s="218"/>
    </row>
    <row r="56" spans="1:6" x14ac:dyDescent="0.5">
      <c r="A56" s="253" t="str">
        <f ca="1">INDIRECT(CONCATENATE("[",$I$2,".xlsx]",$I$4,"!A56"))</f>
        <v>Schichtarbeit</v>
      </c>
      <c r="B56" s="55">
        <f ca="1">INDIRECT(CONCATENATE("[",$I$2,".xlsx]",$I$4,"!B56"))</f>
        <v>0</v>
      </c>
      <c r="C56" s="257"/>
      <c r="D56" s="217"/>
      <c r="E56" s="217"/>
      <c r="F56" s="218"/>
    </row>
    <row r="57" spans="1:6" x14ac:dyDescent="0.5">
      <c r="A57" s="253">
        <f ca="1">INDIRECT(CONCATENATE("[",$I$2,".xlsx]",$I$4,"!A57"))</f>
        <v>0</v>
      </c>
      <c r="B57" s="55">
        <f ca="1">INDIRECT(CONCATENATE("[",$I$2,".xlsx]",$I$4,"!B57"))</f>
        <v>0</v>
      </c>
      <c r="C57" s="258"/>
      <c r="D57" s="217"/>
      <c r="E57" s="217"/>
      <c r="F57" s="218"/>
    </row>
    <row r="58" spans="1:6" x14ac:dyDescent="0.5">
      <c r="A58" s="253">
        <f ca="1">INDIRECT(CONCATENATE("[",$I$2,".xlsx]",$I$4,"!A58"))</f>
        <v>0</v>
      </c>
      <c r="B58" s="55">
        <f ca="1">INDIRECT(CONCATENATE("[",$I$2,".xlsx]",$I$4,"!B58"))</f>
        <v>0</v>
      </c>
      <c r="C58" s="258"/>
      <c r="D58" s="217"/>
      <c r="E58" s="217"/>
      <c r="F58" s="218"/>
    </row>
    <row r="59" spans="1:6" x14ac:dyDescent="0.5">
      <c r="A59" s="253">
        <f ca="1">INDIRECT(CONCATENATE("[",$I$2,".xlsx]",$I$4,"!A59"))</f>
        <v>0</v>
      </c>
      <c r="B59" s="55">
        <f ca="1">INDIRECT(CONCATENATE("[",$I$2,".xlsx]",$I$4,"!B59"))</f>
        <v>0</v>
      </c>
      <c r="C59" s="258"/>
      <c r="D59" s="217"/>
      <c r="E59" s="217"/>
      <c r="F59" s="218"/>
    </row>
    <row r="60" spans="1:6" x14ac:dyDescent="0.5">
      <c r="A60" s="253">
        <f ca="1">INDIRECT(CONCATENATE("[",$I$2,".xlsx]",$I$4,"!A60"))</f>
        <v>0</v>
      </c>
      <c r="B60" s="55">
        <f ca="1">INDIRECT(CONCATENATE("[",$I$2,".xlsx]",$I$4,"!B60"))</f>
        <v>0</v>
      </c>
      <c r="C60" s="259"/>
      <c r="D60" s="217"/>
      <c r="E60" s="217"/>
      <c r="F60" s="218"/>
    </row>
    <row r="61" spans="1:6" x14ac:dyDescent="0.5">
      <c r="A61" s="88" t="s">
        <v>190</v>
      </c>
      <c r="B61" s="239"/>
      <c r="C61" s="240"/>
      <c r="D61" s="217"/>
      <c r="E61" s="217"/>
      <c r="F61" s="218"/>
    </row>
    <row r="62" spans="1:6" x14ac:dyDescent="0.5">
      <c r="A62" s="67" t="s">
        <v>270</v>
      </c>
      <c r="B62" s="217"/>
      <c r="C62" s="218"/>
      <c r="D62" s="217"/>
      <c r="E62" s="217"/>
      <c r="F62" s="218"/>
    </row>
    <row r="63" spans="1:6" x14ac:dyDescent="0.5">
      <c r="A63" s="69" t="s">
        <v>259</v>
      </c>
      <c r="B63" s="241"/>
      <c r="C63" s="242"/>
      <c r="D63" s="217"/>
      <c r="E63" s="217"/>
      <c r="F63" s="218"/>
    </row>
    <row r="64" spans="1:6" x14ac:dyDescent="0.5">
      <c r="A64" s="1283"/>
      <c r="B64" s="1284"/>
      <c r="C64" s="1284"/>
      <c r="D64" s="217"/>
      <c r="E64" s="217"/>
      <c r="F64" s="218"/>
    </row>
    <row r="65" spans="1:6" x14ac:dyDescent="0.5">
      <c r="A65" s="1285"/>
      <c r="B65" s="1286"/>
      <c r="C65" s="1286"/>
      <c r="D65" s="217"/>
      <c r="E65" s="217"/>
      <c r="F65" s="218"/>
    </row>
    <row r="66" spans="1:6" x14ac:dyDescent="0.5">
      <c r="A66" s="1274" t="s">
        <v>192</v>
      </c>
      <c r="B66" s="1275"/>
      <c r="C66" s="1276"/>
      <c r="D66" s="217"/>
      <c r="E66" s="217"/>
      <c r="F66" s="218"/>
    </row>
    <row r="67" spans="1:6" x14ac:dyDescent="0.5">
      <c r="A67" s="264" t="s">
        <v>111</v>
      </c>
      <c r="B67" s="417" t="s">
        <v>115</v>
      </c>
      <c r="C67" s="265" t="s">
        <v>147</v>
      </c>
      <c r="D67" s="217"/>
      <c r="E67" s="217"/>
      <c r="F67" s="218"/>
    </row>
    <row r="68" spans="1:6" x14ac:dyDescent="0.5">
      <c r="A68" s="266" t="str">
        <f ca="1">INDIRECT(CONCATENATE("[",$I$2,".xlsx]",$I$4,"!A68"))</f>
        <v>Zulage 10%</v>
      </c>
      <c r="B68" s="263">
        <f ca="1">INDIRECT(CONCATENATE("[",$I$2,".xlsx]",$I$4,"!B68"))</f>
        <v>0.1</v>
      </c>
      <c r="C68" s="55">
        <f ca="1">INDIRECT(CONCATENATE("[",$I$2,".xlsx]",$I$4,"!C68"))</f>
        <v>0</v>
      </c>
      <c r="D68" s="422"/>
      <c r="E68" s="217"/>
      <c r="F68" s="218"/>
    </row>
    <row r="69" spans="1:6" x14ac:dyDescent="0.5">
      <c r="A69" s="253" t="str">
        <f ca="1">INDIRECT(CONCATENATE("[",$I$2,".xlsx]",$I$4,"!A69"))</f>
        <v>Zulage 20%</v>
      </c>
      <c r="B69" s="263">
        <f ca="1">INDIRECT(CONCATENATE("[",$I$2,".xlsx]",$I$4,"!B69"))</f>
        <v>0.2</v>
      </c>
      <c r="C69" s="55">
        <f ca="1">INDIRECT(CONCATENATE("[",$I$2,".xlsx]",$I$4,"!C69"))</f>
        <v>0</v>
      </c>
      <c r="D69" s="422"/>
      <c r="E69" s="217"/>
      <c r="F69" s="218"/>
    </row>
    <row r="70" spans="1:6" x14ac:dyDescent="0.5">
      <c r="A70" s="253" t="str">
        <f ca="1">INDIRECT(CONCATENATE("[",$I$2,".xlsx]",$I$4,"!A70"))</f>
        <v>Aufsichtszulage 10%</v>
      </c>
      <c r="B70" s="263">
        <f ca="1">INDIRECT(CONCATENATE("[",$I$2,".xlsx]",$I$4,"!B70"))</f>
        <v>0.1</v>
      </c>
      <c r="C70" s="55">
        <f ca="1">INDIRECT(CONCATENATE("[",$I$2,".xlsx]",$I$4,"!C70"))</f>
        <v>0</v>
      </c>
      <c r="D70" s="422"/>
      <c r="E70" s="217"/>
      <c r="F70" s="218"/>
    </row>
    <row r="71" spans="1:6" x14ac:dyDescent="0.5">
      <c r="A71" s="253" t="str">
        <f ca="1">INDIRECT(CONCATENATE("[",$I$2,".xlsx]",$I$4,"!A71"))</f>
        <v>Aufsichtszulage 20%</v>
      </c>
      <c r="B71" s="263">
        <f ca="1">INDIRECT(CONCATENATE("[",$I$2,".xlsx]",$I$4,"!B71"))</f>
        <v>0.2</v>
      </c>
      <c r="C71" s="55">
        <f ca="1">INDIRECT(CONCATENATE("[",$I$2,".xlsx]",$I$4,"!C71"))</f>
        <v>0</v>
      </c>
      <c r="D71" s="422"/>
      <c r="E71" s="217"/>
      <c r="F71" s="218"/>
    </row>
    <row r="72" spans="1:6" x14ac:dyDescent="0.5">
      <c r="A72" s="253" t="str">
        <f ca="1">INDIRECT(CONCATENATE("[",$I$2,".xlsx]",$I$4,"!A72"))</f>
        <v>Sandstrahlzulage 20%</v>
      </c>
      <c r="B72" s="263">
        <f ca="1">INDIRECT(CONCATENATE("[",$I$2,".xlsx]",$I$4,"!B72"))</f>
        <v>0.2</v>
      </c>
      <c r="C72" s="55">
        <f ca="1">INDIRECT(CONCATENATE("[",$I$2,".xlsx]",$I$4,"!C72"))</f>
        <v>0</v>
      </c>
      <c r="D72" s="422"/>
      <c r="E72" s="217"/>
      <c r="F72" s="218"/>
    </row>
    <row r="73" spans="1:6" x14ac:dyDescent="0.5">
      <c r="A73" s="253">
        <f ca="1">INDIRECT(CONCATENATE("[",$I$2,".xlsx]",$I$4,"!A73"))</f>
        <v>0</v>
      </c>
      <c r="B73" s="263">
        <f ca="1">INDIRECT(CONCATENATE("[",$I$2,".xlsx]",$I$4,"!B73"))</f>
        <v>0</v>
      </c>
      <c r="C73" s="55">
        <f ca="1">INDIRECT(CONCATENATE("[",$I$2,".xlsx]",$I$4,"!C73"))</f>
        <v>0</v>
      </c>
      <c r="D73" s="422"/>
      <c r="E73" s="422"/>
      <c r="F73" s="218"/>
    </row>
    <row r="74" spans="1:6" x14ac:dyDescent="0.5">
      <c r="A74" s="253">
        <f ca="1">INDIRECT(CONCATENATE("[",$I$2,".xlsx]",$I$4,"!A74"))</f>
        <v>0</v>
      </c>
      <c r="B74" s="263">
        <f ca="1">INDIRECT(CONCATENATE("[",$I$2,".xlsx]",$I$4,"!B74"))</f>
        <v>0</v>
      </c>
      <c r="C74" s="55">
        <f ca="1">INDIRECT(CONCATENATE("[",$I$2,".xlsx]",$I$4,"!C74"))</f>
        <v>0</v>
      </c>
      <c r="D74" s="422"/>
      <c r="E74" s="217"/>
      <c r="F74" s="218"/>
    </row>
    <row r="75" spans="1:6" x14ac:dyDescent="0.5">
      <c r="A75" s="253">
        <f ca="1">INDIRECT(CONCATENATE("[",$I$2,".xlsx]",$I$4,"!A75"))</f>
        <v>0</v>
      </c>
      <c r="B75" s="263">
        <f ca="1">INDIRECT(CONCATENATE("[",$I$2,".xlsx]",$I$4,"!B75"))</f>
        <v>0</v>
      </c>
      <c r="C75" s="55">
        <f ca="1">INDIRECT(CONCATENATE("[",$I$2,".xlsx]",$I$4,"!C75"))</f>
        <v>0</v>
      </c>
      <c r="D75" s="422"/>
      <c r="E75" s="217"/>
      <c r="F75" s="218"/>
    </row>
    <row r="76" spans="1:6" x14ac:dyDescent="0.5">
      <c r="A76" s="253">
        <f ca="1">INDIRECT(CONCATENATE("[",$I$2,".xlsx]",$I$4,"!A76"))</f>
        <v>0</v>
      </c>
      <c r="B76" s="263">
        <f ca="1">INDIRECT(CONCATENATE("[",$I$2,".xlsx]",$I$4,"!B76"))</f>
        <v>0</v>
      </c>
      <c r="C76" s="55">
        <f ca="1">INDIRECT(CONCATENATE("[",$I$2,".xlsx]",$I$4,"!C76"))</f>
        <v>0</v>
      </c>
      <c r="D76" s="422"/>
      <c r="E76" s="217"/>
      <c r="F76" s="218"/>
    </row>
    <row r="77" spans="1:6" x14ac:dyDescent="0.5">
      <c r="A77" s="253">
        <f ca="1">INDIRECT(CONCATENATE("[",$I$2,".xlsx]",$I$4,"!A77"))</f>
        <v>0</v>
      </c>
      <c r="B77" s="263">
        <f ca="1">INDIRECT(CONCATENATE("[",$I$2,".xlsx]",$I$4,"!B77"))</f>
        <v>0</v>
      </c>
      <c r="C77" s="55">
        <f ca="1">INDIRECT(CONCATENATE("[",$I$2,".xlsx]",$I$4,"!C77"))</f>
        <v>0</v>
      </c>
      <c r="D77" s="422"/>
      <c r="E77" s="217"/>
      <c r="F77" s="218"/>
    </row>
    <row r="78" spans="1:6" x14ac:dyDescent="0.5">
      <c r="A78" s="253">
        <f ca="1">INDIRECT(CONCATENATE("[",$I$2,".xlsx]",$I$4,"!A78"))</f>
        <v>0</v>
      </c>
      <c r="B78" s="263">
        <f ca="1">INDIRECT(CONCATENATE("[",$I$2,".xlsx]",$I$4,"!B78"))</f>
        <v>0</v>
      </c>
      <c r="C78" s="55">
        <f ca="1">INDIRECT(CONCATENATE("[",$I$2,".xlsx]",$I$4,"!C78"))</f>
        <v>0</v>
      </c>
      <c r="D78" s="422"/>
      <c r="E78" s="217"/>
      <c r="F78" s="218"/>
    </row>
    <row r="79" spans="1:6" x14ac:dyDescent="0.5">
      <c r="A79" s="253">
        <f ca="1">INDIRECT(CONCATENATE("[",$I$2,".xlsx]",$I$4,"!A79"))</f>
        <v>0</v>
      </c>
      <c r="B79" s="263">
        <f ca="1">INDIRECT(CONCATENATE("[",$I$2,".xlsx]",$I$4,"!B79"))</f>
        <v>0</v>
      </c>
      <c r="C79" s="55">
        <f ca="1">INDIRECT(CONCATENATE("[",$I$2,".xlsx]",$I$4,"!C79"))</f>
        <v>0</v>
      </c>
      <c r="D79" s="422"/>
      <c r="E79" s="217"/>
      <c r="F79" s="218"/>
    </row>
    <row r="80" spans="1:6" x14ac:dyDescent="0.5">
      <c r="A80" s="253">
        <f ca="1">INDIRECT(CONCATENATE("[",$I$2,".xlsx]",$I$4,"!A80"))</f>
        <v>0</v>
      </c>
      <c r="B80" s="263">
        <f ca="1">INDIRECT(CONCATENATE("[",$I$2,".xlsx]",$I$4,"!B80"))</f>
        <v>0</v>
      </c>
      <c r="C80" s="55">
        <f ca="1">INDIRECT(CONCATENATE("[",$I$2,".xlsx]",$I$4,"!C80"))</f>
        <v>0</v>
      </c>
      <c r="D80" s="422"/>
      <c r="E80" s="217"/>
      <c r="F80" s="218"/>
    </row>
    <row r="81" spans="1:6" x14ac:dyDescent="0.5">
      <c r="A81" s="253">
        <f ca="1">INDIRECT(CONCATENATE("[",$I$2,".xlsx]",$I$4,"!A81"))</f>
        <v>0</v>
      </c>
      <c r="B81" s="263">
        <f ca="1">INDIRECT(CONCATENATE("[",$I$2,".xlsx]",$I$4,"!B81"))</f>
        <v>0</v>
      </c>
      <c r="C81" s="55">
        <f ca="1">INDIRECT(CONCATENATE("[",$I$2,".xlsx]",$I$4,"!C81"))</f>
        <v>0</v>
      </c>
      <c r="D81" s="422"/>
      <c r="E81" s="217"/>
      <c r="F81" s="218"/>
    </row>
    <row r="82" spans="1:6" x14ac:dyDescent="0.5">
      <c r="A82" s="253">
        <f ca="1">INDIRECT(CONCATENATE("[",$I$2,".xlsx]",$I$4,"!A82"))</f>
        <v>0</v>
      </c>
      <c r="B82" s="263">
        <f ca="1">INDIRECT(CONCATENATE("[",$I$2,".xlsx]",$I$4,"!B82"))</f>
        <v>0</v>
      </c>
      <c r="C82" s="55">
        <f ca="1">INDIRECT(CONCATENATE("[",$I$2,".xlsx]",$I$4,"!C82"))</f>
        <v>0</v>
      </c>
      <c r="D82" s="422"/>
      <c r="E82" s="217"/>
      <c r="F82" s="218"/>
    </row>
    <row r="83" spans="1:6" x14ac:dyDescent="0.5">
      <c r="A83" s="253">
        <f ca="1">INDIRECT(CONCATENATE("[",$I$2,".xlsx]",$I$4,"!A83"))</f>
        <v>0</v>
      </c>
      <c r="B83" s="263">
        <f ca="1">INDIRECT(CONCATENATE("[",$I$2,".xlsx]",$I$4,"!B83"))</f>
        <v>0</v>
      </c>
      <c r="C83" s="55">
        <f ca="1">INDIRECT(CONCATENATE("[",$I$2,".xlsx]",$I$4,"!C83"))</f>
        <v>0</v>
      </c>
      <c r="D83" s="422"/>
      <c r="E83" s="217"/>
      <c r="F83" s="218"/>
    </row>
    <row r="84" spans="1:6" x14ac:dyDescent="0.5">
      <c r="A84" s="253">
        <f ca="1">INDIRECT(CONCATENATE("[",$I$2,".xlsx]",$I$4,"!A84"))</f>
        <v>0</v>
      </c>
      <c r="B84" s="263">
        <f ca="1">INDIRECT(CONCATENATE("[",$I$2,".xlsx]",$I$4,"!B84"))</f>
        <v>0</v>
      </c>
      <c r="C84" s="55">
        <f ca="1">INDIRECT(CONCATENATE("[",$I$2,".xlsx]",$I$4,"!C84"))</f>
        <v>0</v>
      </c>
      <c r="D84" s="422"/>
      <c r="E84" s="217"/>
      <c r="F84" s="218"/>
    </row>
    <row r="85" spans="1:6" x14ac:dyDescent="0.5">
      <c r="A85" s="253">
        <f ca="1">INDIRECT(CONCATENATE("[",$I$2,".xlsx]",$I$4,"!A85"))</f>
        <v>0</v>
      </c>
      <c r="B85" s="263">
        <f ca="1">INDIRECT(CONCATENATE("[",$I$2,".xlsx]",$I$4,"!B85"))</f>
        <v>0</v>
      </c>
      <c r="C85" s="55">
        <f ca="1">INDIRECT(CONCATENATE("[",$I$2,".xlsx]",$I$4,"!C85"))</f>
        <v>0</v>
      </c>
      <c r="D85" s="422"/>
      <c r="E85" s="217"/>
      <c r="F85" s="218"/>
    </row>
    <row r="86" spans="1:6" x14ac:dyDescent="0.5">
      <c r="A86" s="253">
        <f ca="1">INDIRECT(CONCATENATE("[",$I$2,".xlsx]",$I$4,"!A86"))</f>
        <v>0</v>
      </c>
      <c r="B86" s="263">
        <f ca="1">INDIRECT(CONCATENATE("[",$I$2,".xlsx]",$I$4,"!B86"))</f>
        <v>0</v>
      </c>
      <c r="C86" s="55">
        <f ca="1">INDIRECT(CONCATENATE("[",$I$2,".xlsx]",$I$4,"!C86"))</f>
        <v>0</v>
      </c>
      <c r="D86" s="422"/>
      <c r="E86" s="217"/>
      <c r="F86" s="218"/>
    </row>
    <row r="87" spans="1:6" x14ac:dyDescent="0.5">
      <c r="A87" s="253">
        <f ca="1">INDIRECT(CONCATENATE("[",$I$2,".xlsx]",$I$4,"!A87"))</f>
        <v>0</v>
      </c>
      <c r="B87" s="263">
        <f ca="1">INDIRECT(CONCATENATE("[",$I$2,".xlsx]",$I$4,"!B87"))</f>
        <v>0</v>
      </c>
      <c r="C87" s="55">
        <f ca="1">INDIRECT(CONCATENATE("[",$I$2,".xlsx]",$I$4,"!C87"))</f>
        <v>0</v>
      </c>
      <c r="D87" s="422"/>
      <c r="E87" s="217"/>
      <c r="F87" s="218"/>
    </row>
    <row r="88" spans="1:6" x14ac:dyDescent="0.5">
      <c r="A88" s="253">
        <f ca="1">INDIRECT(CONCATENATE("[",$I$2,".xlsx]",$I$4,"!A88"))</f>
        <v>0</v>
      </c>
      <c r="B88" s="263">
        <f ca="1">INDIRECT(CONCATENATE("[",$I$2,".xlsx]",$I$4,"!B88"))</f>
        <v>0</v>
      </c>
      <c r="C88" s="55">
        <f ca="1">INDIRECT(CONCATENATE("[",$I$2,".xlsx]",$I$4,"!C88"))</f>
        <v>0</v>
      </c>
      <c r="D88" s="422"/>
      <c r="E88" s="217"/>
      <c r="F88" s="218"/>
    </row>
    <row r="89" spans="1:6" x14ac:dyDescent="0.5">
      <c r="A89" s="253">
        <f ca="1">INDIRECT(CONCATENATE("[",$I$2,".xlsx]",$I$4,"!A89"))</f>
        <v>0</v>
      </c>
      <c r="B89" s="263">
        <f ca="1">INDIRECT(CONCATENATE("[",$I$2,".xlsx]",$I$4,"!B89"))</f>
        <v>0</v>
      </c>
      <c r="C89" s="55">
        <f ca="1">INDIRECT(CONCATENATE("[",$I$2,".xlsx]",$I$4,"!C90"))</f>
        <v>0</v>
      </c>
      <c r="D89" s="422"/>
      <c r="E89" s="217"/>
      <c r="F89" s="218"/>
    </row>
    <row r="90" spans="1:6" x14ac:dyDescent="0.5">
      <c r="A90" s="253">
        <f ca="1">INDIRECT(CONCATENATE("[",$I$2,".xlsx]",$I$4,"!A90"))</f>
        <v>0</v>
      </c>
      <c r="B90" s="263">
        <f ca="1">INDIRECT(CONCATENATE("[",$I$2,".xlsx]",$I$4,"!B90"))</f>
        <v>0</v>
      </c>
      <c r="C90" s="55">
        <f ca="1">INDIRECT(CONCATENATE("[",$I$2,".xlsx]",$I$4,"!C90"))</f>
        <v>0</v>
      </c>
      <c r="D90" s="422"/>
      <c r="E90" s="217"/>
      <c r="F90" s="218"/>
    </row>
    <row r="91" spans="1:6" x14ac:dyDescent="0.5">
      <c r="A91" s="253">
        <f ca="1">INDIRECT(CONCATENATE("[",$I$2,".xlsx]",$I$4,"!A91"))</f>
        <v>0</v>
      </c>
      <c r="B91" s="263">
        <f ca="1">INDIRECT(CONCATENATE("[",$I$2,".xlsx]",$I$4,"!B91"))</f>
        <v>0</v>
      </c>
      <c r="C91" s="55">
        <f ca="1">INDIRECT(CONCATENATE("[",$I$2,".xlsx]",$I$4,"!C91"))</f>
        <v>0</v>
      </c>
      <c r="D91" s="422"/>
      <c r="E91" s="217"/>
      <c r="F91" s="218"/>
    </row>
    <row r="92" spans="1:6" x14ac:dyDescent="0.5">
      <c r="A92" s="253">
        <f ca="1">INDIRECT(CONCATENATE("[",$I$2,".xlsx]",$I$4,"!A92"))</f>
        <v>0</v>
      </c>
      <c r="B92" s="263">
        <f ca="1">INDIRECT(CONCATENATE("[",$I$2,".xlsx]",$I$4,"!B92"))</f>
        <v>0</v>
      </c>
      <c r="C92" s="55">
        <f ca="1">INDIRECT(CONCATENATE("[",$I$2,".xlsx]",$I$4,"!C92"))</f>
        <v>0</v>
      </c>
      <c r="D92" s="422"/>
      <c r="E92" s="217"/>
      <c r="F92" s="218"/>
    </row>
    <row r="93" spans="1:6" x14ac:dyDescent="0.5">
      <c r="A93" s="253">
        <f ca="1">INDIRECT(CONCATENATE("[",$I$2,".xlsx]",$I$4,"!A93"))</f>
        <v>0</v>
      </c>
      <c r="B93" s="263">
        <f ca="1">INDIRECT(CONCATENATE("[",$I$2,".xlsx]",$I$4,"!B93"))</f>
        <v>0</v>
      </c>
      <c r="C93" s="55">
        <f ca="1">INDIRECT(CONCATENATE("[",$I$2,".xlsx]",$I$4,"!C93"))</f>
        <v>0</v>
      </c>
      <c r="D93" s="422"/>
      <c r="E93" s="217"/>
      <c r="F93" s="218"/>
    </row>
    <row r="94" spans="1:6" x14ac:dyDescent="0.5">
      <c r="A94" s="267">
        <f ca="1">INDIRECT(CONCATENATE("[",$I$2,".xlsx]",$I$4,"!A94"))</f>
        <v>0</v>
      </c>
      <c r="B94" s="348">
        <f ca="1">INDIRECT(CONCATENATE("[",$I$2,".xlsx]",$I$4,"!B94"))</f>
        <v>0</v>
      </c>
      <c r="C94" s="56">
        <f ca="1">INDIRECT(CONCATENATE("[",$I$2,".xlsx]",$I$4,"!C94"))</f>
        <v>0</v>
      </c>
      <c r="D94" s="422"/>
      <c r="E94" s="217"/>
      <c r="F94" s="218"/>
    </row>
    <row r="95" spans="1:6" x14ac:dyDescent="0.5">
      <c r="A95" s="1330"/>
      <c r="B95" s="1303"/>
      <c r="C95" s="1303"/>
      <c r="D95" s="217"/>
      <c r="E95" s="217"/>
      <c r="F95" s="218"/>
    </row>
    <row r="96" spans="1:6" x14ac:dyDescent="0.5">
      <c r="A96" s="1274" t="s">
        <v>191</v>
      </c>
      <c r="B96" s="1275"/>
      <c r="C96" s="1275"/>
      <c r="D96" s="1276"/>
      <c r="E96" s="217"/>
      <c r="F96" s="218"/>
    </row>
    <row r="97" spans="1:6" x14ac:dyDescent="0.5">
      <c r="A97" s="12" t="s">
        <v>98</v>
      </c>
      <c r="B97" s="268">
        <f ca="1">INDIRECT(CONCATENATE("[",$I$2,".xlsx]",$I$4,"!B97"))</f>
        <v>26.4</v>
      </c>
      <c r="C97" s="14" t="s">
        <v>149</v>
      </c>
      <c r="D97" s="14"/>
      <c r="E97" s="217"/>
      <c r="F97" s="218"/>
    </row>
    <row r="98" spans="1:6" x14ac:dyDescent="0.5">
      <c r="A98" s="1270" t="s">
        <v>104</v>
      </c>
      <c r="B98" s="1277" t="s">
        <v>25</v>
      </c>
      <c r="C98" s="1278"/>
      <c r="D98" s="1279"/>
      <c r="E98" s="217"/>
      <c r="F98" s="218"/>
    </row>
    <row r="99" spans="1:6" x14ac:dyDescent="0.5">
      <c r="A99" s="1271"/>
      <c r="B99" s="272" t="s">
        <v>101</v>
      </c>
      <c r="C99" s="272" t="s">
        <v>102</v>
      </c>
      <c r="D99" s="269" t="s">
        <v>68</v>
      </c>
      <c r="E99" s="217"/>
      <c r="F99" s="218"/>
    </row>
    <row r="100" spans="1:6" x14ac:dyDescent="0.5">
      <c r="A100" s="253" t="str">
        <f ca="1">INDIRECT(CONCATENATE("[",$I$2,".xlsx]",$I$4,"!A100"))</f>
        <v>Taggeld (&gt; 3 Std; tägl. Rückreise)</v>
      </c>
      <c r="B100" s="55">
        <f ca="1">INDIRECT(CONCATENATE("[",$I$2,".xlsx]",$I$4,"!B100"))</f>
        <v>6.3</v>
      </c>
      <c r="C100" s="55">
        <f ca="1">INDIRECT(CONCATENATE("[",$I$2,".xlsx]",$I$4,"!C100"))</f>
        <v>0</v>
      </c>
      <c r="D100" s="15">
        <f ca="1">B100+C100</f>
        <v>6.3</v>
      </c>
      <c r="E100" s="217"/>
      <c r="F100" s="218"/>
    </row>
    <row r="101" spans="1:6" x14ac:dyDescent="0.5">
      <c r="A101" s="253" t="str">
        <f ca="1">INDIRECT(CONCATENATE("[",$I$2,".xlsx]",$I$4,"!A101"))</f>
        <v>Taggeld (ohne tägl. Rückreise)</v>
      </c>
      <c r="B101" s="55">
        <f ca="1">INDIRECT(CONCATENATE("[",$I$2,".xlsx]",$I$4,"!B101"))</f>
        <v>26.4</v>
      </c>
      <c r="C101" s="55">
        <f ca="1">INDIRECT(CONCATENATE("[",$I$2,".xlsx]",$I$4,"!C101"))</f>
        <v>0</v>
      </c>
      <c r="D101" s="15">
        <f t="shared" ref="D101:D109" ca="1" si="6">B101+C101</f>
        <v>26.4</v>
      </c>
      <c r="E101" s="217"/>
      <c r="F101" s="218"/>
    </row>
    <row r="102" spans="1:6" x14ac:dyDescent="0.5">
      <c r="A102" s="253" t="str">
        <f ca="1">INDIRECT(CONCATENATE("[",$I$2,".xlsx]",$I$4,"!A102"))</f>
        <v>TG Korrosionsschutz ... gem Art XV Z 2</v>
      </c>
      <c r="B102" s="55">
        <f ca="1">INDIRECT(CONCATENATE("[",$I$2,".xlsx]",$I$4,"!B102"))</f>
        <v>26.4</v>
      </c>
      <c r="C102" s="55">
        <f ca="1">INDIRECT(CONCATENATE("[",$I$2,".xlsx]",$I$4,"!C102"))</f>
        <v>14.51</v>
      </c>
      <c r="D102" s="15">
        <f t="shared" ca="1" si="6"/>
        <v>40.909999999999997</v>
      </c>
      <c r="E102" s="217"/>
      <c r="F102" s="218"/>
    </row>
    <row r="103" spans="1:6" x14ac:dyDescent="0.5">
      <c r="A103" s="253" t="str">
        <f ca="1">INDIRECT(CONCATENATE("[",$I$2,".xlsx]",$I$4,"!A103"))</f>
        <v>Nächtigungsgeld</v>
      </c>
      <c r="B103" s="55">
        <f ca="1">INDIRECT(CONCATENATE("[",$I$2,".xlsx]",$I$4,"!B103"))</f>
        <v>10</v>
      </c>
      <c r="C103" s="55">
        <f ca="1">INDIRECT(CONCATENATE("[",$I$2,".xlsx]",$I$4,"!C103"))</f>
        <v>0</v>
      </c>
      <c r="D103" s="15">
        <f t="shared" ca="1" si="6"/>
        <v>10</v>
      </c>
      <c r="E103" s="217"/>
      <c r="F103" s="218"/>
    </row>
    <row r="104" spans="1:6" x14ac:dyDescent="0.5">
      <c r="A104" s="253">
        <f ca="1">INDIRECT(CONCATENATE("[",$I$2,".xlsx]",$I$4,"!A104"))</f>
        <v>0</v>
      </c>
      <c r="B104" s="55">
        <f ca="1">INDIRECT(CONCATENATE("[",$I$2,".xlsx]",$I$4,"!B104"))</f>
        <v>0</v>
      </c>
      <c r="C104" s="55">
        <f ca="1">INDIRECT(CONCATENATE("[",$I$2,".xlsx]",$I$4,"!C104"))</f>
        <v>0</v>
      </c>
      <c r="D104" s="15">
        <f t="shared" ca="1" si="6"/>
        <v>0</v>
      </c>
      <c r="E104" s="217"/>
      <c r="F104" s="218"/>
    </row>
    <row r="105" spans="1:6" x14ac:dyDescent="0.5">
      <c r="A105" s="253">
        <f ca="1">INDIRECT(CONCATENATE("[",$I$2,".xlsx]",$I$4,"!A105"))</f>
        <v>0</v>
      </c>
      <c r="B105" s="55">
        <f ca="1">INDIRECT(CONCATENATE("[",$I$2,".xlsx]",$I$4,"!B105"))</f>
        <v>0</v>
      </c>
      <c r="C105" s="55">
        <f ca="1">INDIRECT(CONCATENATE("[",$I$2,".xlsx]",$I$4,"!C105"))</f>
        <v>0</v>
      </c>
      <c r="D105" s="15">
        <f t="shared" ca="1" si="6"/>
        <v>0</v>
      </c>
      <c r="E105" s="217"/>
      <c r="F105" s="218"/>
    </row>
    <row r="106" spans="1:6" x14ac:dyDescent="0.5">
      <c r="A106" s="253">
        <f ca="1">INDIRECT(CONCATENATE("[",$I$2,".xlsx]",$I$4,"!A106"))</f>
        <v>0</v>
      </c>
      <c r="B106" s="55">
        <f ca="1">INDIRECT(CONCATENATE("[",$I$2,".xlsx]",$I$4,"!B106"))</f>
        <v>0</v>
      </c>
      <c r="C106" s="55">
        <f ca="1">INDIRECT(CONCATENATE("[",$I$2,".xlsx]",$I$4,"!C106"))</f>
        <v>0</v>
      </c>
      <c r="D106" s="15">
        <f t="shared" ca="1" si="6"/>
        <v>0</v>
      </c>
      <c r="E106" s="217"/>
      <c r="F106" s="218"/>
    </row>
    <row r="107" spans="1:6" x14ac:dyDescent="0.5">
      <c r="A107" s="253">
        <f ca="1">INDIRECT(CONCATENATE("[",$I$2,".xlsx]",$I$4,"!A107"))</f>
        <v>0</v>
      </c>
      <c r="B107" s="55">
        <f ca="1">INDIRECT(CONCATENATE("[",$I$2,".xlsx]",$I$4,"!B107"))</f>
        <v>0</v>
      </c>
      <c r="C107" s="55">
        <f ca="1">INDIRECT(CONCATENATE("[",$I$2,".xlsx]",$I$4,"!C107"))</f>
        <v>0</v>
      </c>
      <c r="D107" s="15">
        <f t="shared" ca="1" si="6"/>
        <v>0</v>
      </c>
      <c r="E107" s="217"/>
      <c r="F107" s="218"/>
    </row>
    <row r="108" spans="1:6" x14ac:dyDescent="0.5">
      <c r="A108" s="253">
        <f ca="1">INDIRECT(CONCATENATE("[",$I$2,".xlsx]",$I$4,"!A108"))</f>
        <v>0</v>
      </c>
      <c r="B108" s="55">
        <f ca="1">INDIRECT(CONCATENATE("[",$I$2,".xlsx]",$I$4,"!B108"))</f>
        <v>0</v>
      </c>
      <c r="C108" s="55">
        <f ca="1">INDIRECT(CONCATENATE("[",$I$2,".xlsx]",$I$4,"!C108"))</f>
        <v>0</v>
      </c>
      <c r="D108" s="15">
        <f t="shared" ca="1" si="6"/>
        <v>0</v>
      </c>
      <c r="E108" s="217"/>
      <c r="F108" s="218"/>
    </row>
    <row r="109" spans="1:6" x14ac:dyDescent="0.5">
      <c r="A109" s="253">
        <f ca="1">INDIRECT(CONCATENATE("[",$I$2,".xlsx]",$I$4,"!A109"))</f>
        <v>0</v>
      </c>
      <c r="B109" s="55">
        <f ca="1">INDIRECT(CONCATENATE("[",$I$2,".xlsx]",$I$4,"!B109"))</f>
        <v>0</v>
      </c>
      <c r="C109" s="55">
        <f ca="1">INDIRECT(CONCATENATE("[",$I$2,".xlsx]",$I$4,"!C109"))</f>
        <v>0</v>
      </c>
      <c r="D109" s="15">
        <f t="shared" ca="1" si="6"/>
        <v>0</v>
      </c>
      <c r="E109" s="217"/>
      <c r="F109" s="218"/>
    </row>
    <row r="110" spans="1:6" x14ac:dyDescent="0.5">
      <c r="A110" s="253">
        <f ca="1">INDIRECT(CONCATENATE("[",$I$2,".xlsx]",$I$4,"!A110"))</f>
        <v>0</v>
      </c>
      <c r="B110" s="55">
        <f ca="1">INDIRECT(CONCATENATE("[",$I$2,".xlsx]",$I$4,"!B110"))</f>
        <v>0</v>
      </c>
      <c r="C110" s="55">
        <f ca="1">INDIRECT(CONCATENATE("[",$I$2,".xlsx]",$I$4,"!C110"))</f>
        <v>0</v>
      </c>
      <c r="D110" s="15">
        <f t="shared" ref="D110:D111" ca="1" si="7">B110+C110</f>
        <v>0</v>
      </c>
      <c r="E110" s="217"/>
      <c r="F110" s="218"/>
    </row>
    <row r="111" spans="1:6" x14ac:dyDescent="0.5">
      <c r="A111" s="253">
        <f ca="1">INDIRECT(CONCATENATE("[",$I$2,".xlsx]",$I$4,"!A111"))</f>
        <v>0</v>
      </c>
      <c r="B111" s="55">
        <f ca="1">INDIRECT(CONCATENATE("[",$I$2,".xlsx]",$I$4,"!B111"))</f>
        <v>0</v>
      </c>
      <c r="C111" s="55">
        <f ca="1">INDIRECT(CONCATENATE("[",$I$2,".xlsx]",$I$4,"!C111"))</f>
        <v>0</v>
      </c>
      <c r="D111" s="15">
        <f t="shared" ca="1" si="7"/>
        <v>0</v>
      </c>
      <c r="E111" s="217"/>
      <c r="F111" s="218"/>
    </row>
    <row r="112" spans="1:6" x14ac:dyDescent="0.5">
      <c r="A112" s="1252" t="s">
        <v>180</v>
      </c>
      <c r="B112" s="1254" t="s">
        <v>181</v>
      </c>
      <c r="C112" s="1255"/>
      <c r="D112" s="1256"/>
      <c r="E112" s="217"/>
      <c r="F112" s="218"/>
    </row>
    <row r="113" spans="1:6" x14ac:dyDescent="0.5">
      <c r="A113" s="1253"/>
      <c r="B113" s="270" t="s">
        <v>101</v>
      </c>
      <c r="C113" s="270" t="s">
        <v>102</v>
      </c>
      <c r="D113" s="271" t="s">
        <v>68</v>
      </c>
      <c r="E113" s="217"/>
      <c r="F113" s="218"/>
    </row>
    <row r="114" spans="1:6" x14ac:dyDescent="0.5">
      <c r="A114" s="253">
        <f ca="1">INDIRECT(CONCATENATE("[",$I$2,".xlsx]",$I$4,"!A114"))</f>
        <v>0</v>
      </c>
      <c r="B114" s="55">
        <f ca="1">INDIRECT(CONCATENATE("[",$I$2,".xlsx]",$I$4,"!B114"))</f>
        <v>0</v>
      </c>
      <c r="C114" s="55">
        <f ca="1">INDIRECT(CONCATENATE("[",$I$2,".xlsx]",$I$4,"!C114"))</f>
        <v>0</v>
      </c>
      <c r="D114" s="55">
        <f t="shared" ref="D114:D116" ca="1" si="8">B114+C114</f>
        <v>0</v>
      </c>
      <c r="E114" s="217"/>
      <c r="F114" s="218"/>
    </row>
    <row r="115" spans="1:6" x14ac:dyDescent="0.5">
      <c r="A115" s="253">
        <f ca="1">INDIRECT(CONCATENATE("[",$I$2,".xlsx]",$I$4,"!A115"))</f>
        <v>0</v>
      </c>
      <c r="B115" s="55">
        <f ca="1">INDIRECT(CONCATENATE("[",$I$2,".xlsx]",$I$4,"!B115"))</f>
        <v>0</v>
      </c>
      <c r="C115" s="55">
        <f ca="1">INDIRECT(CONCATENATE("[",$I$2,".xlsx]",$I$4,"!C115"))</f>
        <v>0</v>
      </c>
      <c r="D115" s="55">
        <f t="shared" ca="1" si="8"/>
        <v>0</v>
      </c>
      <c r="E115" s="217"/>
      <c r="F115" s="218"/>
    </row>
    <row r="116" spans="1:6" x14ac:dyDescent="0.5">
      <c r="A116" s="267">
        <f ca="1">INDIRECT(CONCATENATE("[",$I$2,".xlsx]",$I$4,"!A116"))</f>
        <v>0</v>
      </c>
      <c r="B116" s="55">
        <f ca="1">INDIRECT(CONCATENATE("[",$I$2,".xlsx]",$I$4,"!B116"))</f>
        <v>0</v>
      </c>
      <c r="C116" s="55">
        <f ca="1">INDIRECT(CONCATENATE("[",$I$2,".xlsx]",$I$4,"!C116"))</f>
        <v>0</v>
      </c>
      <c r="D116" s="55">
        <f t="shared" ca="1" si="8"/>
        <v>0</v>
      </c>
      <c r="E116" s="217"/>
      <c r="F116" s="218"/>
    </row>
    <row r="117" spans="1:6" x14ac:dyDescent="0.5">
      <c r="A117" s="1270" t="s">
        <v>132</v>
      </c>
      <c r="B117" s="1249" t="s">
        <v>103</v>
      </c>
      <c r="C117" s="1250"/>
      <c r="D117" s="1251"/>
      <c r="E117" s="217"/>
      <c r="F117" s="218"/>
    </row>
    <row r="118" spans="1:6" x14ac:dyDescent="0.5">
      <c r="A118" s="1271"/>
      <c r="B118" s="265" t="s">
        <v>101</v>
      </c>
      <c r="C118" s="265" t="s">
        <v>102</v>
      </c>
      <c r="D118" s="273" t="s">
        <v>68</v>
      </c>
      <c r="E118" s="217"/>
      <c r="F118" s="218"/>
    </row>
    <row r="119" spans="1:6" x14ac:dyDescent="0.5">
      <c r="A119" s="253">
        <f ca="1">INDIRECT(CONCATENATE("[",$I$2,".xlsx]",$I$4,"!A119"))</f>
        <v>0</v>
      </c>
      <c r="B119" s="55">
        <f ca="1">INDIRECT(CONCATENATE("[",$I$2,".xlsx]",$I$4,"!B119"))</f>
        <v>0</v>
      </c>
      <c r="C119" s="55">
        <f ca="1">INDIRECT(CONCATENATE("[",$I$2,".xlsx]",$I$4,"!C119"))</f>
        <v>0</v>
      </c>
      <c r="D119" s="55">
        <f ca="1">B119+C119</f>
        <v>0</v>
      </c>
      <c r="E119" s="217"/>
      <c r="F119" s="218"/>
    </row>
    <row r="120" spans="1:6" x14ac:dyDescent="0.5">
      <c r="A120" s="253">
        <f ca="1">INDIRECT(CONCATENATE("[",$I$2,".xlsx]",$I$4,"!A120"))</f>
        <v>0</v>
      </c>
      <c r="B120" s="55">
        <f ca="1">INDIRECT(CONCATENATE("[",$I$2,".xlsx]",$I$4,"!B120"))</f>
        <v>0</v>
      </c>
      <c r="C120" s="55">
        <f ca="1">INDIRECT(CONCATENATE("[",$I$2,".xlsx]",$I$4,"!C120"))</f>
        <v>0</v>
      </c>
      <c r="D120" s="55">
        <f t="shared" ref="D120:D124" ca="1" si="9">B120+C120</f>
        <v>0</v>
      </c>
      <c r="E120" s="217"/>
      <c r="F120" s="218"/>
    </row>
    <row r="121" spans="1:6" x14ac:dyDescent="0.5">
      <c r="A121" s="253">
        <f ca="1">INDIRECT(CONCATENATE("[",$I$2,".xlsx]",$I$4,"!A121"))</f>
        <v>0</v>
      </c>
      <c r="B121" s="55">
        <f ca="1">INDIRECT(CONCATENATE("[",$I$2,".xlsx]",$I$4,"!B121"))</f>
        <v>0</v>
      </c>
      <c r="C121" s="55">
        <f ca="1">INDIRECT(CONCATENATE("[",$I$2,".xlsx]",$I$4,"!C121"))</f>
        <v>0</v>
      </c>
      <c r="D121" s="55">
        <f t="shared" ca="1" si="9"/>
        <v>0</v>
      </c>
      <c r="E121" s="217"/>
      <c r="F121" s="218"/>
    </row>
    <row r="122" spans="1:6" x14ac:dyDescent="0.5">
      <c r="A122" s="253">
        <f ca="1">INDIRECT(CONCATENATE("[",$I$2,".xlsx]",$I$4,"!A122"))</f>
        <v>0</v>
      </c>
      <c r="B122" s="55">
        <f ca="1">INDIRECT(CONCATENATE("[",$I$2,".xlsx]",$I$4,"!B122"))</f>
        <v>0</v>
      </c>
      <c r="C122" s="55">
        <f ca="1">INDIRECT(CONCATENATE("[",$I$2,".xlsx]",$I$4,"!C122"))</f>
        <v>0</v>
      </c>
      <c r="D122" s="55">
        <f t="shared" ca="1" si="9"/>
        <v>0</v>
      </c>
      <c r="E122" s="217"/>
      <c r="F122" s="218"/>
    </row>
    <row r="123" spans="1:6" x14ac:dyDescent="0.5">
      <c r="A123" s="253">
        <f ca="1">INDIRECT(CONCATENATE("[",$I$2,".xlsx]",$I$4,"!A123"))</f>
        <v>0</v>
      </c>
      <c r="B123" s="55">
        <f ca="1">INDIRECT(CONCATENATE("[",$I$2,".xlsx]",$I$4,"!B123"))</f>
        <v>0</v>
      </c>
      <c r="C123" s="55">
        <f ca="1">INDIRECT(CONCATENATE("[",$I$2,".xlsx]",$I$4,"!C123"))</f>
        <v>0</v>
      </c>
      <c r="D123" s="55">
        <f t="shared" ca="1" si="9"/>
        <v>0</v>
      </c>
      <c r="E123" s="217"/>
      <c r="F123" s="218"/>
    </row>
    <row r="124" spans="1:6" x14ac:dyDescent="0.5">
      <c r="A124" s="267">
        <f ca="1">INDIRECT(CONCATENATE("[",$I$2,".xlsx]",$I$4,"!A124"))</f>
        <v>0</v>
      </c>
      <c r="B124" s="56">
        <f ca="1">INDIRECT(CONCATENATE("[",$I$2,".xlsx]",$I$4,"!B124"))</f>
        <v>0</v>
      </c>
      <c r="C124" s="56">
        <f ca="1">INDIRECT(CONCATENATE("[",$I$2,".xlsx]",$I$4,"!C124"))</f>
        <v>0</v>
      </c>
      <c r="D124" s="56">
        <f t="shared" ca="1" si="9"/>
        <v>0</v>
      </c>
      <c r="E124" s="217"/>
      <c r="F124" s="218"/>
    </row>
    <row r="125" spans="1:6" x14ac:dyDescent="0.5">
      <c r="A125" s="423" t="s">
        <v>152</v>
      </c>
      <c r="B125" s="13"/>
      <c r="C125" s="13"/>
      <c r="D125" s="14"/>
      <c r="E125" s="241"/>
      <c r="F125" s="242"/>
    </row>
    <row r="126" spans="1:6" x14ac:dyDescent="0.5">
      <c r="A126" s="1302"/>
      <c r="B126" s="1302"/>
      <c r="C126" s="1302"/>
      <c r="D126" s="1302"/>
    </row>
    <row r="127" spans="1:6" x14ac:dyDescent="0.5">
      <c r="A127" s="1303"/>
      <c r="B127" s="1303"/>
      <c r="C127" s="1303"/>
      <c r="D127" s="1303"/>
      <c r="E127" s="57"/>
    </row>
    <row r="128" spans="1:6" ht="21" x14ac:dyDescent="0.65">
      <c r="A128" s="1260" t="s">
        <v>260</v>
      </c>
      <c r="B128" s="1261"/>
      <c r="C128" s="1261"/>
      <c r="D128" s="1261"/>
      <c r="E128" s="1261"/>
      <c r="F128" s="1262"/>
    </row>
    <row r="129" spans="1:6" x14ac:dyDescent="0.5">
      <c r="A129" s="482" t="s">
        <v>291</v>
      </c>
      <c r="B129" s="1257" t="str">
        <f ca="1">INDIRECT(CONCATENATE("[",$I$2,".xlsx]",$I$4,"!B3"))</f>
        <v>KollV MALER-, LACKIERER-, SCHILDERHERST.GEWERBE</v>
      </c>
      <c r="C129" s="1258"/>
      <c r="D129" s="1258"/>
      <c r="E129" s="1258"/>
      <c r="F129" s="1259"/>
    </row>
    <row r="130" spans="1:6" x14ac:dyDescent="0.5">
      <c r="A130" s="80" t="s">
        <v>80</v>
      </c>
      <c r="B130" s="337">
        <f ca="1">INDIRECT(CONCATENATE("[",$I$2,".xlsx]",$I$4,"!B130"))</f>
        <v>44562</v>
      </c>
      <c r="C130" s="57"/>
      <c r="D130" s="57"/>
    </row>
    <row r="131" spans="1:6" x14ac:dyDescent="0.5">
      <c r="A131" s="151" t="s">
        <v>54</v>
      </c>
      <c r="B131" s="1287" t="s">
        <v>115</v>
      </c>
      <c r="C131" s="170"/>
    </row>
    <row r="132" spans="1:6" x14ac:dyDescent="0.5">
      <c r="A132" s="152">
        <f ca="1">B130</f>
        <v>44562</v>
      </c>
      <c r="B132" s="1288"/>
      <c r="C132" s="170"/>
    </row>
    <row r="133" spans="1:6" x14ac:dyDescent="0.5">
      <c r="A133" s="283"/>
      <c r="B133" s="282" t="s">
        <v>148</v>
      </c>
      <c r="C133" s="171"/>
    </row>
    <row r="134" spans="1:6" x14ac:dyDescent="0.5">
      <c r="A134" s="284" t="str">
        <f ca="1">INDIRECT(CONCATENATE("[",$I$2,".xlsx]",$I$4,"!A134"))</f>
        <v>Arbeitslosenversicherung</v>
      </c>
      <c r="B134" s="279">
        <f ca="1">INDIRECT(CONCATENATE("[",$I$2,".xlsx]",$I$4,"!C134"))</f>
        <v>0.03</v>
      </c>
      <c r="C134" s="173"/>
    </row>
    <row r="135" spans="1:6" x14ac:dyDescent="0.5">
      <c r="A135" s="285" t="str">
        <f ca="1">INDIRECT(CONCATENATE("[",$I$2,".xlsx]",$I$4,"!A135"))</f>
        <v>Zuschlag Insolvenzentgeltsicherung</v>
      </c>
      <c r="B135" s="280">
        <f ca="1">INDIRECT(CONCATENATE("[",$I$2,".xlsx]",$I$4,"!C135"))</f>
        <v>1E-3</v>
      </c>
      <c r="C135" s="173"/>
    </row>
    <row r="136" spans="1:6" x14ac:dyDescent="0.5">
      <c r="A136" s="285" t="str">
        <f ca="1">INDIRECT(CONCATENATE("[",$I$2,".xlsx]",$I$4,"!A136"))</f>
        <v>Pensionsversicherung ASVG</v>
      </c>
      <c r="B136" s="280">
        <f ca="1">INDIRECT(CONCATENATE("[",$I$2,".xlsx]",$I$4,"!C136"))</f>
        <v>0.1255</v>
      </c>
      <c r="C136" s="173"/>
    </row>
    <row r="137" spans="1:6" x14ac:dyDescent="0.5">
      <c r="A137" s="285" t="str">
        <f ca="1">INDIRECT(CONCATENATE("[",$I$2,".xlsx]",$I$4,"!A137"))</f>
        <v>Krankenversicherung ASVG</v>
      </c>
      <c r="B137" s="280">
        <f ca="1">INDIRECT(CONCATENATE("[",$I$2,".xlsx]",$I$4,"!C137"))</f>
        <v>3.78E-2</v>
      </c>
      <c r="C137" s="173"/>
    </row>
    <row r="138" spans="1:6" x14ac:dyDescent="0.5">
      <c r="A138" s="285" t="str">
        <f ca="1">INDIRECT(CONCATENATE("[",$I$2,".xlsx]",$I$4,"!A138"))</f>
        <v>Unfallversicherung</v>
      </c>
      <c r="B138" s="280">
        <f ca="1">INDIRECT(CONCATENATE("[",$I$2,".xlsx]",$I$4,"!C138"))</f>
        <v>1.2E-2</v>
      </c>
      <c r="C138" s="173"/>
    </row>
    <row r="139" spans="1:6" x14ac:dyDescent="0.5">
      <c r="A139" s="285" t="str">
        <f ca="1">INDIRECT(CONCATENATE("[",$I$2,".xlsx]",$I$4,"!A139"))</f>
        <v>Wohnbauförderungsbeitrag</v>
      </c>
      <c r="B139" s="280">
        <f ca="1">INDIRECT(CONCATENATE("[",$I$2,".xlsx]",$I$4,"!C139"))</f>
        <v>5.0000000000000001E-3</v>
      </c>
      <c r="C139" s="173"/>
    </row>
    <row r="140" spans="1:6" x14ac:dyDescent="0.5">
      <c r="A140" s="285" t="str">
        <f ca="1">INDIRECT(CONCATENATE("[",$I$2,".xlsx]",$I$4,"!A140"))</f>
        <v>Schlechtwetterentschädigungsbeitrag</v>
      </c>
      <c r="B140" s="280" t="str">
        <f ca="1">INDIRECT(CONCATENATE("[",$I$2,".xlsx]",$I$4,"!C140"))</f>
        <v/>
      </c>
      <c r="C140" s="173"/>
    </row>
    <row r="141" spans="1:6" x14ac:dyDescent="0.5">
      <c r="A141" s="285" t="str">
        <f ca="1">INDIRECT(CONCATENATE("[",$I$2,".xlsx]",$I$4,"!A141"))</f>
        <v>Familienlastenausgleichsfonds</v>
      </c>
      <c r="B141" s="280">
        <f ca="1">INDIRECT(CONCATENATE("[",$I$2,".xlsx]",$I$4,"!C141"))</f>
        <v>3.9E-2</v>
      </c>
      <c r="C141" s="173"/>
    </row>
    <row r="142" spans="1:6" x14ac:dyDescent="0.5">
      <c r="A142" s="285" t="str">
        <f ca="1">INDIRECT(CONCATENATE("[",$I$2,".xlsx]",$I$4,"!A142"))</f>
        <v>Zuschlag FLAF (Kammeruml.; Durchschnittswert!!)</v>
      </c>
      <c r="B142" s="280">
        <f ca="1">INDIRECT(CONCATENATE("[",$I$2,".xlsx]",$I$4,"!C142"))</f>
        <v>3.8E-3</v>
      </c>
      <c r="C142" s="173"/>
    </row>
    <row r="143" spans="1:6" x14ac:dyDescent="0.5">
      <c r="A143" s="285" t="str">
        <f ca="1">INDIRECT(CONCATENATE("[",$I$2,".xlsx]",$I$4,"!A143"))</f>
        <v>Abfertigung Neu</v>
      </c>
      <c r="B143" s="280">
        <f ca="1">INDIRECT(CONCATENATE("[",$I$2,".xlsx]",$I$4,"!C143"))</f>
        <v>1.5299999999999999E-2</v>
      </c>
      <c r="C143" s="173"/>
    </row>
    <row r="144" spans="1:6" x14ac:dyDescent="0.5">
      <c r="A144" s="285" t="str">
        <f ca="1">INDIRECT(CONCATENATE("[",$I$2,".xlsx]",$I$4,"!A144"))</f>
        <v>Kommunalsteuer</v>
      </c>
      <c r="B144" s="280">
        <f ca="1">INDIRECT(CONCATENATE("[",$I$2,".xlsx]",$I$4,"!C144"))</f>
        <v>0.03</v>
      </c>
      <c r="C144" s="173"/>
    </row>
    <row r="145" spans="1:5" x14ac:dyDescent="0.5">
      <c r="A145" s="285" t="str">
        <f ca="1">INDIRECT(CONCATENATE("[",$I$2,".xlsx]",$I$4,"!A145"))</f>
        <v xml:space="preserve"> </v>
      </c>
      <c r="B145" s="280" t="str">
        <f ca="1">INDIRECT(CONCATENATE("[",$I$2,".xlsx]",$I$4,"!C145"))</f>
        <v/>
      </c>
      <c r="C145" s="173"/>
    </row>
    <row r="146" spans="1:5" x14ac:dyDescent="0.5">
      <c r="A146" s="286" t="str">
        <f ca="1">INDIRECT(CONCATENATE("[",$I$2,".xlsx]",$I$4,"!A146"))</f>
        <v xml:space="preserve"> </v>
      </c>
      <c r="B146" s="281" t="str">
        <f ca="1">INDIRECT(CONCATENATE("[",$I$2,".xlsx]",$I$4,"!C146"))</f>
        <v/>
      </c>
      <c r="C146" s="173"/>
    </row>
    <row r="147" spans="1:5" x14ac:dyDescent="0.5">
      <c r="A147" s="287" t="s">
        <v>194</v>
      </c>
      <c r="B147" s="220">
        <f ca="1">SUM(B134:B146)</f>
        <v>0.2994</v>
      </c>
      <c r="C147" s="174"/>
    </row>
    <row r="148" spans="1:5" x14ac:dyDescent="0.5">
      <c r="A148" s="1248"/>
      <c r="B148" s="1248"/>
      <c r="C148" s="150"/>
      <c r="D148" s="150"/>
      <c r="E148" s="150"/>
    </row>
    <row r="149" spans="1:5" x14ac:dyDescent="0.5">
      <c r="A149" s="237"/>
      <c r="B149" s="238"/>
      <c r="C149" s="1263" t="s">
        <v>290</v>
      </c>
      <c r="D149" s="1263" t="s">
        <v>348</v>
      </c>
      <c r="E149" s="1263" t="s">
        <v>196</v>
      </c>
    </row>
    <row r="150" spans="1:5" x14ac:dyDescent="0.5">
      <c r="A150" s="201"/>
      <c r="B150" s="230"/>
      <c r="C150" s="1264"/>
      <c r="D150" s="1264"/>
      <c r="E150" s="1264"/>
    </row>
    <row r="151" spans="1:5" ht="16.149999999999999" thickBot="1" x14ac:dyDescent="0.55000000000000004">
      <c r="A151" s="1293" t="s">
        <v>157</v>
      </c>
      <c r="B151" s="1294"/>
      <c r="C151" s="1264"/>
      <c r="D151" s="1264" t="s">
        <v>126</v>
      </c>
      <c r="E151" s="1264" t="s">
        <v>158</v>
      </c>
    </row>
    <row r="152" spans="1:5" x14ac:dyDescent="0.5">
      <c r="A152" s="1297" t="s">
        <v>313</v>
      </c>
      <c r="B152" s="1298"/>
      <c r="C152" s="276">
        <f ca="1">INDIRECT(CONCATENATE("[",$I$2,".xlsx]",$I$4,"!E152"))</f>
        <v>0.7</v>
      </c>
      <c r="D152" s="394"/>
      <c r="E152" s="277">
        <f ca="1">IF(ISBLANK(D152),C152,D152)</f>
        <v>0.7</v>
      </c>
    </row>
    <row r="153" spans="1:5" x14ac:dyDescent="0.5">
      <c r="A153" s="1295" t="s">
        <v>314</v>
      </c>
      <c r="B153" s="1296"/>
      <c r="C153" s="276">
        <f ca="1">INDIRECT(CONCATENATE("[",$I$2,".xlsx]",$I$4,"!E153"))</f>
        <v>0</v>
      </c>
      <c r="D153" s="394"/>
      <c r="E153" s="277">
        <f ca="1">IF(ISBLANK(D153),C153,D153)</f>
        <v>0</v>
      </c>
    </row>
    <row r="154" spans="1:5" x14ac:dyDescent="0.5">
      <c r="A154" s="1295" t="s">
        <v>315</v>
      </c>
      <c r="B154" s="1296"/>
      <c r="C154" s="276">
        <f ca="1">INDIRECT(CONCATENATE("[",$I$2,".xlsx]",$I$4,"!E154"))</f>
        <v>0</v>
      </c>
      <c r="D154" s="394"/>
      <c r="E154" s="277">
        <f ca="1">IF(ISBLANK(D154),C154,D154)</f>
        <v>0</v>
      </c>
    </row>
    <row r="155" spans="1:5" ht="16.149999999999999" thickBot="1" x14ac:dyDescent="0.55000000000000004">
      <c r="A155" s="1289" t="s">
        <v>316</v>
      </c>
      <c r="B155" s="1290"/>
      <c r="C155" s="276">
        <f ca="1">INDIRECT(CONCATENATE("[",$I$2,".xlsx]",$I$4,"!E155"))</f>
        <v>0</v>
      </c>
      <c r="D155" s="394"/>
      <c r="E155" s="277">
        <f ca="1">IF(ISBLANK(D155),C155,D155)</f>
        <v>0</v>
      </c>
    </row>
    <row r="156" spans="1:5" x14ac:dyDescent="0.5">
      <c r="A156" s="1291" t="s">
        <v>68</v>
      </c>
      <c r="B156" s="1292"/>
      <c r="C156" s="275">
        <f ca="1">SUM(C152:C155)</f>
        <v>0.7</v>
      </c>
      <c r="D156" s="275"/>
      <c r="E156" s="275">
        <f ca="1">SUM(E152:E155)</f>
        <v>0.7</v>
      </c>
    </row>
    <row r="157" spans="1:5" x14ac:dyDescent="0.5">
      <c r="A157" s="349"/>
      <c r="B157" s="349"/>
      <c r="C157" s="349"/>
      <c r="D157" s="349"/>
      <c r="E157" s="349"/>
    </row>
  </sheetData>
  <sheetProtection password="B984" sheet="1" objects="1" scenarios="1" selectLockedCells="1"/>
  <mergeCells count="49">
    <mergeCell ref="L1:P1"/>
    <mergeCell ref="G14:G33"/>
    <mergeCell ref="L13:P13"/>
    <mergeCell ref="A126:D127"/>
    <mergeCell ref="E36:F45"/>
    <mergeCell ref="H11:J21"/>
    <mergeCell ref="H1:J1"/>
    <mergeCell ref="I6:J8"/>
    <mergeCell ref="A1:F1"/>
    <mergeCell ref="E4:F4"/>
    <mergeCell ref="G3:G10"/>
    <mergeCell ref="H5:J5"/>
    <mergeCell ref="B3:F3"/>
    <mergeCell ref="A117:A118"/>
    <mergeCell ref="A36:C36"/>
    <mergeCell ref="A95:C95"/>
    <mergeCell ref="A155:B155"/>
    <mergeCell ref="A156:B156"/>
    <mergeCell ref="C149:C151"/>
    <mergeCell ref="D149:D151"/>
    <mergeCell ref="A151:B151"/>
    <mergeCell ref="A153:B153"/>
    <mergeCell ref="A152:B152"/>
    <mergeCell ref="A154:B154"/>
    <mergeCell ref="E149:E151"/>
    <mergeCell ref="F5:F6"/>
    <mergeCell ref="D5:D6"/>
    <mergeCell ref="A34:F34"/>
    <mergeCell ref="A98:A99"/>
    <mergeCell ref="A5:A6"/>
    <mergeCell ref="B5:B6"/>
    <mergeCell ref="C5:C6"/>
    <mergeCell ref="A96:D96"/>
    <mergeCell ref="B98:D98"/>
    <mergeCell ref="E5:E6"/>
    <mergeCell ref="A66:C66"/>
    <mergeCell ref="A35:F35"/>
    <mergeCell ref="A64:C65"/>
    <mergeCell ref="B131:B132"/>
    <mergeCell ref="B2:C2"/>
    <mergeCell ref="E2:F2"/>
    <mergeCell ref="H6:H8"/>
    <mergeCell ref="G11:G13"/>
    <mergeCell ref="A148:B148"/>
    <mergeCell ref="B117:D117"/>
    <mergeCell ref="A112:A113"/>
    <mergeCell ref="B112:D112"/>
    <mergeCell ref="B129:F129"/>
    <mergeCell ref="A128:F128"/>
  </mergeCells>
  <conditionalFormatting sqref="B100:D111">
    <cfRule type="cellIs" dxfId="174" priority="23" operator="equal">
      <formula>0</formula>
    </cfRule>
  </conditionalFormatting>
  <conditionalFormatting sqref="B114:D116">
    <cfRule type="cellIs" dxfId="173" priority="22" operator="equal">
      <formula>0</formula>
    </cfRule>
  </conditionalFormatting>
  <conditionalFormatting sqref="B119:D124">
    <cfRule type="cellIs" dxfId="172" priority="21" operator="equal">
      <formula>0</formula>
    </cfRule>
  </conditionalFormatting>
  <conditionalFormatting sqref="C68:C94">
    <cfRule type="cellIs" dxfId="171" priority="20" operator="equal">
      <formula>0</formula>
    </cfRule>
  </conditionalFormatting>
  <conditionalFormatting sqref="B68:B94">
    <cfRule type="cellIs" dxfId="170" priority="19" operator="equal">
      <formula>0</formula>
    </cfRule>
  </conditionalFormatting>
  <conditionalFormatting sqref="B56:B60">
    <cfRule type="cellIs" dxfId="169" priority="18" operator="equal">
      <formula>0</formula>
    </cfRule>
  </conditionalFormatting>
  <conditionalFormatting sqref="C39:C48">
    <cfRule type="cellIs" dxfId="168" priority="17" operator="equal">
      <formula>0</formula>
    </cfRule>
  </conditionalFormatting>
  <conditionalFormatting sqref="C50:C54">
    <cfRule type="cellIs" dxfId="167" priority="16" operator="equal">
      <formula>0</formula>
    </cfRule>
  </conditionalFormatting>
  <conditionalFormatting sqref="E7:E33">
    <cfRule type="cellIs" dxfId="166" priority="15" operator="equal">
      <formula>0</formula>
    </cfRule>
  </conditionalFormatting>
  <conditionalFormatting sqref="B7:B33">
    <cfRule type="cellIs" dxfId="165" priority="14" operator="equal">
      <formula>0</formula>
    </cfRule>
  </conditionalFormatting>
  <conditionalFormatting sqref="D7:D33">
    <cfRule type="cellIs" dxfId="164" priority="13" operator="equal">
      <formula>0</formula>
    </cfRule>
  </conditionalFormatting>
  <conditionalFormatting sqref="F7:F33">
    <cfRule type="cellIs" dxfId="163" priority="12" operator="equal">
      <formula>0</formula>
    </cfRule>
  </conditionalFormatting>
  <conditionalFormatting sqref="A134:B146">
    <cfRule type="cellIs" dxfId="162" priority="11" operator="equal">
      <formula>0</formula>
    </cfRule>
  </conditionalFormatting>
  <conditionalFormatting sqref="B130">
    <cfRule type="cellIs" dxfId="161" priority="10" operator="equal">
      <formula>0</formula>
    </cfRule>
  </conditionalFormatting>
  <conditionalFormatting sqref="I4">
    <cfRule type="expression" dxfId="160" priority="8">
      <formula>$I$4=$I$3</formula>
    </cfRule>
  </conditionalFormatting>
  <conditionalFormatting sqref="C37">
    <cfRule type="cellIs" dxfId="159" priority="7" operator="equal">
      <formula>0</formula>
    </cfRule>
  </conditionalFormatting>
  <conditionalFormatting sqref="H2:H3">
    <cfRule type="expression" dxfId="158" priority="5">
      <formula>ISNUMBER(B7)=FALSE</formula>
    </cfRule>
  </conditionalFormatting>
  <conditionalFormatting sqref="I2:I3">
    <cfRule type="expression" dxfId="157" priority="3">
      <formula>ISNUMBER(B7)=FALSE</formula>
    </cfRule>
  </conditionalFormatting>
  <conditionalFormatting sqref="B3 G3 H6 I6">
    <cfRule type="expression" dxfId="156" priority="2">
      <formula>_Verband&gt;1</formula>
    </cfRule>
  </conditionalFormatting>
  <conditionalFormatting sqref="I6:J8">
    <cfRule type="expression" dxfId="155" priority="1">
      <formula>_OK_KV?&lt;&gt;"OK_KV!"</formula>
    </cfRule>
  </conditionalFormatting>
  <dataValidations disablePrompts="1" count="2">
    <dataValidation type="decimal" errorStyle="warning" allowBlank="1" showInputMessage="1" showErrorMessage="1" error="Wert erscheint hoch! Eingabe prüfen!" sqref="C142:C145" xr:uid="{A1F39E7D-123E-44B3-81A3-4AAC8816F6E4}">
      <formula1>0</formula1>
      <formula2>0.1</formula2>
    </dataValidation>
    <dataValidation type="decimal" errorStyle="warning" allowBlank="1" showInputMessage="1" showErrorMessage="1" error="Wert erscheint hoch oder negative Werte nicht zulässig! Eingabe prüfen!" sqref="C134:C143 C146" xr:uid="{97C3EEB1-E050-4992-9096-E21192D2C3FA}">
      <formula1>0</formula1>
      <formula2>0.15</formula2>
    </dataValidation>
  </dataValidations>
  <pageMargins left="0.7" right="0.7" top="0.78740157499999996" bottom="0.78740157499999996" header="0.3" footer="0.3"/>
  <pageSetup paperSize="9" orientation="portrait" r:id="rId1"/>
  <headerFooter>
    <oddFooter>&amp;L&amp;10K3-Stammdaten
Seite: &amp;P von &amp;N&amp;R&amp;10&amp;F</oddFooter>
  </headerFooter>
  <rowBreaks count="4" manualBreakCount="4">
    <brk id="35" max="16383" man="1"/>
    <brk id="65" max="16383" man="1"/>
    <brk id="95" max="16383" man="1"/>
    <brk id="127" max="16383" man="1"/>
  </rowBreaks>
  <ignoredErrors>
    <ignoredError sqref="B97:D109" evalError="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O562"/>
  <sheetViews>
    <sheetView showGridLines="0" tabSelected="1" zoomScaleNormal="100" zoomScaleSheetLayoutView="90" workbookViewId="0">
      <selection activeCell="D10" sqref="D10:G11"/>
    </sheetView>
  </sheetViews>
  <sheetFormatPr baseColWidth="10" defaultColWidth="10.6640625" defaultRowHeight="17.850000000000001" customHeight="1" x14ac:dyDescent="0.45"/>
  <cols>
    <col min="1" max="1" width="8.88671875" style="57" customWidth="1"/>
    <col min="2" max="2" width="9" style="57" customWidth="1"/>
    <col min="3" max="3" width="8.5546875" style="57" customWidth="1"/>
    <col min="4" max="4" width="9" style="57" customWidth="1"/>
    <col min="5" max="8" width="8.5546875" style="57" customWidth="1"/>
    <col min="9" max="9" width="2.109375" style="57" customWidth="1"/>
    <col min="10" max="11" width="11.5546875" style="57" customWidth="1"/>
    <col min="12" max="12" width="15.33203125" style="1101" customWidth="1"/>
    <col min="13" max="13" width="10.6640625" style="1100" hidden="1" customWidth="1"/>
    <col min="14" max="14" width="4.88671875" style="1100" hidden="1" customWidth="1"/>
    <col min="15" max="15" width="10.6640625" style="1101"/>
    <col min="16" max="16" width="10.21875" style="57" customWidth="1"/>
    <col min="17" max="16384" width="10.6640625" style="57"/>
  </cols>
  <sheetData>
    <row r="1" spans="1:14" ht="30" customHeight="1" x14ac:dyDescent="0.45">
      <c r="A1" s="1795" t="s">
        <v>263</v>
      </c>
      <c r="B1" s="1796"/>
      <c r="C1" s="1796"/>
      <c r="D1" s="1796"/>
      <c r="E1" s="1796"/>
      <c r="F1" s="1796"/>
      <c r="G1" s="1796"/>
      <c r="H1" s="1796"/>
      <c r="I1" s="1796"/>
      <c r="J1" s="1351" t="s">
        <v>403</v>
      </c>
      <c r="K1" s="1352"/>
      <c r="L1" s="1353"/>
    </row>
    <row r="2" spans="1:14" ht="17.45" customHeight="1" x14ac:dyDescent="0.45">
      <c r="A2" s="1346" t="s">
        <v>645</v>
      </c>
      <c r="B2" s="1360" t="s">
        <v>646</v>
      </c>
      <c r="C2" s="1360"/>
      <c r="D2" s="1360" t="s">
        <v>649</v>
      </c>
      <c r="E2" s="1360"/>
      <c r="F2" s="943" t="s">
        <v>652</v>
      </c>
      <c r="G2" s="943" t="s">
        <v>655</v>
      </c>
      <c r="H2" s="936" t="s">
        <v>22</v>
      </c>
      <c r="I2" s="937"/>
      <c r="J2" s="1354"/>
      <c r="K2" s="1355"/>
      <c r="L2" s="1356"/>
    </row>
    <row r="3" spans="1:14" ht="17.45" customHeight="1" x14ac:dyDescent="0.45">
      <c r="A3" s="1347"/>
      <c r="B3" s="1360" t="s">
        <v>647</v>
      </c>
      <c r="C3" s="1360"/>
      <c r="D3" s="1360" t="s">
        <v>650</v>
      </c>
      <c r="E3" s="1360"/>
      <c r="F3" s="943" t="s">
        <v>653</v>
      </c>
      <c r="G3" s="943" t="s">
        <v>656</v>
      </c>
      <c r="H3" s="938" t="s">
        <v>22</v>
      </c>
      <c r="I3" s="939"/>
      <c r="J3" s="1354"/>
      <c r="K3" s="1355"/>
      <c r="L3" s="1356"/>
    </row>
    <row r="4" spans="1:14" ht="17.45" customHeight="1" x14ac:dyDescent="0.45">
      <c r="A4" s="940" t="str">
        <f>IF(_Verband&gt;1,'Lizenz u lies mich'!O31,"")</f>
        <v/>
      </c>
      <c r="B4" s="1360" t="s">
        <v>648</v>
      </c>
      <c r="C4" s="1360"/>
      <c r="D4" s="1360" t="s">
        <v>651</v>
      </c>
      <c r="E4" s="1360"/>
      <c r="F4" s="944" t="s">
        <v>654</v>
      </c>
      <c r="G4" s="945"/>
      <c r="H4" s="941"/>
      <c r="I4" s="942"/>
      <c r="J4" s="1357"/>
      <c r="K4" s="1358"/>
      <c r="L4" s="1359"/>
    </row>
    <row r="5" spans="1:14" ht="17.850000000000001" customHeight="1" x14ac:dyDescent="0.45">
      <c r="A5" s="424" t="s">
        <v>268</v>
      </c>
      <c r="B5" s="572" t="str">
        <f>'Lizenz u lies mich'!B32:C32</f>
        <v>Vers. 3.0</v>
      </c>
      <c r="C5" s="425" t="s">
        <v>514</v>
      </c>
      <c r="D5" s="1774" t="str">
        <f ca="1">'Lizenz u lies mich'!B29</f>
        <v>Malerhandbuch 2022</v>
      </c>
      <c r="E5" s="1774"/>
      <c r="F5" s="1774"/>
      <c r="G5" s="1775"/>
      <c r="H5" s="1812">
        <f ca="1">'Lizenz u lies mich'!B15</f>
        <v>105</v>
      </c>
      <c r="I5" s="1813"/>
      <c r="J5" s="1643" t="str">
        <f ca="1">Stammdaten!H11</f>
        <v/>
      </c>
      <c r="K5" s="1644"/>
      <c r="L5" s="1654" t="str">
        <f ca="1">IF(H5&lt;30,"Lizenz läuft in Kürze ab / ist abgelaufen. Sie können eine Lizenz auf www.bauwesen.at/k3 für ihr Unternehmen erwerben.","")</f>
        <v/>
      </c>
      <c r="M5" s="1100" t="s">
        <v>485</v>
      </c>
    </row>
    <row r="6" spans="1:14" ht="17.850000000000001" customHeight="1" x14ac:dyDescent="0.45">
      <c r="A6" s="1781" t="s">
        <v>170</v>
      </c>
      <c r="B6" s="1782"/>
      <c r="C6" s="1782"/>
      <c r="D6" s="1782"/>
      <c r="E6" s="1782"/>
      <c r="F6" s="1782"/>
      <c r="G6" s="1782"/>
      <c r="H6" s="1782"/>
      <c r="I6" s="1782"/>
      <c r="J6" s="1643"/>
      <c r="K6" s="1644"/>
      <c r="L6" s="1654"/>
      <c r="M6" s="1102"/>
    </row>
    <row r="7" spans="1:14" ht="17.850000000000001" customHeight="1" x14ac:dyDescent="0.45">
      <c r="A7" s="1757" t="s">
        <v>708</v>
      </c>
      <c r="B7" s="1758"/>
      <c r="C7" s="1759"/>
      <c r="D7" s="1797" t="str">
        <f ca="1">'Lizenz u lies mich'!B22</f>
        <v>Malerhandbuch 2022</v>
      </c>
      <c r="E7" s="1798"/>
      <c r="F7" s="1798"/>
      <c r="G7" s="1798"/>
      <c r="H7" s="1801" t="str">
        <f ca="1">IF(_OK?="OK!",IF(_Verband&gt;=1,"Sie können ihre Daten im Blatt 'Lizenz' eintragen.","Die Daten entsprechen jenen ihres Lizenzantrags."),"Lizenz erforderlich! Bestellung unter bauwesen.at/k3")</f>
        <v>Die Daten entsprechen jenen ihres Lizenzantrags.</v>
      </c>
      <c r="I7" s="1802"/>
      <c r="J7" s="1643"/>
      <c r="K7" s="1644"/>
      <c r="L7" s="1654"/>
      <c r="M7" s="1102">
        <v>0</v>
      </c>
      <c r="N7" s="1102">
        <v>1</v>
      </c>
    </row>
    <row r="8" spans="1:14" ht="17.850000000000001" customHeight="1" x14ac:dyDescent="0.45">
      <c r="A8" s="1760"/>
      <c r="B8" s="1761"/>
      <c r="C8" s="1762"/>
      <c r="D8" s="1797" t="str">
        <f>'Lizenz u lies mich'!B23</f>
        <v>Musterkalkulation</v>
      </c>
      <c r="E8" s="1798"/>
      <c r="F8" s="1798"/>
      <c r="G8" s="1798"/>
      <c r="H8" s="1801"/>
      <c r="I8" s="1802"/>
      <c r="J8" s="1643"/>
      <c r="K8" s="1644"/>
      <c r="L8" s="1654"/>
      <c r="M8" s="1102">
        <v>1</v>
      </c>
      <c r="N8" s="1102">
        <v>2</v>
      </c>
    </row>
    <row r="9" spans="1:14" ht="17.850000000000001" customHeight="1" x14ac:dyDescent="0.45">
      <c r="A9" s="1763"/>
      <c r="B9" s="1764"/>
      <c r="C9" s="1765"/>
      <c r="D9" s="1799" t="str">
        <f>'Lizenz u lies mich'!B24</f>
        <v/>
      </c>
      <c r="E9" s="1800"/>
      <c r="F9" s="1800"/>
      <c r="G9" s="1800"/>
      <c r="H9" s="1801"/>
      <c r="I9" s="1802"/>
      <c r="J9" s="1643"/>
      <c r="K9" s="1644"/>
      <c r="L9" s="1654"/>
      <c r="M9" s="1102">
        <v>2</v>
      </c>
      <c r="N9" s="1102">
        <v>3</v>
      </c>
    </row>
    <row r="10" spans="1:14" ht="17.850000000000001" customHeight="1" x14ac:dyDescent="0.45">
      <c r="A10" s="1789" t="s">
        <v>525</v>
      </c>
      <c r="B10" s="1790"/>
      <c r="C10" s="1791"/>
      <c r="D10" s="1388" t="s">
        <v>715</v>
      </c>
      <c r="E10" s="1389"/>
      <c r="F10" s="1389"/>
      <c r="G10" s="1389"/>
      <c r="H10" s="243"/>
      <c r="I10" s="880"/>
      <c r="J10" s="1643"/>
      <c r="K10" s="1644"/>
      <c r="L10" s="1654"/>
      <c r="M10" s="1102">
        <v>3</v>
      </c>
      <c r="N10" s="1102">
        <v>4</v>
      </c>
    </row>
    <row r="11" spans="1:14" ht="17.850000000000001" customHeight="1" x14ac:dyDescent="0.45">
      <c r="A11" s="1792"/>
      <c r="B11" s="1793"/>
      <c r="C11" s="1794"/>
      <c r="D11" s="1390"/>
      <c r="E11" s="1391"/>
      <c r="F11" s="1391"/>
      <c r="G11" s="1391"/>
      <c r="H11" s="243"/>
      <c r="I11" s="880"/>
      <c r="J11" s="1643"/>
      <c r="K11" s="1644"/>
      <c r="L11" s="1654"/>
      <c r="M11" s="1102">
        <v>4</v>
      </c>
      <c r="N11" s="1102"/>
    </row>
    <row r="12" spans="1:14" ht="17.850000000000001" customHeight="1" x14ac:dyDescent="0.45">
      <c r="A12" s="1721" t="s">
        <v>639</v>
      </c>
      <c r="B12" s="1722"/>
      <c r="C12" s="1733"/>
      <c r="D12" s="1388" t="s">
        <v>657</v>
      </c>
      <c r="E12" s="1389"/>
      <c r="F12" s="1389"/>
      <c r="G12" s="1389"/>
      <c r="H12" s="243"/>
      <c r="I12" s="880"/>
      <c r="J12" s="1643"/>
      <c r="K12" s="1644"/>
      <c r="L12" s="1654"/>
    </row>
    <row r="13" spans="1:14" ht="17.850000000000001" customHeight="1" x14ac:dyDescent="0.45">
      <c r="A13" s="1291"/>
      <c r="B13" s="1370"/>
      <c r="C13" s="1292"/>
      <c r="D13" s="1390"/>
      <c r="E13" s="1391"/>
      <c r="F13" s="1391"/>
      <c r="G13" s="1391"/>
      <c r="H13" s="243"/>
      <c r="I13" s="880"/>
      <c r="J13" s="1643"/>
      <c r="K13" s="1644"/>
      <c r="L13" s="1654"/>
    </row>
    <row r="14" spans="1:14" ht="17.850000000000001" customHeight="1" x14ac:dyDescent="0.45">
      <c r="A14" s="67" t="s">
        <v>266</v>
      </c>
      <c r="B14" s="1448" t="s">
        <v>713</v>
      </c>
      <c r="C14" s="1570"/>
      <c r="D14" s="1777" t="s">
        <v>91</v>
      </c>
      <c r="E14" s="1778"/>
      <c r="F14" s="1779">
        <v>44686</v>
      </c>
      <c r="G14" s="1780"/>
      <c r="H14" s="243"/>
      <c r="I14" s="880"/>
      <c r="J14" s="1643"/>
      <c r="K14" s="1644"/>
      <c r="L14" s="1654"/>
    </row>
    <row r="15" spans="1:14" ht="17.850000000000001" customHeight="1" x14ac:dyDescent="0.45">
      <c r="A15" s="69" t="s">
        <v>267</v>
      </c>
      <c r="B15" s="1467" t="s">
        <v>714</v>
      </c>
      <c r="C15" s="1474"/>
      <c r="D15" s="70"/>
      <c r="E15" s="70"/>
      <c r="F15" s="70"/>
      <c r="G15" s="70"/>
      <c r="H15" s="243"/>
      <c r="I15" s="880"/>
      <c r="J15" s="1643"/>
      <c r="K15" s="1644"/>
      <c r="L15" s="1654"/>
    </row>
    <row r="16" spans="1:14" ht="17.850000000000001" customHeight="1" x14ac:dyDescent="0.45">
      <c r="A16" s="1769" t="s">
        <v>625</v>
      </c>
      <c r="B16" s="1770"/>
      <c r="C16" s="1770"/>
      <c r="D16" s="1770"/>
      <c r="E16" s="1770"/>
      <c r="F16" s="1771"/>
      <c r="G16" s="1772"/>
      <c r="H16" s="243"/>
      <c r="I16" s="881"/>
      <c r="J16" s="1643"/>
      <c r="K16" s="1644"/>
      <c r="L16" s="1654"/>
    </row>
    <row r="17" spans="1:12" ht="17.850000000000001" customHeight="1" x14ac:dyDescent="0.55000000000000004">
      <c r="A17" s="1784" t="s">
        <v>337</v>
      </c>
      <c r="B17" s="1785"/>
      <c r="C17" s="1786" t="str">
        <f>IF(C18=F18,"Mittellohnkosten","Mittelgehaltkosten")</f>
        <v>Mittellohnkosten</v>
      </c>
      <c r="D17" s="1786"/>
      <c r="E17" s="391" t="s">
        <v>329</v>
      </c>
      <c r="F17" s="1768" t="str">
        <f>IF(C18=F18,"Mittellohnpreis","Mittelgehaltpreis")</f>
        <v>Mittellohnpreis</v>
      </c>
      <c r="G17" s="1768"/>
      <c r="H17" s="1768"/>
      <c r="I17" s="882"/>
      <c r="J17" s="67"/>
      <c r="K17" s="68"/>
      <c r="L17" s="1103"/>
    </row>
    <row r="18" spans="1:12" ht="17.850000000000001" customHeight="1" x14ac:dyDescent="0.5">
      <c r="A18" s="1479" t="s">
        <v>526</v>
      </c>
      <c r="B18" s="1783"/>
      <c r="C18" s="390" t="s">
        <v>8</v>
      </c>
      <c r="D18" s="244"/>
      <c r="E18" s="244"/>
      <c r="F18" s="344" t="s">
        <v>8</v>
      </c>
      <c r="G18" s="344" t="s">
        <v>261</v>
      </c>
      <c r="H18" s="244"/>
      <c r="I18" s="858"/>
      <c r="J18" s="1649" t="str">
        <f>IF(OR(ISBLANK(C18),ISBLANK(C19)),"Bitte Auswählen: Lohn / Gehalt bzw Montage / Fertigung","")</f>
        <v/>
      </c>
      <c r="K18" s="1650"/>
      <c r="L18" s="1103"/>
    </row>
    <row r="19" spans="1:12" ht="17.850000000000001" customHeight="1" x14ac:dyDescent="0.45">
      <c r="A19" s="1479"/>
      <c r="B19" s="1783"/>
      <c r="C19" s="350" t="s">
        <v>262</v>
      </c>
      <c r="D19" s="244"/>
      <c r="E19" s="244"/>
      <c r="F19" s="345" t="s">
        <v>262</v>
      </c>
      <c r="G19" s="345" t="s">
        <v>264</v>
      </c>
      <c r="H19" s="244"/>
      <c r="I19" s="858"/>
      <c r="J19" s="1649"/>
      <c r="K19" s="1650"/>
      <c r="L19" s="1103"/>
    </row>
    <row r="20" spans="1:12" ht="17.850000000000001" customHeight="1" x14ac:dyDescent="0.45">
      <c r="A20" s="1776" t="s">
        <v>202</v>
      </c>
      <c r="B20" s="1776"/>
      <c r="C20" s="1776"/>
      <c r="D20" s="1776"/>
      <c r="E20" s="1776"/>
      <c r="F20" s="1776"/>
      <c r="G20" s="1776"/>
      <c r="H20" s="1611"/>
      <c r="I20" s="243"/>
      <c r="J20" s="1651" t="str">
        <f ca="1">IFERROR(IF(_OK_KV?&lt;&gt;"OK_KV!",Stammdaten!L13,""),"Quelldatei scheint nicht geöffnet, falsche Verweise auf den Datei- und Blattnamen (siehe Stammdaten) oder unzulässiger KollV verwendet (nur relevant bei Verbandslizenzierung für Mitgliedsbetriebe)!")</f>
        <v/>
      </c>
      <c r="K20" s="1652"/>
      <c r="L20" s="1653"/>
    </row>
    <row r="21" spans="1:12" ht="17.850000000000001" customHeight="1" x14ac:dyDescent="0.45">
      <c r="A21" s="1773" t="s">
        <v>581</v>
      </c>
      <c r="B21" s="1538"/>
      <c r="C21" s="1538"/>
      <c r="D21" s="879" t="str">
        <f ca="1">IF((TODAY()-D22)&gt;365,"KV älter als 1 Jahr!","")</f>
        <v/>
      </c>
      <c r="E21" s="1787" t="s">
        <v>23</v>
      </c>
      <c r="F21" s="1287" t="s">
        <v>197</v>
      </c>
      <c r="G21" s="1287" t="s">
        <v>174</v>
      </c>
      <c r="H21" s="1599" t="s">
        <v>175</v>
      </c>
      <c r="I21" s="243"/>
      <c r="J21" s="1651"/>
      <c r="K21" s="1652"/>
      <c r="L21" s="1653"/>
    </row>
    <row r="22" spans="1:12" ht="17.850000000000001" customHeight="1" thickBot="1" x14ac:dyDescent="0.5">
      <c r="A22" s="825" t="str">
        <f ca="1">Stammdaten!B3</f>
        <v>KollV MALER-, LACKIERER-, SCHILDERHERST.GEWERBE</v>
      </c>
      <c r="B22" s="826"/>
      <c r="C22" s="826"/>
      <c r="D22" s="827">
        <f ca="1">Stammdaten!B4</f>
        <v>44682</v>
      </c>
      <c r="E22" s="1788"/>
      <c r="F22" s="1766"/>
      <c r="G22" s="1766"/>
      <c r="H22" s="1767"/>
      <c r="I22" s="243"/>
      <c r="J22" s="1651"/>
      <c r="K22" s="1652"/>
      <c r="L22" s="1653"/>
    </row>
    <row r="23" spans="1:12" ht="17.850000000000001" customHeight="1" thickTop="1" x14ac:dyDescent="0.45">
      <c r="A23" s="1448" t="s">
        <v>716</v>
      </c>
      <c r="B23" s="1449"/>
      <c r="C23" s="1570"/>
      <c r="D23" s="79">
        <f ca="1">IFERROR(VLOOKUP(A23,Stammdaten!A$7:D$33,4,FALSE),"&lt;-- Prüfen!")</f>
        <v>13.35</v>
      </c>
      <c r="E23" s="291">
        <v>2</v>
      </c>
      <c r="F23" s="296">
        <f>IFERROR(IF(A23&lt;&gt;"",E23/E$32,""),"")</f>
        <v>0.5</v>
      </c>
      <c r="G23" s="79">
        <f ca="1">IFERROR(VLOOKUP(A23,Stammdaten!A$7:F$33,4,FALSE)*F23,"")</f>
        <v>6.68</v>
      </c>
      <c r="H23" s="178">
        <f ca="1">IFERROR(VLOOKUP(A23,Stammdaten!A$7:F$33,6,FALSE)*F23,"")</f>
        <v>0.67</v>
      </c>
      <c r="I23" s="883"/>
      <c r="J23" s="1339" t="str">
        <f>IF(AND(ISBLANK(A23),E23&gt;0),"Auswahl fehlt oder Anzahl löschen!","")</f>
        <v/>
      </c>
      <c r="K23" s="1340"/>
      <c r="L23" s="1103"/>
    </row>
    <row r="24" spans="1:12" ht="17.850000000000001" customHeight="1" x14ac:dyDescent="0.45">
      <c r="A24" s="1467" t="s">
        <v>717</v>
      </c>
      <c r="B24" s="1468"/>
      <c r="C24" s="1474"/>
      <c r="D24" s="79">
        <f ca="1">IFERROR(VLOOKUP(A24,Stammdaten!A$7:D$33,4,FALSE),"&lt;-- Prüfen!")</f>
        <v>10.75</v>
      </c>
      <c r="E24" s="74">
        <v>2</v>
      </c>
      <c r="F24" s="296">
        <f t="shared" ref="F24:F31" si="0">IFERROR(IF(A24&lt;&gt;"",E24/E$32,""),"")</f>
        <v>0.5</v>
      </c>
      <c r="G24" s="75">
        <f ca="1">IFERROR(VLOOKUP(A24,Stammdaten!A$7:F$33,4,FALSE)*F24,"")</f>
        <v>5.38</v>
      </c>
      <c r="H24" s="123">
        <f ca="1">IFERROR(VLOOKUP(A24,Stammdaten!A$7:F$33,6,FALSE)*F24,"")</f>
        <v>0.54</v>
      </c>
      <c r="I24" s="883"/>
      <c r="J24" s="1339" t="str">
        <f t="shared" ref="J24:J31" si="1">IF(AND(ISBLANK(A24),E24&gt;0),"Auswahl fehlt oder Anzahl löschen!","")</f>
        <v/>
      </c>
      <c r="K24" s="1340"/>
      <c r="L24" s="1103"/>
    </row>
    <row r="25" spans="1:12" ht="17.850000000000001" customHeight="1" x14ac:dyDescent="0.45">
      <c r="A25" s="1467"/>
      <c r="B25" s="1468"/>
      <c r="C25" s="1474"/>
      <c r="D25" s="79">
        <f ca="1">IFERROR(VLOOKUP(A25,Stammdaten!A$7:D$33,4,FALSE),"&lt;-- Prüfen!")</f>
        <v>0</v>
      </c>
      <c r="E25" s="74"/>
      <c r="F25" s="296" t="str">
        <f t="shared" si="0"/>
        <v/>
      </c>
      <c r="G25" s="75" t="str">
        <f ca="1">IFERROR(VLOOKUP(A25,Stammdaten!A$7:F$33,4,FALSE)*F25,"")</f>
        <v/>
      </c>
      <c r="H25" s="123" t="str">
        <f ca="1">IFERROR(VLOOKUP(A25,Stammdaten!A$7:F$33,6,FALSE)*F25,"")</f>
        <v/>
      </c>
      <c r="I25" s="883"/>
      <c r="J25" s="1339" t="str">
        <f t="shared" si="1"/>
        <v/>
      </c>
      <c r="K25" s="1340"/>
      <c r="L25" s="1103"/>
    </row>
    <row r="26" spans="1:12" ht="17.850000000000001" customHeight="1" x14ac:dyDescent="0.45">
      <c r="A26" s="1467"/>
      <c r="B26" s="1468"/>
      <c r="C26" s="1474"/>
      <c r="D26" s="79">
        <f ca="1">IFERROR(VLOOKUP(A26,Stammdaten!A$7:D$33,4,FALSE),"&lt;-- Prüfen!")</f>
        <v>0</v>
      </c>
      <c r="E26" s="74"/>
      <c r="F26" s="296" t="str">
        <f t="shared" si="0"/>
        <v/>
      </c>
      <c r="G26" s="75" t="str">
        <f ca="1">IFERROR(VLOOKUP(A26,Stammdaten!A$7:F$33,4,FALSE)*F26,"")</f>
        <v/>
      </c>
      <c r="H26" s="123" t="str">
        <f ca="1">IFERROR(VLOOKUP(A26,Stammdaten!A$7:F$33,6,FALSE)*F26,"")</f>
        <v/>
      </c>
      <c r="I26" s="883"/>
      <c r="J26" s="1339" t="str">
        <f t="shared" si="1"/>
        <v/>
      </c>
      <c r="K26" s="1340"/>
      <c r="L26" s="1103"/>
    </row>
    <row r="27" spans="1:12" ht="17.850000000000001" customHeight="1" x14ac:dyDescent="0.45">
      <c r="A27" s="1467"/>
      <c r="B27" s="1468"/>
      <c r="C27" s="1474"/>
      <c r="D27" s="79">
        <f ca="1">IFERROR(VLOOKUP(A27,Stammdaten!A$7:D$33,4,FALSE),"&lt;-- Prüfen!")</f>
        <v>0</v>
      </c>
      <c r="E27" s="74"/>
      <c r="F27" s="296" t="str">
        <f t="shared" si="0"/>
        <v/>
      </c>
      <c r="G27" s="75" t="str">
        <f ca="1">IFERROR(VLOOKUP(A27,Stammdaten!A$7:F$33,4,FALSE)*F27,"")</f>
        <v/>
      </c>
      <c r="H27" s="123" t="str">
        <f ca="1">IFERROR(VLOOKUP(A27,Stammdaten!A$7:F$33,6,FALSE)*F27,"")</f>
        <v/>
      </c>
      <c r="I27" s="883"/>
      <c r="J27" s="1339" t="str">
        <f t="shared" si="1"/>
        <v/>
      </c>
      <c r="K27" s="1340"/>
      <c r="L27" s="1103"/>
    </row>
    <row r="28" spans="1:12" ht="17.850000000000001" customHeight="1" x14ac:dyDescent="0.45">
      <c r="A28" s="1467"/>
      <c r="B28" s="1468"/>
      <c r="C28" s="1474"/>
      <c r="D28" s="79">
        <f ca="1">IFERROR(VLOOKUP(A28,Stammdaten!A$7:D$33,4,FALSE),"&lt;-- Prüfen!")</f>
        <v>0</v>
      </c>
      <c r="E28" s="74"/>
      <c r="F28" s="296" t="str">
        <f t="shared" si="0"/>
        <v/>
      </c>
      <c r="G28" s="75" t="str">
        <f ca="1">IFERROR(VLOOKUP(A28,Stammdaten!A$7:F$33,4,FALSE)*F28,"")</f>
        <v/>
      </c>
      <c r="H28" s="123" t="str">
        <f ca="1">IFERROR(VLOOKUP(A28,Stammdaten!A$7:F$33,6,FALSE)*F28,"")</f>
        <v/>
      </c>
      <c r="I28" s="883"/>
      <c r="J28" s="1339" t="str">
        <f t="shared" si="1"/>
        <v/>
      </c>
      <c r="K28" s="1340"/>
      <c r="L28" s="1103"/>
    </row>
    <row r="29" spans="1:12" ht="17.850000000000001" customHeight="1" x14ac:dyDescent="0.45">
      <c r="A29" s="1467"/>
      <c r="B29" s="1468"/>
      <c r="C29" s="1474"/>
      <c r="D29" s="79">
        <f ca="1">IFERROR(VLOOKUP(A29,Stammdaten!A$7:D$33,4,FALSE),"&lt;-- Prüfen!")</f>
        <v>0</v>
      </c>
      <c r="E29" s="74"/>
      <c r="F29" s="296" t="str">
        <f t="shared" si="0"/>
        <v/>
      </c>
      <c r="G29" s="75" t="str">
        <f ca="1">IFERROR(VLOOKUP(A29,Stammdaten!A$7:F$33,4,FALSE)*F29,"")</f>
        <v/>
      </c>
      <c r="H29" s="123" t="str">
        <f ca="1">IFERROR(VLOOKUP(A29,Stammdaten!A$7:F$33,6,FALSE)*F29,"")</f>
        <v/>
      </c>
      <c r="I29" s="883"/>
      <c r="J29" s="1339" t="str">
        <f t="shared" si="1"/>
        <v/>
      </c>
      <c r="K29" s="1340"/>
      <c r="L29" s="1103"/>
    </row>
    <row r="30" spans="1:12" ht="17.850000000000001" customHeight="1" x14ac:dyDescent="0.45">
      <c r="A30" s="1467"/>
      <c r="B30" s="1468"/>
      <c r="C30" s="1474"/>
      <c r="D30" s="79">
        <f ca="1">IFERROR(VLOOKUP(A30,Stammdaten!A$7:D$33,4,FALSE),"&lt;-- Prüfen!")</f>
        <v>0</v>
      </c>
      <c r="E30" s="74"/>
      <c r="F30" s="296" t="str">
        <f t="shared" si="0"/>
        <v/>
      </c>
      <c r="G30" s="75" t="str">
        <f ca="1">IFERROR(VLOOKUP(A30,Stammdaten!A$7:F$33,4,FALSE)*F30,"")</f>
        <v/>
      </c>
      <c r="H30" s="123" t="str">
        <f ca="1">IFERROR(VLOOKUP(A30,Stammdaten!A$7:F$33,6,FALSE)*F30,"")</f>
        <v/>
      </c>
      <c r="I30" s="883"/>
      <c r="J30" s="1339" t="str">
        <f t="shared" si="1"/>
        <v/>
      </c>
      <c r="K30" s="1340"/>
      <c r="L30" s="1103"/>
    </row>
    <row r="31" spans="1:12" ht="17.850000000000001" customHeight="1" thickBot="1" x14ac:dyDescent="0.5">
      <c r="A31" s="1392"/>
      <c r="B31" s="1393"/>
      <c r="C31" s="1394"/>
      <c r="D31" s="93">
        <f ca="1">IFERROR(VLOOKUP(A31,Stammdaten!A$7:D$33,4,FALSE),"&lt;-- Prüfen!")</f>
        <v>0</v>
      </c>
      <c r="E31" s="76"/>
      <c r="F31" s="312" t="str">
        <f t="shared" si="0"/>
        <v/>
      </c>
      <c r="G31" s="93" t="str">
        <f ca="1">IFERROR(VLOOKUP(A31,Stammdaten!A$7:F$33,4,FALSE)*F31,"")</f>
        <v/>
      </c>
      <c r="H31" s="93" t="str">
        <f ca="1">IFERROR(VLOOKUP(A31,Stammdaten!A$7:F$33,6,FALSE)*F31,"")</f>
        <v/>
      </c>
      <c r="I31" s="883"/>
      <c r="J31" s="1339" t="str">
        <f t="shared" si="1"/>
        <v/>
      </c>
      <c r="K31" s="1340"/>
      <c r="L31" s="1103"/>
    </row>
    <row r="32" spans="1:12" ht="17.850000000000001" customHeight="1" x14ac:dyDescent="0.45">
      <c r="A32" s="1291" t="s">
        <v>117</v>
      </c>
      <c r="B32" s="1370"/>
      <c r="C32" s="1370"/>
      <c r="D32" s="1292"/>
      <c r="E32" s="77">
        <f>SUM(E23:E31)</f>
        <v>4</v>
      </c>
      <c r="F32" s="335">
        <f ca="1">IF(AND(_Test=9,SUM(Stammdaten!B7:B10)&lt;&gt;50),"FEHLER!",SUM(F23:F31))</f>
        <v>1</v>
      </c>
      <c r="G32" s="336">
        <f ca="1">IF(AND(_OK?="OK!",_OK_KV?="OK_KV!"),SUM(G23:G31),ROUND(SUM(G23:G31)*1.05,0))</f>
        <v>12.06</v>
      </c>
      <c r="H32" s="368">
        <f ca="1">SUM(H23:H31)</f>
        <v>1.21</v>
      </c>
      <c r="I32" s="884" t="str">
        <f ca="1">IF(OR(_OK?&lt;&gt;"OK!",_OK_KV?&lt;&gt;"OK_KV!"),"X","")</f>
        <v/>
      </c>
      <c r="J32" s="1643" t="str">
        <f ca="1">IF(OR(_OK?&lt;&gt;"OK!",_OK_KV?&lt;&gt;"OK_KV!"),"Sie verwenden keine gültige Lizenzierung. Manche Rechenergebnisse sind deswegen aufgerundet angegeben (!!); rote Schrift. 
Sie können das Kalkulationstool trotzdem mit allen Funktionen testen.","")</f>
        <v/>
      </c>
      <c r="K32" s="1644"/>
      <c r="L32" s="1645"/>
    </row>
    <row r="33" spans="1:12" ht="17.850000000000001" customHeight="1" x14ac:dyDescent="0.45">
      <c r="A33" s="1585"/>
      <c r="B33" s="1586"/>
      <c r="C33" s="1586"/>
      <c r="D33" s="1586"/>
      <c r="E33" s="1586"/>
      <c r="F33" s="1586"/>
      <c r="G33" s="1586"/>
      <c r="H33" s="1586"/>
      <c r="I33" s="243"/>
      <c r="J33" s="1643"/>
      <c r="K33" s="1644"/>
      <c r="L33" s="1645"/>
    </row>
    <row r="34" spans="1:12" ht="34.9" customHeight="1" thickBot="1" x14ac:dyDescent="0.5">
      <c r="A34" s="1592" t="s">
        <v>217</v>
      </c>
      <c r="B34" s="1593"/>
      <c r="C34" s="1593"/>
      <c r="D34" s="1594"/>
      <c r="E34" s="126" t="s">
        <v>23</v>
      </c>
      <c r="F34" s="292" t="s">
        <v>197</v>
      </c>
      <c r="G34" s="292" t="s">
        <v>174</v>
      </c>
      <c r="H34" s="367" t="s">
        <v>175</v>
      </c>
      <c r="I34" s="243"/>
      <c r="J34" s="1643"/>
      <c r="K34" s="1644"/>
      <c r="L34" s="1645"/>
    </row>
    <row r="35" spans="1:12" ht="17.850000000000001" customHeight="1" x14ac:dyDescent="0.45">
      <c r="A35" s="1547" t="s">
        <v>716</v>
      </c>
      <c r="B35" s="1548"/>
      <c r="C35" s="1549"/>
      <c r="D35" s="79">
        <f ca="1">IFERROR(VLOOKUP(A35,Stammdaten!A$7:D$33,4,FALSE),"&lt;-- Prüfen!")</f>
        <v>13.35</v>
      </c>
      <c r="E35" s="291">
        <v>0.2</v>
      </c>
      <c r="F35" s="85">
        <f>IFERROR(IF(A35&lt;&gt;"",E35/E$38,""),"")</f>
        <v>1</v>
      </c>
      <c r="G35" s="79">
        <f ca="1">IFERROR(VLOOKUP(A35,Stammdaten!A$7:F$33,4,FALSE)*F35,"")</f>
        <v>13.35</v>
      </c>
      <c r="H35" s="178">
        <f ca="1">IFERROR(VLOOKUP(A35,Stammdaten!A$7:F$33,6,FALSE)*F35,"")</f>
        <v>1.34</v>
      </c>
      <c r="I35" s="883"/>
      <c r="J35" s="1339" t="str">
        <f t="shared" ref="J35:J37" si="2">IF(AND(ISBLANK(A35),E35&gt;0),"Auswahl fehlt oder Anzahl löschen!","")</f>
        <v/>
      </c>
      <c r="K35" s="1340"/>
      <c r="L35" s="1103"/>
    </row>
    <row r="36" spans="1:12" ht="17.850000000000001" hidden="1" customHeight="1" x14ac:dyDescent="0.45">
      <c r="A36" s="1467"/>
      <c r="B36" s="1468"/>
      <c r="C36" s="1468"/>
      <c r="D36" s="1474"/>
      <c r="E36" s="74"/>
      <c r="F36" s="85" t="str">
        <f t="shared" ref="F36:F37" si="3">IFERROR(IF(A36&lt;&gt;"",E36/E$38,""),"")</f>
        <v/>
      </c>
      <c r="G36" s="75" t="str">
        <f ca="1">IFERROR(VLOOKUP(A36,Stammdaten!A$7:F$33,4,FALSE)*F36,"")</f>
        <v/>
      </c>
      <c r="H36" s="123" t="str">
        <f ca="1">IFERROR(VLOOKUP(A36,Stammdaten!A$7:F$33,6,FALSE)*F36,"")</f>
        <v/>
      </c>
      <c r="I36" s="883"/>
      <c r="J36" s="1646" t="str">
        <f t="shared" si="2"/>
        <v/>
      </c>
      <c r="K36" s="1647"/>
      <c r="L36" s="1103"/>
    </row>
    <row r="37" spans="1:12" ht="17.850000000000001" customHeight="1" thickBot="1" x14ac:dyDescent="0.5">
      <c r="A37" s="1573"/>
      <c r="B37" s="1574"/>
      <c r="C37" s="1575"/>
      <c r="D37" s="450">
        <f ca="1">IFERROR(VLOOKUP(A37,Stammdaten!A$7:D$33,4,FALSE),"&lt;-- Prüfen!")</f>
        <v>0</v>
      </c>
      <c r="E37" s="451"/>
      <c r="F37" s="312" t="str">
        <f t="shared" si="3"/>
        <v/>
      </c>
      <c r="G37" s="450" t="str">
        <f ca="1">IFERROR(VLOOKUP(A37,Stammdaten!A$7:F$33,4,FALSE)*F37,"")</f>
        <v/>
      </c>
      <c r="H37" s="513" t="str">
        <f ca="1">IFERROR(VLOOKUP(A37,Stammdaten!A$7:F$33,6,FALSE)*F37,"")</f>
        <v/>
      </c>
      <c r="I37" s="883"/>
      <c r="J37" s="1646" t="str">
        <f t="shared" si="2"/>
        <v/>
      </c>
      <c r="K37" s="1647"/>
      <c r="L37" s="1103"/>
    </row>
    <row r="38" spans="1:12" ht="17.850000000000001" customHeight="1" thickTop="1" x14ac:dyDescent="0.45">
      <c r="A38" s="1291" t="s">
        <v>117</v>
      </c>
      <c r="B38" s="1370"/>
      <c r="C38" s="1370"/>
      <c r="D38" s="1292"/>
      <c r="E38" s="395">
        <f>SUM(E35:E37)</f>
        <v>0.2</v>
      </c>
      <c r="F38" s="335">
        <f>SUM(F35:F37)</f>
        <v>1</v>
      </c>
      <c r="G38" s="336">
        <f ca="1">SUM(G35:G37)</f>
        <v>13.35</v>
      </c>
      <c r="H38" s="368">
        <f ca="1">SUM(H35:H37)</f>
        <v>1.34</v>
      </c>
      <c r="I38" s="243"/>
      <c r="J38" s="67"/>
      <c r="K38" s="68"/>
      <c r="L38" s="1103"/>
    </row>
    <row r="39" spans="1:12" ht="17.850000000000001" customHeight="1" x14ac:dyDescent="0.45">
      <c r="A39" s="1267" t="s">
        <v>599</v>
      </c>
      <c r="B39" s="1268"/>
      <c r="C39" s="1268"/>
      <c r="D39" s="1268"/>
      <c r="E39" s="1268"/>
      <c r="F39" s="1268"/>
      <c r="G39" s="1268"/>
      <c r="H39" s="192">
        <v>0</v>
      </c>
      <c r="I39" s="883"/>
      <c r="J39" s="1339" t="str">
        <f ca="1">IF(AND(ISBLANK(H39),G38&gt;0),"Kennzeichen eingeben!","")</f>
        <v/>
      </c>
      <c r="K39" s="1340"/>
      <c r="L39" s="1103"/>
    </row>
    <row r="40" spans="1:12" ht="17.850000000000001" customHeight="1" x14ac:dyDescent="0.45">
      <c r="A40" s="650" t="s">
        <v>527</v>
      </c>
      <c r="B40" s="655"/>
      <c r="C40" s="655"/>
      <c r="D40" s="655"/>
      <c r="E40" s="656" t="s">
        <v>96</v>
      </c>
      <c r="F40" s="187">
        <f>IF(H39=1,E32,E32-E38)</f>
        <v>3.8</v>
      </c>
      <c r="G40" s="656" t="s">
        <v>97</v>
      </c>
      <c r="H40" s="369">
        <f>E38</f>
        <v>0.2</v>
      </c>
      <c r="I40" s="243"/>
      <c r="J40" s="67"/>
      <c r="K40" s="68"/>
      <c r="L40" s="1103"/>
    </row>
    <row r="41" spans="1:12" ht="17.850000000000001" customHeight="1" x14ac:dyDescent="0.45">
      <c r="A41" s="1576" t="str">
        <f>IF(H39=0,"Bei KZ = 0: Bitte prüfen, ob die Beschäftigungsgruppe auch beim produktiven Personal (siehe A1) vorkommt!","")</f>
        <v>Bei KZ = 0: Bitte prüfen, ob die Beschäftigungsgruppe auch beim produktiven Personal (siehe A1) vorkommt!</v>
      </c>
      <c r="B41" s="1577"/>
      <c r="C41" s="1577"/>
      <c r="D41" s="1577"/>
      <c r="E41" s="1577"/>
      <c r="F41" s="1577"/>
      <c r="G41" s="1577"/>
      <c r="H41" s="1577"/>
      <c r="I41" s="243"/>
      <c r="J41" s="67"/>
      <c r="K41" s="68"/>
      <c r="L41" s="1103"/>
    </row>
    <row r="42" spans="1:12" ht="17.850000000000001" customHeight="1" x14ac:dyDescent="0.45">
      <c r="A42" s="1595" t="s">
        <v>582</v>
      </c>
      <c r="B42" s="1596"/>
      <c r="C42" s="1596"/>
      <c r="D42" s="1596"/>
      <c r="E42" s="1287" t="s">
        <v>486</v>
      </c>
      <c r="F42" s="1287" t="s">
        <v>605</v>
      </c>
      <c r="G42" s="1601" t="s">
        <v>606</v>
      </c>
      <c r="H42" s="1599" t="s">
        <v>607</v>
      </c>
      <c r="I42" s="243"/>
      <c r="J42" s="67"/>
      <c r="K42" s="68"/>
      <c r="L42" s="1103"/>
    </row>
    <row r="43" spans="1:12" ht="17.850000000000001" customHeight="1" x14ac:dyDescent="0.45">
      <c r="A43" s="1597"/>
      <c r="B43" s="1598"/>
      <c r="C43" s="1598"/>
      <c r="D43" s="1598"/>
      <c r="E43" s="1288"/>
      <c r="F43" s="1288"/>
      <c r="G43" s="1602"/>
      <c r="H43" s="1600"/>
      <c r="I43" s="243"/>
      <c r="J43" s="67"/>
      <c r="K43" s="68"/>
      <c r="L43" s="1103"/>
    </row>
    <row r="44" spans="1:12" ht="17.850000000000001" customHeight="1" x14ac:dyDescent="0.45">
      <c r="A44" s="1467"/>
      <c r="B44" s="1468"/>
      <c r="C44" s="1468"/>
      <c r="D44" s="1474"/>
      <c r="E44" s="186">
        <f>F40</f>
        <v>3.8</v>
      </c>
      <c r="F44" s="351"/>
      <c r="G44" s="769">
        <f>F44/(1-F44)</f>
        <v>0</v>
      </c>
      <c r="H44" s="188">
        <f>E44*F44</f>
        <v>0</v>
      </c>
      <c r="I44" s="243"/>
      <c r="J44" s="67"/>
      <c r="K44" s="68"/>
      <c r="L44" s="1103"/>
    </row>
    <row r="45" spans="1:12" ht="17.850000000000001" customHeight="1" x14ac:dyDescent="0.45">
      <c r="A45" s="1571"/>
      <c r="B45" s="1572"/>
      <c r="C45" s="1572"/>
      <c r="D45" s="1572"/>
      <c r="E45" s="1572"/>
      <c r="F45" s="1572"/>
      <c r="G45" s="1572"/>
      <c r="H45" s="1572"/>
      <c r="I45" s="243"/>
      <c r="J45" s="67"/>
      <c r="K45" s="68"/>
      <c r="L45" s="1103"/>
    </row>
    <row r="46" spans="1:12" ht="17.850000000000001" customHeight="1" x14ac:dyDescent="0.45">
      <c r="A46" s="1603" t="str">
        <f>"Unproduktiv nach 'Köpfen' gesamt: "&amp;ROUND(H46/F46*100,2)&amp;"%"</f>
        <v>Unproduktiv nach 'Köpfen' gesamt: 5,26%</v>
      </c>
      <c r="B46" s="1604"/>
      <c r="C46" s="1604"/>
      <c r="D46" s="1605"/>
      <c r="E46" s="657" t="s">
        <v>96</v>
      </c>
      <c r="F46" s="641">
        <f>F40-H44</f>
        <v>3.8</v>
      </c>
      <c r="G46" s="657" t="s">
        <v>97</v>
      </c>
      <c r="H46" s="642">
        <f>H40+H44</f>
        <v>0.2</v>
      </c>
      <c r="I46" s="243"/>
      <c r="J46" s="67"/>
      <c r="K46" s="68"/>
      <c r="L46" s="1103"/>
    </row>
    <row r="47" spans="1:12" ht="17.850000000000001" customHeight="1" x14ac:dyDescent="0.45">
      <c r="A47" s="67"/>
      <c r="B47" s="68"/>
      <c r="C47" s="68"/>
      <c r="D47" s="68"/>
      <c r="E47" s="68"/>
      <c r="F47" s="68"/>
      <c r="G47" s="68"/>
      <c r="H47" s="68"/>
      <c r="I47" s="243"/>
      <c r="J47" s="67"/>
      <c r="K47" s="68"/>
      <c r="L47" s="1103"/>
    </row>
    <row r="48" spans="1:12" ht="17.850000000000001" customHeight="1" thickBot="1" x14ac:dyDescent="0.5">
      <c r="A48" s="1374" t="s">
        <v>219</v>
      </c>
      <c r="B48" s="1375"/>
      <c r="C48" s="1375"/>
      <c r="D48" s="1375"/>
      <c r="E48" s="1375"/>
      <c r="F48" s="1538"/>
      <c r="G48" s="1538"/>
      <c r="H48" s="1538"/>
      <c r="I48" s="243"/>
      <c r="J48" s="67"/>
      <c r="K48" s="68"/>
      <c r="L48" s="1103"/>
    </row>
    <row r="49" spans="1:13" ht="17.850000000000001" customHeight="1" x14ac:dyDescent="0.45">
      <c r="A49" s="172"/>
      <c r="B49" s="1035"/>
      <c r="C49" s="107" t="s">
        <v>23</v>
      </c>
      <c r="D49" s="107" t="s">
        <v>725</v>
      </c>
      <c r="E49" s="1131" t="s">
        <v>726</v>
      </c>
      <c r="F49" s="1539" t="s">
        <v>220</v>
      </c>
      <c r="G49" s="1541" t="s">
        <v>608</v>
      </c>
      <c r="H49" s="1543" t="s">
        <v>199</v>
      </c>
      <c r="I49" s="243"/>
      <c r="J49" s="67"/>
      <c r="K49" s="68"/>
      <c r="L49" s="1103"/>
    </row>
    <row r="50" spans="1:13" ht="17.850000000000001" customHeight="1" thickBot="1" x14ac:dyDescent="0.5">
      <c r="A50" s="1132" t="s">
        <v>486</v>
      </c>
      <c r="B50" s="1133"/>
      <c r="C50" s="1134">
        <f>F46</f>
        <v>3.8</v>
      </c>
      <c r="D50" s="1135">
        <f ca="1">C50*G32</f>
        <v>45.83</v>
      </c>
      <c r="E50" s="1136">
        <f ca="1">C50*H32</f>
        <v>4.5999999999999996</v>
      </c>
      <c r="F50" s="1540"/>
      <c r="G50" s="1542"/>
      <c r="H50" s="1544"/>
      <c r="I50" s="243"/>
      <c r="J50" s="67"/>
      <c r="K50" s="68"/>
      <c r="L50" s="1103"/>
      <c r="M50" s="1104"/>
    </row>
    <row r="51" spans="1:13" ht="17.850000000000001" customHeight="1" x14ac:dyDescent="0.45">
      <c r="A51" s="1132" t="s">
        <v>250</v>
      </c>
      <c r="B51" s="1133"/>
      <c r="C51" s="1134">
        <f>H44</f>
        <v>0</v>
      </c>
      <c r="D51" s="1135">
        <f ca="1">C51*G32</f>
        <v>0</v>
      </c>
      <c r="E51" s="1136">
        <f ca="1">C51*H32</f>
        <v>0</v>
      </c>
      <c r="F51" s="1137" t="s">
        <v>72</v>
      </c>
      <c r="G51" s="1138">
        <f ca="1">D50</f>
        <v>45.83</v>
      </c>
      <c r="H51" s="1139">
        <f ca="1">D53</f>
        <v>48.5</v>
      </c>
      <c r="I51" s="243"/>
      <c r="J51" s="67"/>
      <c r="K51" s="68"/>
      <c r="L51" s="1103"/>
      <c r="M51" s="1104"/>
    </row>
    <row r="52" spans="1:13" ht="17.850000000000001" customHeight="1" thickBot="1" x14ac:dyDescent="0.5">
      <c r="A52" s="1140" t="s">
        <v>218</v>
      </c>
      <c r="B52" s="1141"/>
      <c r="C52" s="1142">
        <f>H40</f>
        <v>0.2</v>
      </c>
      <c r="D52" s="1143">
        <f ca="1">C52*G38</f>
        <v>2.67</v>
      </c>
      <c r="E52" s="1144">
        <f ca="1">C52*H38</f>
        <v>0.27</v>
      </c>
      <c r="F52" s="1145" t="s">
        <v>94</v>
      </c>
      <c r="G52" s="1146">
        <f ca="1">D52+D51</f>
        <v>2.67</v>
      </c>
      <c r="H52" s="1147">
        <f ca="1">E53</f>
        <v>4.87</v>
      </c>
      <c r="I52" s="243"/>
      <c r="J52" s="67"/>
      <c r="K52" s="68"/>
      <c r="L52" s="619" t="str">
        <f ca="1">IFERROR(IF(ABS(H54)/H53&gt;0.1,"Individuelle Anpassung bei A4) AKV-Entgelt auffällig hoch. ",""),"")</f>
        <v/>
      </c>
      <c r="M52" s="1104"/>
    </row>
    <row r="53" spans="1:13" ht="17.850000000000001" customHeight="1" thickBot="1" x14ac:dyDescent="0.5">
      <c r="A53" s="1587" t="s">
        <v>69</v>
      </c>
      <c r="B53" s="1588"/>
      <c r="C53" s="1148">
        <f>SUM(C50:C52)</f>
        <v>4</v>
      </c>
      <c r="D53" s="1149">
        <f ca="1">SUM(D50:D52)</f>
        <v>48.5</v>
      </c>
      <c r="E53" s="1150">
        <f ca="1">SUM(E50:E52)</f>
        <v>4.87</v>
      </c>
      <c r="F53" s="770" t="s">
        <v>200</v>
      </c>
      <c r="G53" s="821">
        <f ca="1">G52/G51</f>
        <v>5.8299999999999998E-2</v>
      </c>
      <c r="H53" s="514">
        <f ca="1">H52/H51</f>
        <v>0.1004</v>
      </c>
      <c r="I53" s="243"/>
      <c r="J53" s="67"/>
      <c r="K53" s="68"/>
      <c r="L53" s="619" t="str">
        <f ca="1">IFERROR(IF(ABS(G54)/G53&gt;0.1,"Individuelle Anpassung bei A4) unproduktive Zeiten auffällig hoch. ",""),"")</f>
        <v/>
      </c>
      <c r="M53" s="1104"/>
    </row>
    <row r="54" spans="1:13" ht="17.850000000000001" customHeight="1" thickBot="1" x14ac:dyDescent="0.5">
      <c r="A54" s="1129"/>
      <c r="B54" s="1130"/>
      <c r="C54" s="1589" t="s">
        <v>239</v>
      </c>
      <c r="D54" s="1590"/>
      <c r="E54" s="1590"/>
      <c r="F54" s="1591"/>
      <c r="G54" s="298"/>
      <c r="H54" s="370"/>
      <c r="I54" s="884" t="str">
        <f>IF(OR(G54&lt;&gt;0,H54&lt;&gt;0),"X","")</f>
        <v/>
      </c>
      <c r="J54" s="67"/>
      <c r="K54" s="68"/>
      <c r="L54" s="1103"/>
      <c r="M54" s="1104"/>
    </row>
    <row r="55" spans="1:13" ht="17.850000000000001" customHeight="1" x14ac:dyDescent="0.45">
      <c r="A55" s="1128"/>
      <c r="B55" s="1076"/>
      <c r="C55" s="1606" t="s">
        <v>528</v>
      </c>
      <c r="D55" s="1607"/>
      <c r="E55" s="1607"/>
      <c r="F55" s="1608"/>
      <c r="G55" s="219">
        <f ca="1">G53+G54</f>
        <v>5.8299999999999998E-2</v>
      </c>
      <c r="H55" s="371">
        <f ca="1">H53+H54</f>
        <v>0.1004</v>
      </c>
      <c r="I55" s="243"/>
      <c r="J55" s="67"/>
      <c r="K55" s="68"/>
      <c r="L55" s="620" t="str">
        <f ca="1">IFERROR(IF(G55&gt;0.15,"Umlage UNPRODUKTIVE ZEITEN erscheinen mit "&amp;G55*100&amp;"% recht hoch! ",""),"")</f>
        <v/>
      </c>
      <c r="M55" s="1100" t="s">
        <v>22</v>
      </c>
    </row>
    <row r="56" spans="1:13" ht="17.850000000000001" customHeight="1" x14ac:dyDescent="0.45">
      <c r="A56" s="69"/>
      <c r="B56" s="71"/>
      <c r="C56" s="1074" t="str">
        <f ca="1">"Wert für unprod. Zeiten € "&amp;TEXT(' K3 PP'!O22,"0,00")&amp;" und für AKV € "&amp;TEXT(' K3 PP'!O24,"0,00")</f>
        <v>Wert für unprod. Zeiten € 0,70 und für AKV € 1,28</v>
      </c>
      <c r="D56" s="1075"/>
      <c r="E56" s="140"/>
      <c r="F56" s="140"/>
      <c r="G56" s="200" t="s">
        <v>176</v>
      </c>
      <c r="H56" s="366" t="s">
        <v>177</v>
      </c>
      <c r="I56" s="243"/>
      <c r="J56" s="67"/>
      <c r="K56" s="68"/>
      <c r="L56" s="620" t="str">
        <f ca="1">IFERROR(IF(H55&gt;0.2,"Höhe des AKV-Entelts mit "&amp;H55*100&amp;"% kann zu Nachfragen führen! ",""),"")</f>
        <v/>
      </c>
    </row>
    <row r="57" spans="1:13" ht="17.850000000000001" customHeight="1" x14ac:dyDescent="0.45">
      <c r="A57" s="352" t="s">
        <v>332</v>
      </c>
      <c r="B57" s="353">
        <f ca="1">' K3 PP'!$O$23</f>
        <v>12.76</v>
      </c>
      <c r="C57" s="352" t="s">
        <v>333</v>
      </c>
      <c r="D57" s="353">
        <f ca="1">' K3 PP'!$O$33</f>
        <v>32.33</v>
      </c>
      <c r="E57" s="354" t="s">
        <v>334</v>
      </c>
      <c r="F57" s="353">
        <f ca="1">' K3 PP'!$O$44</f>
        <v>45</v>
      </c>
      <c r="G57" s="352" t="s">
        <v>335</v>
      </c>
      <c r="H57" s="355">
        <f ca="1">' K3 PP'!$Q$45</f>
        <v>45</v>
      </c>
      <c r="I57" s="243"/>
      <c r="J57" s="67"/>
      <c r="K57" s="68"/>
      <c r="L57" s="1103"/>
    </row>
    <row r="58" spans="1:13" ht="17.850000000000001" customHeight="1" x14ac:dyDescent="0.45">
      <c r="A58" s="1464"/>
      <c r="B58" s="1465"/>
      <c r="C58" s="1465"/>
      <c r="D58" s="1465"/>
      <c r="E58" s="1465"/>
      <c r="F58" s="1465"/>
      <c r="G58" s="1465"/>
      <c r="H58" s="1465"/>
      <c r="I58" s="243"/>
      <c r="J58" s="67"/>
      <c r="K58" s="68"/>
      <c r="L58" s="1103"/>
    </row>
    <row r="59" spans="1:13" ht="17.850000000000001" customHeight="1" x14ac:dyDescent="0.45">
      <c r="A59" s="1611" t="s">
        <v>487</v>
      </c>
      <c r="B59" s="1612"/>
      <c r="C59" s="1612"/>
      <c r="D59" s="1612"/>
      <c r="E59" s="1612"/>
      <c r="F59" s="1612"/>
      <c r="G59" s="1612"/>
      <c r="H59" s="1612"/>
      <c r="I59" s="243"/>
      <c r="J59" s="67"/>
      <c r="K59" s="68"/>
      <c r="L59" s="1103"/>
    </row>
    <row r="60" spans="1:13" ht="17.850000000000001" customHeight="1" x14ac:dyDescent="0.45">
      <c r="A60" s="1581" t="s">
        <v>529</v>
      </c>
      <c r="B60" s="1582"/>
      <c r="C60" s="1630" t="s">
        <v>601</v>
      </c>
      <c r="D60" s="1630" t="s">
        <v>602</v>
      </c>
      <c r="E60" s="1368" t="s">
        <v>530</v>
      </c>
      <c r="F60" s="1629"/>
      <c r="G60" s="1368" t="s">
        <v>531</v>
      </c>
      <c r="H60" s="1369"/>
      <c r="I60" s="243"/>
      <c r="J60" s="67"/>
      <c r="K60" s="68"/>
      <c r="L60" s="1103"/>
    </row>
    <row r="61" spans="1:13" ht="17.850000000000001" customHeight="1" x14ac:dyDescent="0.45">
      <c r="A61" s="1515"/>
      <c r="B61" s="1517"/>
      <c r="C61" s="1510"/>
      <c r="D61" s="1510"/>
      <c r="E61" s="1287" t="s">
        <v>532</v>
      </c>
      <c r="F61" s="1545" t="s">
        <v>600</v>
      </c>
      <c r="G61" s="1287" t="s">
        <v>533</v>
      </c>
      <c r="H61" s="1545" t="s">
        <v>600</v>
      </c>
      <c r="I61" s="243"/>
      <c r="J61" s="67"/>
      <c r="K61" s="68"/>
      <c r="L61" s="1103"/>
    </row>
    <row r="62" spans="1:13" ht="17.850000000000001" customHeight="1" x14ac:dyDescent="0.45">
      <c r="A62" s="1515"/>
      <c r="B62" s="1517"/>
      <c r="C62" s="1511"/>
      <c r="D62" s="1511"/>
      <c r="E62" s="1288"/>
      <c r="F62" s="1546"/>
      <c r="G62" s="1288"/>
      <c r="H62" s="1546"/>
      <c r="I62" s="243"/>
      <c r="J62" s="67"/>
      <c r="K62" s="68"/>
      <c r="L62" s="1103"/>
    </row>
    <row r="63" spans="1:13" ht="17.850000000000001" customHeight="1" thickBot="1" x14ac:dyDescent="0.5">
      <c r="A63" s="1518"/>
      <c r="B63" s="1520"/>
      <c r="C63" s="297" t="s">
        <v>10</v>
      </c>
      <c r="D63" s="297" t="s">
        <v>11</v>
      </c>
      <c r="E63" s="297" t="s">
        <v>271</v>
      </c>
      <c r="F63" s="297" t="s">
        <v>12</v>
      </c>
      <c r="G63" s="297" t="s">
        <v>13</v>
      </c>
      <c r="H63" s="372" t="s">
        <v>14</v>
      </c>
      <c r="I63" s="243"/>
      <c r="J63" s="222"/>
      <c r="K63" s="105"/>
      <c r="L63" s="1103"/>
    </row>
    <row r="64" spans="1:13" ht="29.45" customHeight="1" x14ac:dyDescent="0.45">
      <c r="A64" s="1631" t="s">
        <v>718</v>
      </c>
      <c r="B64" s="1632"/>
      <c r="C64" s="299">
        <v>0.25</v>
      </c>
      <c r="D64" s="299">
        <v>1</v>
      </c>
      <c r="E64" s="293">
        <f ca="1">IFERROR(VLOOKUP(A64,Stammdaten!$A$68:$C$94,3,FALSE),"&lt;-- prüfen!")</f>
        <v>0</v>
      </c>
      <c r="F64" s="294">
        <f ca="1">IFERROR(C64*D64*E64,"")</f>
        <v>0</v>
      </c>
      <c r="G64" s="295">
        <f ca="1">IFERROR(VLOOKUP(A64,Stammdaten!$A$68:$C$94,2,FALSE),"&lt;-- prüfen!")</f>
        <v>0.1</v>
      </c>
      <c r="H64" s="373">
        <f t="shared" ref="H64:H70" ca="1" si="4">IFERROR(C64*D64*G64,"")</f>
        <v>2.5000000000000001E-2</v>
      </c>
      <c r="I64" s="243"/>
      <c r="J64" s="1641" t="str">
        <f>IF(AND(C64&gt;0,A64=""),"Zulage auswählen oder Anteil = 0 oder löschen!","")</f>
        <v/>
      </c>
      <c r="K64" s="1642"/>
      <c r="L64" s="1127" t="str">
        <f>(IF(AND(C64&gt;0,D64&lt;=0),"Spalten A und B ausfüllen",IF(AND(D64&gt;0,C64&lt;=0),"Spalten A und B ausfüllen","")))</f>
        <v/>
      </c>
    </row>
    <row r="65" spans="1:12" ht="29.45" customHeight="1" x14ac:dyDescent="0.45">
      <c r="A65" s="1583" t="s">
        <v>719</v>
      </c>
      <c r="B65" s="1584"/>
      <c r="C65" s="300">
        <v>1</v>
      </c>
      <c r="D65" s="300">
        <v>0.2</v>
      </c>
      <c r="E65" s="293">
        <f ca="1">IFERROR(VLOOKUP(A65,Stammdaten!$A$68:$C$94,3,FALSE),"&lt;-- prüfen!")</f>
        <v>0</v>
      </c>
      <c r="F65" s="83">
        <f t="shared" ref="F65:F70" ca="1" si="5">IFERROR(C65*D65*E65,"")</f>
        <v>0</v>
      </c>
      <c r="G65" s="295">
        <f ca="1">IFERROR(VLOOKUP(A65,Stammdaten!$A$68:$C$94,2,FALSE),"&lt;-- prüfen!")</f>
        <v>0.1</v>
      </c>
      <c r="H65" s="180">
        <f t="shared" ca="1" si="4"/>
        <v>0.02</v>
      </c>
      <c r="I65" s="243"/>
      <c r="J65" s="1641" t="str">
        <f t="shared" ref="J65:J70" si="6">IF(AND(C65&gt;0,A65=""),"Zulage auswählen oder Anteil = 0 oder löschen!","")</f>
        <v/>
      </c>
      <c r="K65" s="1642"/>
      <c r="L65" s="1127" t="str">
        <f t="shared" ref="L65:L70" si="7">(IF(AND(C65&gt;0,D65&lt;=0),"Spalten A und B ausfüllen",IF(AND(D65&gt;0,C65&lt;=0),"Spalten A und B ausfüllen","")))</f>
        <v/>
      </c>
    </row>
    <row r="66" spans="1:12" ht="29.45" customHeight="1" x14ac:dyDescent="0.45">
      <c r="A66" s="1583"/>
      <c r="B66" s="1584"/>
      <c r="C66" s="300"/>
      <c r="D66" s="300"/>
      <c r="E66" s="293">
        <f ca="1">IFERROR(VLOOKUP(A66,Stammdaten!$A$68:$C$94,3,FALSE),"&lt;-- prüfen!")</f>
        <v>0</v>
      </c>
      <c r="F66" s="83">
        <f t="shared" ca="1" si="5"/>
        <v>0</v>
      </c>
      <c r="G66" s="295">
        <f ca="1">IFERROR(VLOOKUP(A66,Stammdaten!$A$68:$C$94,2,FALSE),"&lt;-- prüfen!")</f>
        <v>0</v>
      </c>
      <c r="H66" s="180">
        <f t="shared" ca="1" si="4"/>
        <v>0</v>
      </c>
      <c r="I66" s="243"/>
      <c r="J66" s="1641" t="str">
        <f t="shared" si="6"/>
        <v/>
      </c>
      <c r="K66" s="1642"/>
      <c r="L66" s="1127" t="str">
        <f t="shared" si="7"/>
        <v/>
      </c>
    </row>
    <row r="67" spans="1:12" ht="29.45" customHeight="1" x14ac:dyDescent="0.45">
      <c r="A67" s="1583"/>
      <c r="B67" s="1584"/>
      <c r="C67" s="300"/>
      <c r="D67" s="300"/>
      <c r="E67" s="293">
        <f ca="1">IFERROR(VLOOKUP(A67,Stammdaten!$A$68:$C$94,3,FALSE),"&lt;-- prüfen!")</f>
        <v>0</v>
      </c>
      <c r="F67" s="83">
        <f t="shared" ca="1" si="5"/>
        <v>0</v>
      </c>
      <c r="G67" s="295">
        <f ca="1">IFERROR(VLOOKUP(A67,Stammdaten!$A$68:$C$94,2,FALSE),"&lt;-- prüfen!")</f>
        <v>0</v>
      </c>
      <c r="H67" s="180">
        <f t="shared" ca="1" si="4"/>
        <v>0</v>
      </c>
      <c r="I67" s="243"/>
      <c r="J67" s="1641" t="str">
        <f t="shared" si="6"/>
        <v/>
      </c>
      <c r="K67" s="1642"/>
      <c r="L67" s="1127" t="str">
        <f t="shared" si="7"/>
        <v/>
      </c>
    </row>
    <row r="68" spans="1:12" ht="29.45" customHeight="1" x14ac:dyDescent="0.45">
      <c r="A68" s="1583"/>
      <c r="B68" s="1584"/>
      <c r="C68" s="300"/>
      <c r="D68" s="300"/>
      <c r="E68" s="293">
        <f ca="1">IFERROR(VLOOKUP(A68,Stammdaten!$A$68:$C$94,3,FALSE),"&lt;-- prüfen!")</f>
        <v>0</v>
      </c>
      <c r="F68" s="83">
        <f t="shared" ca="1" si="5"/>
        <v>0</v>
      </c>
      <c r="G68" s="295">
        <f ca="1">IFERROR(VLOOKUP(A68,Stammdaten!$A$68:$C$94,2,FALSE),"&lt;-- prüfen!")</f>
        <v>0</v>
      </c>
      <c r="H68" s="180">
        <f t="shared" ca="1" si="4"/>
        <v>0</v>
      </c>
      <c r="I68" s="243"/>
      <c r="J68" s="1641" t="str">
        <f t="shared" si="6"/>
        <v/>
      </c>
      <c r="K68" s="1642"/>
      <c r="L68" s="1127" t="str">
        <f t="shared" si="7"/>
        <v/>
      </c>
    </row>
    <row r="69" spans="1:12" ht="29.45" customHeight="1" x14ac:dyDescent="0.45">
      <c r="A69" s="1583"/>
      <c r="B69" s="1584"/>
      <c r="C69" s="300"/>
      <c r="D69" s="300"/>
      <c r="E69" s="293">
        <f ca="1">IFERROR(VLOOKUP(A69,Stammdaten!$A$68:$C$94,3,FALSE),"&lt;-- prüfen!")</f>
        <v>0</v>
      </c>
      <c r="F69" s="83">
        <f t="shared" ca="1" si="5"/>
        <v>0</v>
      </c>
      <c r="G69" s="295">
        <f ca="1">IFERROR(VLOOKUP(A69,Stammdaten!$A$68:$C$94,2,FALSE),"&lt;-- prüfen!")</f>
        <v>0</v>
      </c>
      <c r="H69" s="180">
        <f t="shared" ca="1" si="4"/>
        <v>0</v>
      </c>
      <c r="I69" s="243"/>
      <c r="J69" s="1641" t="str">
        <f t="shared" si="6"/>
        <v/>
      </c>
      <c r="K69" s="1642"/>
      <c r="L69" s="1127" t="str">
        <f t="shared" si="7"/>
        <v/>
      </c>
    </row>
    <row r="70" spans="1:12" ht="29.45" customHeight="1" thickBot="1" x14ac:dyDescent="0.5">
      <c r="A70" s="1636"/>
      <c r="B70" s="1637"/>
      <c r="C70" s="301"/>
      <c r="D70" s="301"/>
      <c r="E70" s="293">
        <f ca="1">IFERROR(VLOOKUP(A70,Stammdaten!$A$68:$C$94,3,FALSE),"&lt;-- prüfen!")</f>
        <v>0</v>
      </c>
      <c r="F70" s="235">
        <f t="shared" ca="1" si="5"/>
        <v>0</v>
      </c>
      <c r="G70" s="295">
        <f ca="1">IFERROR(VLOOKUP(A70,Stammdaten!$A$68:$C$94,2,FALSE),"&lt;-- prüfen!")</f>
        <v>0</v>
      </c>
      <c r="H70" s="374">
        <f t="shared" ca="1" si="4"/>
        <v>0</v>
      </c>
      <c r="I70" s="243"/>
      <c r="J70" s="1641" t="str">
        <f t="shared" si="6"/>
        <v/>
      </c>
      <c r="K70" s="1642"/>
      <c r="L70" s="1127" t="str">
        <f t="shared" si="7"/>
        <v/>
      </c>
    </row>
    <row r="71" spans="1:12" ht="17.850000000000001" customHeight="1" x14ac:dyDescent="0.45">
      <c r="A71" s="1633" t="s">
        <v>105</v>
      </c>
      <c r="B71" s="1634"/>
      <c r="C71" s="1634"/>
      <c r="D71" s="1635"/>
      <c r="E71" s="652"/>
      <c r="F71" s="652"/>
      <c r="G71" s="652"/>
      <c r="H71" s="700">
        <f ca="1">SUM(H64:H70)</f>
        <v>4.4999999999999998E-2</v>
      </c>
      <c r="I71" s="243"/>
      <c r="J71" s="222"/>
      <c r="K71" s="105"/>
      <c r="L71" s="1103"/>
    </row>
    <row r="72" spans="1:12" ht="17.850000000000001" customHeight="1" thickBot="1" x14ac:dyDescent="0.5">
      <c r="A72" s="1579" t="s">
        <v>598</v>
      </c>
      <c r="B72" s="1580"/>
      <c r="C72" s="1580"/>
      <c r="D72" s="1499"/>
      <c r="E72" s="1500"/>
      <c r="F72" s="534">
        <v>2</v>
      </c>
      <c r="G72" s="822">
        <f ca="1">IF(F72=2,G$146,1)</f>
        <v>1.1003000000000001</v>
      </c>
      <c r="H72" s="85">
        <f ca="1">G72*H71</f>
        <v>4.9500000000000002E-2</v>
      </c>
      <c r="I72" s="883"/>
      <c r="J72" s="1339" t="str">
        <f>IF(ISBLANK(F72),"Kennzeichen eingeben!","")</f>
        <v/>
      </c>
      <c r="K72" s="1340"/>
      <c r="L72" s="1103"/>
    </row>
    <row r="73" spans="1:12" ht="17.850000000000001" customHeight="1" x14ac:dyDescent="0.45">
      <c r="A73" s="134"/>
      <c r="B73" s="135"/>
      <c r="C73" s="135"/>
      <c r="D73" s="1609" t="s">
        <v>198</v>
      </c>
      <c r="E73" s="1610"/>
      <c r="F73" s="824">
        <f ca="1">SUM(F64:F70)</f>
        <v>0</v>
      </c>
      <c r="G73" s="1507"/>
      <c r="H73" s="1489">
        <f ca="1">F73/F74</f>
        <v>0</v>
      </c>
      <c r="I73" s="243"/>
      <c r="J73" s="67"/>
      <c r="K73" s="68"/>
      <c r="L73" s="1103"/>
    </row>
    <row r="74" spans="1:12" ht="17.850000000000001" customHeight="1" thickBot="1" x14ac:dyDescent="0.5">
      <c r="A74" s="132"/>
      <c r="B74" s="133"/>
      <c r="C74" s="133"/>
      <c r="D74" s="1579" t="s">
        <v>173</v>
      </c>
      <c r="E74" s="1580"/>
      <c r="F74" s="823">
        <f ca="1">G32</f>
        <v>12.06</v>
      </c>
      <c r="G74" s="1508"/>
      <c r="H74" s="1490"/>
      <c r="I74" s="243"/>
      <c r="J74" s="67"/>
      <c r="K74" s="68"/>
      <c r="L74" s="1103"/>
    </row>
    <row r="75" spans="1:12" ht="17.850000000000001" customHeight="1" thickBot="1" x14ac:dyDescent="0.5">
      <c r="A75" s="629" t="s">
        <v>330</v>
      </c>
      <c r="B75" s="139"/>
      <c r="C75" s="175"/>
      <c r="D75" s="175"/>
      <c r="E75" s="175"/>
      <c r="F75" s="175"/>
      <c r="G75" s="175"/>
      <c r="H75" s="181">
        <f ca="1">SUM(H72:H74)</f>
        <v>4.9500000000000002E-2</v>
      </c>
      <c r="I75" s="243"/>
      <c r="J75" s="67"/>
      <c r="K75" s="68"/>
      <c r="L75" s="1103"/>
    </row>
    <row r="76" spans="1:12" ht="17.850000000000001" customHeight="1" thickBot="1" x14ac:dyDescent="0.5">
      <c r="A76" s="1069" t="s">
        <v>685</v>
      </c>
      <c r="B76" s="1070"/>
      <c r="C76" s="1071"/>
      <c r="D76" s="1071"/>
      <c r="E76" s="1071"/>
      <c r="F76" s="1071"/>
      <c r="G76" s="1071"/>
      <c r="H76" s="1072"/>
      <c r="I76" s="243"/>
      <c r="J76" s="67"/>
      <c r="K76" s="68"/>
      <c r="L76" s="1103"/>
    </row>
    <row r="77" spans="1:12" ht="17.850000000000001" customHeight="1" thickBot="1" x14ac:dyDescent="0.5">
      <c r="A77" s="1331" t="s">
        <v>686</v>
      </c>
      <c r="B77" s="1332"/>
      <c r="C77" s="1332"/>
      <c r="D77" s="1332"/>
      <c r="E77" s="1332"/>
      <c r="F77" s="1071"/>
      <c r="G77" s="1073" t="s">
        <v>317</v>
      </c>
      <c r="H77" s="1072"/>
      <c r="I77" s="243"/>
      <c r="J77" s="67"/>
      <c r="K77" s="68"/>
      <c r="L77" s="1103"/>
    </row>
    <row r="78" spans="1:12" ht="17.850000000000001" customHeight="1" x14ac:dyDescent="0.45">
      <c r="A78" s="1501" t="str">
        <f>IF(G77&lt;&gt;"Ja","B2b) Zulagen für unproduktiv tätiges Personal","B2b) Individuelle Eingabe der Zulagen erst nach Auswahl von 'Nein' in der oberen Zeile möglich")</f>
        <v>B2b) Individuelle Eingabe der Zulagen erst nach Auswahl von 'Nein' in der oberen Zeile möglich</v>
      </c>
      <c r="B78" s="1502"/>
      <c r="C78" s="1509" t="s">
        <v>85</v>
      </c>
      <c r="D78" s="1509" t="s">
        <v>28</v>
      </c>
      <c r="E78" s="1452" t="s">
        <v>530</v>
      </c>
      <c r="F78" s="1453"/>
      <c r="G78" s="1452" t="s">
        <v>531</v>
      </c>
      <c r="H78" s="1578"/>
      <c r="I78" s="243"/>
      <c r="J78" s="67"/>
      <c r="K78" s="68"/>
      <c r="L78" s="1103"/>
    </row>
    <row r="79" spans="1:12" ht="17.850000000000001" customHeight="1" x14ac:dyDescent="0.45">
      <c r="A79" s="1503"/>
      <c r="B79" s="1504"/>
      <c r="C79" s="1510"/>
      <c r="D79" s="1510"/>
      <c r="E79" s="1545" t="s">
        <v>532</v>
      </c>
      <c r="F79" s="1545" t="s">
        <v>600</v>
      </c>
      <c r="G79" s="1545" t="s">
        <v>533</v>
      </c>
      <c r="H79" s="1545" t="s">
        <v>600</v>
      </c>
      <c r="I79" s="243"/>
      <c r="J79" s="67"/>
      <c r="K79" s="68"/>
      <c r="L79" s="1103"/>
    </row>
    <row r="80" spans="1:12" ht="17.850000000000001" customHeight="1" x14ac:dyDescent="0.45">
      <c r="A80" s="1503"/>
      <c r="B80" s="1504"/>
      <c r="C80" s="1511"/>
      <c r="D80" s="1511"/>
      <c r="E80" s="1546"/>
      <c r="F80" s="1546"/>
      <c r="G80" s="1546"/>
      <c r="H80" s="1546"/>
      <c r="I80" s="243"/>
      <c r="J80" s="67"/>
      <c r="K80" s="68"/>
      <c r="L80" s="1103"/>
    </row>
    <row r="81" spans="1:12" ht="17.850000000000001" customHeight="1" thickBot="1" x14ac:dyDescent="0.5">
      <c r="A81" s="1505"/>
      <c r="B81" s="1506"/>
      <c r="C81" s="297" t="s">
        <v>10</v>
      </c>
      <c r="D81" s="297" t="s">
        <v>11</v>
      </c>
      <c r="E81" s="297" t="s">
        <v>271</v>
      </c>
      <c r="F81" s="297" t="s">
        <v>12</v>
      </c>
      <c r="G81" s="297" t="s">
        <v>13</v>
      </c>
      <c r="H81" s="372" t="s">
        <v>14</v>
      </c>
      <c r="I81" s="243"/>
      <c r="J81" s="67"/>
      <c r="K81" s="68"/>
      <c r="L81" s="1103"/>
    </row>
    <row r="82" spans="1:12" ht="29.45" customHeight="1" x14ac:dyDescent="0.45">
      <c r="A82" s="1621" t="s">
        <v>712</v>
      </c>
      <c r="B82" s="1622"/>
      <c r="C82" s="299">
        <v>1</v>
      </c>
      <c r="D82" s="299">
        <v>1</v>
      </c>
      <c r="E82" s="293" t="str">
        <f ca="1">IFERROR(VLOOKUP(A82,Stammdaten!$A$68:$C$94,3,FALSE),"&lt;-- prüfen!")</f>
        <v>&lt;-- prüfen!</v>
      </c>
      <c r="F82" s="293" t="str">
        <f ca="1">IFERROR(C82*D82*E82,"")</f>
        <v/>
      </c>
      <c r="G82" s="295" t="str">
        <f ca="1">IFERROR(VLOOKUP(A82,Stammdaten!$A$68:$C$94,2,FALSE),"&lt;-- prüfen!")</f>
        <v>&lt;-- prüfen!</v>
      </c>
      <c r="H82" s="373" t="str">
        <f ca="1">IFERROR(C82*D82*G82,"")</f>
        <v/>
      </c>
      <c r="I82" s="883"/>
      <c r="J82" s="1641" t="str">
        <f t="shared" ref="J82:J84" si="8">IF(AND(C82&gt;0,A82=""),"Zulage auswählen oder Anteil = 0 oder löschen!","")</f>
        <v/>
      </c>
      <c r="K82" s="1642"/>
      <c r="L82" s="1127" t="str">
        <f>(IF(AND(C82&gt;0,D82&lt;=0),"Spalten A und B ausfüllen",IF(AND(D82&gt;0,C82&lt;=0),"Spalten A und B ausfüllen","")))</f>
        <v/>
      </c>
    </row>
    <row r="83" spans="1:12" ht="29.45" customHeight="1" x14ac:dyDescent="0.45">
      <c r="A83" s="1623"/>
      <c r="B83" s="1624"/>
      <c r="C83" s="300"/>
      <c r="D83" s="300"/>
      <c r="E83" s="293">
        <f ca="1">IFERROR(VLOOKUP(A83,Stammdaten!$A$68:$C$94,3,FALSE),"&lt;-- prüfen!")</f>
        <v>0</v>
      </c>
      <c r="F83" s="82">
        <f ca="1">IFERROR(C83*D83*E83,"")</f>
        <v>0</v>
      </c>
      <c r="G83" s="84">
        <f ca="1">IFERROR(VLOOKUP(A83,Stammdaten!$A$68:$C$94,2,FALSE),"")</f>
        <v>0</v>
      </c>
      <c r="H83" s="180">
        <f ca="1">IFERROR(C83*D83*G83,"")</f>
        <v>0</v>
      </c>
      <c r="I83" s="883"/>
      <c r="J83" s="1641" t="str">
        <f t="shared" si="8"/>
        <v/>
      </c>
      <c r="K83" s="1642"/>
      <c r="L83" s="1127" t="str">
        <f t="shared" ref="L83:L84" si="9">(IF(AND(C83&gt;0,D83&lt;=0),"Spalten A und B ausfüllen",IF(AND(D83&gt;0,C83&lt;=0),"Spalten A und B ausfüllen","")))</f>
        <v/>
      </c>
    </row>
    <row r="84" spans="1:12" ht="29.45" customHeight="1" thickBot="1" x14ac:dyDescent="0.5">
      <c r="A84" s="1533"/>
      <c r="B84" s="1534"/>
      <c r="C84" s="301"/>
      <c r="D84" s="301"/>
      <c r="E84" s="701">
        <f ca="1">IFERROR(VLOOKUP(A84,Stammdaten!$A$68:$C$94,3,FALSE),"&lt;-- prüfen!")</f>
        <v>0</v>
      </c>
      <c r="F84" s="702">
        <f ca="1">IFERROR(C84*D84*E84,"")</f>
        <v>0</v>
      </c>
      <c r="G84" s="703">
        <f ca="1">IFERROR(VLOOKUP(A84,Stammdaten!$A$68:$C$94,2,FALSE),"")</f>
        <v>0</v>
      </c>
      <c r="H84" s="312">
        <f ca="1">IFERROR(C84*D84*G84,"")</f>
        <v>0</v>
      </c>
      <c r="I84" s="883"/>
      <c r="J84" s="1641" t="str">
        <f t="shared" si="8"/>
        <v/>
      </c>
      <c r="K84" s="1642"/>
      <c r="L84" s="1127" t="str">
        <f t="shared" si="9"/>
        <v/>
      </c>
    </row>
    <row r="85" spans="1:12" ht="18" customHeight="1" x14ac:dyDescent="0.45">
      <c r="A85" s="1638" t="s">
        <v>105</v>
      </c>
      <c r="B85" s="1639"/>
      <c r="C85" s="1639"/>
      <c r="D85" s="1640"/>
      <c r="E85" s="236"/>
      <c r="F85" s="236"/>
      <c r="G85" s="236"/>
      <c r="H85" s="704">
        <f ca="1">SUM(H81:H84)</f>
        <v>0</v>
      </c>
      <c r="I85" s="243"/>
      <c r="J85" s="67"/>
      <c r="K85" s="68"/>
      <c r="L85" s="1103"/>
    </row>
    <row r="86" spans="1:12" ht="18" customHeight="1" thickBot="1" x14ac:dyDescent="0.5">
      <c r="A86" s="1579" t="s">
        <v>711</v>
      </c>
      <c r="B86" s="1580"/>
      <c r="C86" s="1580"/>
      <c r="D86" s="1580"/>
      <c r="E86" s="1625"/>
      <c r="F86" s="536">
        <v>2</v>
      </c>
      <c r="G86" s="643">
        <f ca="1">IF(F86=2,G$146,1)</f>
        <v>1.1000000000000001</v>
      </c>
      <c r="H86" s="375">
        <f ca="1">G86*H85</f>
        <v>0</v>
      </c>
      <c r="I86" s="883" t="str">
        <f ca="1">IF(AND(ISBLANK(F86),H85&gt;0),"Kennzeichen wählen!","")</f>
        <v/>
      </c>
      <c r="J86" s="1339" t="str">
        <f>IF(ISBLANK(F86),"Kennzeichen eingeben!","")</f>
        <v/>
      </c>
      <c r="K86" s="1340"/>
      <c r="L86" s="1648" t="str">
        <f>IF(AND(F72&lt;&gt;F86,G77="Nein"),"KZ bei B2 sollte mit KZ oben (B1) zusammenpassen!","")</f>
        <v/>
      </c>
    </row>
    <row r="87" spans="1:12" ht="17.850000000000001" customHeight="1" x14ac:dyDescent="0.45">
      <c r="A87" s="1613"/>
      <c r="B87" s="1614"/>
      <c r="C87" s="1615"/>
      <c r="D87" s="1609" t="s">
        <v>198</v>
      </c>
      <c r="E87" s="1626"/>
      <c r="F87" s="75">
        <f ca="1">SUM(F82:F84)</f>
        <v>0</v>
      </c>
      <c r="G87" s="1537"/>
      <c r="H87" s="1810">
        <f ca="1">IFERROR(F87/F88,"")</f>
        <v>0</v>
      </c>
      <c r="I87" s="243"/>
      <c r="J87" s="67"/>
      <c r="K87" s="68"/>
      <c r="L87" s="1648"/>
    </row>
    <row r="88" spans="1:12" ht="17.850000000000001" customHeight="1" thickBot="1" x14ac:dyDescent="0.5">
      <c r="A88" s="1616"/>
      <c r="B88" s="1617"/>
      <c r="C88" s="1618"/>
      <c r="D88" s="1627" t="s">
        <v>172</v>
      </c>
      <c r="E88" s="1628"/>
      <c r="F88" s="87">
        <f ca="1">G38</f>
        <v>13.35</v>
      </c>
      <c r="G88" s="1508"/>
      <c r="H88" s="1490"/>
      <c r="I88" s="243"/>
      <c r="J88" s="67"/>
      <c r="K88" s="68"/>
      <c r="L88" s="1648"/>
    </row>
    <row r="89" spans="1:12" ht="17.850000000000001" customHeight="1" thickBot="1" x14ac:dyDescent="0.5">
      <c r="A89" s="629" t="s">
        <v>240</v>
      </c>
      <c r="B89" s="139"/>
      <c r="C89" s="228"/>
      <c r="D89" s="228"/>
      <c r="E89" s="228"/>
      <c r="F89" s="228"/>
      <c r="G89" s="1099" t="str">
        <f>IF(G77="Ja","(Wie B1!)","")</f>
        <v>(Wie B1!)</v>
      </c>
      <c r="H89" s="181">
        <f ca="1">IF(G77="Ja",H75,SUM(H86:H88))</f>
        <v>4.9500000000000002E-2</v>
      </c>
      <c r="I89" s="243"/>
      <c r="J89" s="67"/>
      <c r="K89" s="68"/>
      <c r="L89" s="1103"/>
    </row>
    <row r="90" spans="1:12" ht="17.850000000000001" customHeight="1" x14ac:dyDescent="0.45">
      <c r="A90" s="1441" t="s">
        <v>241</v>
      </c>
      <c r="B90" s="1442"/>
      <c r="C90" s="1443"/>
      <c r="D90" s="1535" t="s">
        <v>221</v>
      </c>
      <c r="E90" s="1536"/>
      <c r="F90" s="189" t="s">
        <v>83</v>
      </c>
      <c r="G90" s="189" t="s">
        <v>178</v>
      </c>
      <c r="H90" s="604" t="s">
        <v>95</v>
      </c>
      <c r="I90" s="243"/>
      <c r="J90" s="67"/>
      <c r="K90" s="68"/>
      <c r="L90" s="1103"/>
    </row>
    <row r="91" spans="1:12" ht="17.850000000000001" customHeight="1" x14ac:dyDescent="0.45">
      <c r="A91" s="1498" t="s">
        <v>242</v>
      </c>
      <c r="B91" s="1499"/>
      <c r="C91" s="1499"/>
      <c r="D91" s="1499"/>
      <c r="E91" s="1500"/>
      <c r="F91" s="136">
        <f ca="1">H75</f>
        <v>4.9500000000000002E-2</v>
      </c>
      <c r="G91" s="232">
        <f ca="1">D50</f>
        <v>45.83</v>
      </c>
      <c r="H91" s="182">
        <f ca="1">F91*G91</f>
        <v>2.27</v>
      </c>
      <c r="I91" s="243"/>
      <c r="J91" s="67"/>
      <c r="K91" s="68"/>
      <c r="L91" s="1103"/>
    </row>
    <row r="92" spans="1:12" ht="17.850000000000001" customHeight="1" x14ac:dyDescent="0.45">
      <c r="A92" s="1498" t="s">
        <v>319</v>
      </c>
      <c r="B92" s="1499"/>
      <c r="C92" s="1499"/>
      <c r="D92" s="1500"/>
      <c r="E92" s="194" t="s">
        <v>318</v>
      </c>
      <c r="F92" s="136">
        <f>IF(E92=D94,F91,0)</f>
        <v>0</v>
      </c>
      <c r="G92" s="232">
        <f ca="1">D51</f>
        <v>0</v>
      </c>
      <c r="H92" s="182">
        <f ca="1">F92*G92</f>
        <v>0</v>
      </c>
      <c r="I92" s="243"/>
      <c r="J92" s="1339" t="str">
        <f>IF(ISBLANK(E92),"Kennzeichen eingeben!","")</f>
        <v/>
      </c>
      <c r="K92" s="1340"/>
      <c r="L92" s="1103"/>
    </row>
    <row r="93" spans="1:12" ht="17.850000000000001" customHeight="1" thickBot="1" x14ac:dyDescent="0.5">
      <c r="A93" s="1579" t="s">
        <v>243</v>
      </c>
      <c r="B93" s="1580"/>
      <c r="C93" s="1580"/>
      <c r="D93" s="1580"/>
      <c r="E93" s="1625"/>
      <c r="F93" s="137">
        <f ca="1">H89</f>
        <v>4.9500000000000002E-2</v>
      </c>
      <c r="G93" s="232">
        <f ca="1">D52</f>
        <v>2.67</v>
      </c>
      <c r="H93" s="183">
        <f ca="1">F93*G93</f>
        <v>0.13</v>
      </c>
      <c r="I93" s="243"/>
      <c r="J93" s="67"/>
      <c r="K93" s="68"/>
      <c r="L93" s="1103"/>
    </row>
    <row r="94" spans="1:12" ht="17.850000000000001" customHeight="1" thickBot="1" x14ac:dyDescent="0.5">
      <c r="A94" s="138"/>
      <c r="B94" s="139"/>
      <c r="C94" s="139"/>
      <c r="D94" s="338" t="s">
        <v>317</v>
      </c>
      <c r="E94" s="338" t="s">
        <v>318</v>
      </c>
      <c r="F94" s="139"/>
      <c r="G94" s="214">
        <f ca="1">SUM(G91:G93)</f>
        <v>48.5</v>
      </c>
      <c r="H94" s="515">
        <f ca="1">SUM(H91:H93)</f>
        <v>2.4</v>
      </c>
      <c r="I94" s="243"/>
      <c r="J94" s="67"/>
      <c r="K94" s="68"/>
      <c r="L94" s="1103"/>
    </row>
    <row r="95" spans="1:12" ht="17.850000000000001" customHeight="1" x14ac:dyDescent="0.45">
      <c r="A95" s="69" t="s">
        <v>338</v>
      </c>
      <c r="B95" s="70"/>
      <c r="C95" s="70"/>
      <c r="D95" s="70"/>
      <c r="E95" s="70"/>
      <c r="F95" s="70"/>
      <c r="G95" s="70"/>
      <c r="H95" s="373">
        <f ca="1">H94/G94</f>
        <v>4.9500000000000002E-2</v>
      </c>
      <c r="I95" s="243"/>
      <c r="J95" s="67"/>
      <c r="K95" s="68"/>
      <c r="L95" s="619" t="str">
        <f>IFERROR(IF(ABS(H96)/G96&gt;0.1,"Individuelle Anpassung bei A4) AKV-Entgelt auffällig hoch. ",""),"")</f>
        <v/>
      </c>
    </row>
    <row r="96" spans="1:12" ht="17.850000000000001" customHeight="1" thickBot="1" x14ac:dyDescent="0.5">
      <c r="A96" s="1491" t="s">
        <v>229</v>
      </c>
      <c r="B96" s="1492"/>
      <c r="C96" s="1492"/>
      <c r="D96" s="1492"/>
      <c r="E96" s="1492"/>
      <c r="F96" s="1492"/>
      <c r="G96" s="1492"/>
      <c r="H96" s="705"/>
      <c r="I96" s="884" t="str">
        <f>IF(H96&lt;&gt;0,"X","")</f>
        <v/>
      </c>
      <c r="J96" s="67"/>
      <c r="K96" s="68"/>
      <c r="L96" s="619" t="str">
        <f ca="1">IFERROR(IF(ABS(H96)/H95&gt;0.1,"Individuelle Anpassung bei B3) auffällig hoch. ",""),"")</f>
        <v/>
      </c>
    </row>
    <row r="97" spans="1:15" ht="17.850000000000001" customHeight="1" x14ac:dyDescent="0.45">
      <c r="A97" s="1074" t="str">
        <f ca="1">"K3 Zeile 7: Aufzahlung für Erschwernisse ("&amp;TEXT(' K3 PP'!O25,"0,00")&amp;" €) auf KV-Entgelt inkl. unprod. Zeiten"</f>
        <v>K3 Zeile 7: Aufzahlung für Erschwernisse (0,63 €) auf KV-Entgelt inkl. unprod. Zeiten</v>
      </c>
      <c r="B97" s="140"/>
      <c r="C97" s="140"/>
      <c r="D97" s="140"/>
      <c r="E97" s="140"/>
      <c r="F97" s="140"/>
      <c r="G97" s="140"/>
      <c r="H97" s="184">
        <f ca="1">H95+H96</f>
        <v>4.9500000000000002E-2</v>
      </c>
      <c r="I97" s="243"/>
      <c r="J97" s="67"/>
      <c r="K97" s="68"/>
      <c r="L97" s="619" t="str">
        <f ca="1">IFERROR(IF(H97=0,"Keine Erschwerniszuschläge / Zulagen (B) kalkuliert. Bitte prüfen ob korrekt. ",""),"")</f>
        <v/>
      </c>
    </row>
    <row r="98" spans="1:15" s="68" customFormat="1" ht="17.850000000000001" customHeight="1" x14ac:dyDescent="0.45">
      <c r="A98" s="352" t="s">
        <v>332</v>
      </c>
      <c r="B98" s="353">
        <f ca="1">' K3 PP'!$O$23</f>
        <v>12.76</v>
      </c>
      <c r="C98" s="352" t="s">
        <v>333</v>
      </c>
      <c r="D98" s="353">
        <f ca="1">' K3 PP'!$O$33</f>
        <v>32.33</v>
      </c>
      <c r="E98" s="354" t="s">
        <v>334</v>
      </c>
      <c r="F98" s="353">
        <f ca="1">' K3 PP'!$O$44</f>
        <v>45</v>
      </c>
      <c r="G98" s="352" t="s">
        <v>335</v>
      </c>
      <c r="H98" s="355">
        <f ca="1">' K3 PP'!$Q$45</f>
        <v>45</v>
      </c>
      <c r="I98" s="243"/>
      <c r="J98" s="67"/>
      <c r="L98" s="1103"/>
      <c r="M98" s="1104"/>
      <c r="N98" s="1104"/>
      <c r="O98" s="1105"/>
    </row>
    <row r="99" spans="1:15" s="90" customFormat="1" ht="17.850000000000001" customHeight="1" x14ac:dyDescent="0.45">
      <c r="A99" s="1619"/>
      <c r="B99" s="1620"/>
      <c r="C99" s="1620"/>
      <c r="D99" s="1620"/>
      <c r="E99" s="1620"/>
      <c r="F99" s="1620"/>
      <c r="G99" s="1620"/>
      <c r="H99" s="1620"/>
      <c r="I99" s="243"/>
      <c r="J99" s="222"/>
      <c r="K99" s="105"/>
      <c r="L99" s="1106"/>
      <c r="M99" s="1107"/>
      <c r="N99" s="1107"/>
      <c r="O99" s="1108"/>
    </row>
    <row r="100" spans="1:15" s="90" customFormat="1" ht="17.850000000000001" customHeight="1" thickBot="1" x14ac:dyDescent="0.5">
      <c r="A100" s="1487" t="s">
        <v>331</v>
      </c>
      <c r="B100" s="1488"/>
      <c r="C100" s="1488"/>
      <c r="D100" s="1488"/>
      <c r="E100" s="1488"/>
      <c r="F100" s="1488"/>
      <c r="G100" s="1488"/>
      <c r="H100" s="1488"/>
      <c r="I100" s="243"/>
      <c r="J100" s="222"/>
      <c r="K100" s="105"/>
      <c r="L100" s="1106"/>
      <c r="M100" s="1107"/>
      <c r="N100" s="1107"/>
      <c r="O100" s="1108"/>
    </row>
    <row r="101" spans="1:15" s="105" customFormat="1" ht="17.850000000000001" hidden="1" customHeight="1" x14ac:dyDescent="0.45">
      <c r="A101" s="1531" t="s">
        <v>534</v>
      </c>
      <c r="B101" s="1531"/>
      <c r="C101" s="1531"/>
      <c r="D101" s="1493" t="s">
        <v>201</v>
      </c>
      <c r="E101" s="1493" t="s">
        <v>182</v>
      </c>
      <c r="F101" s="1493" t="s">
        <v>183</v>
      </c>
      <c r="G101" s="1527" t="s">
        <v>29</v>
      </c>
      <c r="H101" s="1528"/>
      <c r="I101" s="243"/>
      <c r="J101" s="222"/>
      <c r="L101" s="1106"/>
      <c r="M101" s="1109"/>
      <c r="N101" s="1109"/>
      <c r="O101" s="1110"/>
    </row>
    <row r="102" spans="1:15" s="105" customFormat="1" ht="17.850000000000001" hidden="1" customHeight="1" x14ac:dyDescent="0.45">
      <c r="A102" s="1531"/>
      <c r="B102" s="1531"/>
      <c r="C102" s="1531"/>
      <c r="D102" s="1493"/>
      <c r="E102" s="1493"/>
      <c r="F102" s="1493"/>
      <c r="G102" s="1493" t="s">
        <v>133</v>
      </c>
      <c r="H102" s="1529" t="s">
        <v>134</v>
      </c>
      <c r="I102" s="243"/>
      <c r="J102" s="222"/>
      <c r="L102" s="1106"/>
      <c r="M102" s="1109"/>
      <c r="N102" s="1109"/>
      <c r="O102" s="1110"/>
    </row>
    <row r="103" spans="1:15" s="105" customFormat="1" ht="17.850000000000001" hidden="1" customHeight="1" thickBot="1" x14ac:dyDescent="0.5">
      <c r="A103" s="1532"/>
      <c r="B103" s="1532"/>
      <c r="C103" s="1532"/>
      <c r="D103" s="1494"/>
      <c r="E103" s="1494"/>
      <c r="F103" s="1494"/>
      <c r="G103" s="1494" t="s">
        <v>21</v>
      </c>
      <c r="H103" s="1530"/>
      <c r="I103" s="243"/>
      <c r="J103" s="222"/>
      <c r="L103" s="1106"/>
      <c r="M103" s="1109"/>
      <c r="N103" s="1109"/>
      <c r="O103" s="1110"/>
    </row>
    <row r="104" spans="1:15" s="105" customFormat="1" ht="17.850000000000001" hidden="1" customHeight="1" x14ac:dyDescent="0.45">
      <c r="A104" s="1524"/>
      <c r="B104" s="1525"/>
      <c r="C104" s="1526"/>
      <c r="D104" s="299"/>
      <c r="E104" s="304">
        <f ca="1">IFERROR(VLOOKUP(A104,Stammdaten!A$114:D$116,4,FALSE),"")</f>
        <v>0</v>
      </c>
      <c r="F104" s="305" t="str">
        <f>IF(D104&gt;0,C$159,"")</f>
        <v/>
      </c>
      <c r="G104" s="306" t="str">
        <f ca="1">IFERROR(VLOOKUP(A104,Stammdaten!A$114:D$116,2,FALSE)*D104*F104,"")</f>
        <v/>
      </c>
      <c r="H104" s="376" t="str">
        <f ca="1">IFERROR(VLOOKUP(A104,Stammdaten!A$114:D$116,3,FALSE)*D104*F104,"")</f>
        <v/>
      </c>
      <c r="I104" s="243"/>
      <c r="J104" s="1339" t="str">
        <f>IF(AND(ISBLANK(A104),D104&gt;0),"Entschädigung wählen!","")</f>
        <v/>
      </c>
      <c r="K104" s="1340"/>
      <c r="L104" s="1106"/>
      <c r="M104" s="1109"/>
      <c r="N104" s="1109"/>
      <c r="O104" s="1110"/>
    </row>
    <row r="105" spans="1:15" s="105" customFormat="1" ht="17.850000000000001" hidden="1" customHeight="1" x14ac:dyDescent="0.45">
      <c r="A105" s="1555"/>
      <c r="B105" s="1556"/>
      <c r="C105" s="1557"/>
      <c r="D105" s="300"/>
      <c r="E105" s="304">
        <f ca="1">IFERROR(VLOOKUP(A105,Stammdaten!A$114:D$116,4,FALSE),"")</f>
        <v>0</v>
      </c>
      <c r="F105" s="155" t="str">
        <f>IF(D105&gt;0,C$159,"")</f>
        <v/>
      </c>
      <c r="G105" s="210" t="str">
        <f ca="1">IFERROR(VLOOKUP(A105,Stammdaten!A$114:D$116,2,FALSE)*D105*F105,"")</f>
        <v/>
      </c>
      <c r="H105" s="377" t="str">
        <f ca="1">IFERROR(VLOOKUP(A105,Stammdaten!A$114:D$116,3,FALSE)*D105*F105,"")</f>
        <v/>
      </c>
      <c r="I105" s="243"/>
      <c r="J105" s="1339" t="str">
        <f t="shared" ref="J105:J106" si="10">IF(AND(ISBLANK(A105),D105&gt;0),"Entschädigung wählen!","")</f>
        <v/>
      </c>
      <c r="K105" s="1340"/>
      <c r="L105" s="1106"/>
      <c r="M105" s="1109"/>
      <c r="N105" s="1109"/>
      <c r="O105" s="1110"/>
    </row>
    <row r="106" spans="1:15" s="105" customFormat="1" ht="17.850000000000001" hidden="1" customHeight="1" thickBot="1" x14ac:dyDescent="0.5">
      <c r="A106" s="1567"/>
      <c r="B106" s="1568"/>
      <c r="C106" s="1569"/>
      <c r="D106" s="302"/>
      <c r="E106" s="452">
        <f ca="1">IFERROR(VLOOKUP(A106,Stammdaten!A$114:D$116,4,FALSE),"")</f>
        <v>0</v>
      </c>
      <c r="F106" s="156" t="str">
        <f>IF(D106&gt;0,C$159,"")</f>
        <v/>
      </c>
      <c r="G106" s="211" t="str">
        <f ca="1">IFERROR(VLOOKUP(A106,Stammdaten!A$114:D$116,2,FALSE)*D106*F106,"")</f>
        <v/>
      </c>
      <c r="H106" s="516" t="str">
        <f ca="1">IFERROR(VLOOKUP(A106,Stammdaten!A$114:D$116,3,FALSE)*D106*F106,"")</f>
        <v/>
      </c>
      <c r="I106" s="243"/>
      <c r="J106" s="1339" t="str">
        <f t="shared" si="10"/>
        <v/>
      </c>
      <c r="K106" s="1340"/>
      <c r="L106" s="1106"/>
      <c r="M106" s="1109"/>
      <c r="N106" s="1109"/>
      <c r="O106" s="1110"/>
    </row>
    <row r="107" spans="1:15" s="105" customFormat="1" ht="17.850000000000001" hidden="1" customHeight="1" thickBot="1" x14ac:dyDescent="0.5">
      <c r="A107" s="1521" t="s">
        <v>213</v>
      </c>
      <c r="B107" s="1522"/>
      <c r="C107" s="1522"/>
      <c r="D107" s="1522"/>
      <c r="E107" s="1522"/>
      <c r="F107" s="1523"/>
      <c r="G107" s="212">
        <f ca="1">SUM(G101:G106)</f>
        <v>0</v>
      </c>
      <c r="H107" s="378">
        <f ca="1">SUM(H101:H106)</f>
        <v>0</v>
      </c>
      <c r="I107" s="243"/>
      <c r="J107" s="222"/>
      <c r="L107" s="1106"/>
      <c r="M107" s="1109"/>
      <c r="N107" s="1109"/>
      <c r="O107" s="1110"/>
    </row>
    <row r="108" spans="1:15" ht="17.850000000000001" customHeight="1" x14ac:dyDescent="0.45">
      <c r="A108" s="1512" t="s">
        <v>710</v>
      </c>
      <c r="B108" s="1513"/>
      <c r="C108" s="1514"/>
      <c r="D108" s="1495" t="s">
        <v>505</v>
      </c>
      <c r="E108" s="1495" t="s">
        <v>99</v>
      </c>
      <c r="F108" s="1495" t="s">
        <v>506</v>
      </c>
      <c r="G108" s="1808" t="s">
        <v>29</v>
      </c>
      <c r="H108" s="1809"/>
      <c r="I108" s="243"/>
      <c r="J108" s="67"/>
      <c r="K108" s="68"/>
      <c r="L108" s="1103"/>
    </row>
    <row r="109" spans="1:15" ht="17.850000000000001" customHeight="1" x14ac:dyDescent="0.45">
      <c r="A109" s="1515"/>
      <c r="B109" s="1516"/>
      <c r="C109" s="1517"/>
      <c r="D109" s="1496"/>
      <c r="E109" s="1496"/>
      <c r="F109" s="1496"/>
      <c r="G109" s="1496" t="s">
        <v>133</v>
      </c>
      <c r="H109" s="1655" t="s">
        <v>134</v>
      </c>
      <c r="I109" s="243"/>
      <c r="J109" s="67"/>
      <c r="K109" s="68"/>
      <c r="L109" s="1103"/>
    </row>
    <row r="110" spans="1:15" ht="17.850000000000001" customHeight="1" thickBot="1" x14ac:dyDescent="0.5">
      <c r="A110" s="1518"/>
      <c r="B110" s="1519"/>
      <c r="C110" s="1520"/>
      <c r="D110" s="1497"/>
      <c r="E110" s="1497"/>
      <c r="F110" s="1497"/>
      <c r="G110" s="1497" t="s">
        <v>21</v>
      </c>
      <c r="H110" s="1656"/>
      <c r="I110" s="243"/>
      <c r="J110" s="67"/>
      <c r="K110" s="68"/>
      <c r="L110" s="1103"/>
    </row>
    <row r="111" spans="1:15" ht="17.850000000000001" customHeight="1" x14ac:dyDescent="0.45">
      <c r="A111" s="1524" t="s">
        <v>720</v>
      </c>
      <c r="B111" s="1525"/>
      <c r="C111" s="1526"/>
      <c r="D111" s="299">
        <v>1</v>
      </c>
      <c r="E111" s="79">
        <f ca="1">IFERROR(VLOOKUP(A111,Stammdaten!A$100:D$111,4,FALSE),"&lt;-- prüfen!")</f>
        <v>6.3</v>
      </c>
      <c r="F111" s="644">
        <v>5</v>
      </c>
      <c r="G111" s="79">
        <f ca="1">IFERROR(VLOOKUP(A111,Stammdaten!A$100:C$111,2,FALSE)*D111*F111,"")</f>
        <v>31.5</v>
      </c>
      <c r="H111" s="178">
        <f ca="1">IFERROR(VLOOKUP(A111,Stammdaten!A$100:C$111,3,FALSE)*D111*F111,"")</f>
        <v>0</v>
      </c>
      <c r="I111" s="243"/>
      <c r="J111" s="1339" t="str">
        <f>IF(AND((D111+F111)&gt;0,(D111*F111)=0),"Eingabe unvollständig","")</f>
        <v/>
      </c>
      <c r="K111" s="1340"/>
      <c r="L111" s="1103"/>
    </row>
    <row r="112" spans="1:15" ht="17.850000000000001" customHeight="1" x14ac:dyDescent="0.45">
      <c r="A112" s="1555"/>
      <c r="B112" s="1556"/>
      <c r="C112" s="1557"/>
      <c r="D112" s="300"/>
      <c r="E112" s="79">
        <f ca="1">IFERROR(VLOOKUP(A112,Stammdaten!A$100:D$111,4,FALSE),"&lt;-- prüfen!")</f>
        <v>0</v>
      </c>
      <c r="F112" s="645"/>
      <c r="G112" s="75">
        <f ca="1">IFERROR(VLOOKUP(A112,Stammdaten!A$100:C$111,2,FALSE)*D112*F112,"")</f>
        <v>0</v>
      </c>
      <c r="H112" s="123">
        <f ca="1">IFERROR(VLOOKUP(A112,Stammdaten!A$100:C$111,3,FALSE)*D112*F112,"")</f>
        <v>0</v>
      </c>
      <c r="I112" s="243"/>
      <c r="J112" s="1339" t="str">
        <f t="shared" ref="J112:J116" si="11">IF(AND((D112+F112)&gt;0,(D112*F112)=0),"Eingabe unvollständig","")</f>
        <v/>
      </c>
      <c r="K112" s="1340"/>
      <c r="L112" s="1103"/>
    </row>
    <row r="113" spans="1:12" ht="17.850000000000001" customHeight="1" thickBot="1" x14ac:dyDescent="0.5">
      <c r="A113" s="1555"/>
      <c r="B113" s="1556"/>
      <c r="C113" s="1557"/>
      <c r="D113" s="300"/>
      <c r="E113" s="79">
        <f ca="1">IFERROR(VLOOKUP(A113,Stammdaten!A$100:D$111,4,FALSE),"&lt;-- prüfen!")</f>
        <v>0</v>
      </c>
      <c r="F113" s="645"/>
      <c r="G113" s="75">
        <f ca="1">IFERROR(VLOOKUP(A113,Stammdaten!A$100:C$111,2,FALSE)*D113*F113,"")</f>
        <v>0</v>
      </c>
      <c r="H113" s="123">
        <f ca="1">IFERROR(VLOOKUP(A113,Stammdaten!A$100:C$111,3,FALSE)*D113*F113,"")</f>
        <v>0</v>
      </c>
      <c r="I113" s="243"/>
      <c r="J113" s="1339" t="str">
        <f t="shared" si="11"/>
        <v/>
      </c>
      <c r="K113" s="1340"/>
      <c r="L113" s="1103"/>
    </row>
    <row r="114" spans="1:12" ht="17.850000000000001" hidden="1" customHeight="1" x14ac:dyDescent="0.45">
      <c r="A114" s="1555"/>
      <c r="B114" s="1556"/>
      <c r="C114" s="1557"/>
      <c r="D114" s="300"/>
      <c r="E114" s="79">
        <f ca="1">IFERROR(VLOOKUP(A114,Stammdaten!A$100:D$111,4,FALSE),"&lt;-- prüfen!")</f>
        <v>0</v>
      </c>
      <c r="F114" s="645"/>
      <c r="G114" s="75">
        <f ca="1">IFERROR(VLOOKUP(A114,Stammdaten!A$100:C$111,2,FALSE)*D114*F114,"")</f>
        <v>0</v>
      </c>
      <c r="H114" s="123">
        <f ca="1">IFERROR(VLOOKUP(A114,Stammdaten!A$100:C$111,3,FALSE)*D114*F114,"")</f>
        <v>0</v>
      </c>
      <c r="I114" s="243"/>
      <c r="J114" s="1339" t="str">
        <f t="shared" si="11"/>
        <v/>
      </c>
      <c r="K114" s="1340"/>
      <c r="L114" s="1103"/>
    </row>
    <row r="115" spans="1:12" ht="17.850000000000001" hidden="1" customHeight="1" x14ac:dyDescent="0.45">
      <c r="A115" s="1555"/>
      <c r="B115" s="1556"/>
      <c r="C115" s="1557"/>
      <c r="D115" s="300"/>
      <c r="E115" s="79">
        <f ca="1">IFERROR(VLOOKUP(A115,Stammdaten!A$100:D$111,4,FALSE),"&lt;-- prüfen!")</f>
        <v>0</v>
      </c>
      <c r="F115" s="645"/>
      <c r="G115" s="75">
        <f ca="1">IFERROR(VLOOKUP(A115,Stammdaten!A$100:C$111,2,FALSE)*D115*F115,"")</f>
        <v>0</v>
      </c>
      <c r="H115" s="123">
        <f ca="1">IFERROR(VLOOKUP(A115,Stammdaten!A$100:C$111,3,FALSE)*D115*F115,"")</f>
        <v>0</v>
      </c>
      <c r="I115" s="243"/>
      <c r="J115" s="1339" t="str">
        <f t="shared" si="11"/>
        <v/>
      </c>
      <c r="K115" s="1340"/>
      <c r="L115" s="1103"/>
    </row>
    <row r="116" spans="1:12" ht="17.850000000000001" hidden="1" customHeight="1" thickBot="1" x14ac:dyDescent="0.5">
      <c r="A116" s="1567"/>
      <c r="B116" s="1568"/>
      <c r="C116" s="1569"/>
      <c r="D116" s="302"/>
      <c r="E116" s="93">
        <f ca="1">IFERROR(VLOOKUP(A116,Stammdaten!A$100:D$111,4,FALSE),"&lt;-- prüfen!")</f>
        <v>0</v>
      </c>
      <c r="F116" s="646"/>
      <c r="G116" s="93">
        <f ca="1">IFERROR(VLOOKUP(A116,Stammdaten!A$100:C$111,2,FALSE)*D116*F116,"")</f>
        <v>0</v>
      </c>
      <c r="H116" s="93">
        <f ca="1">IFERROR(VLOOKUP(A116,Stammdaten!A$100:C$111,3,FALSE)*D116*F116,"")</f>
        <v>0</v>
      </c>
      <c r="I116" s="243"/>
      <c r="J116" s="1339" t="str">
        <f t="shared" si="11"/>
        <v/>
      </c>
      <c r="K116" s="1340"/>
      <c r="L116" s="1103"/>
    </row>
    <row r="117" spans="1:12" ht="17.850000000000001" customHeight="1" thickBot="1" x14ac:dyDescent="0.5">
      <c r="A117" s="1484" t="s">
        <v>214</v>
      </c>
      <c r="B117" s="1485"/>
      <c r="C117" s="1485"/>
      <c r="D117" s="1485"/>
      <c r="E117" s="1485"/>
      <c r="F117" s="1486"/>
      <c r="G117" s="307">
        <f ca="1">SUM(G111:G116)</f>
        <v>31.5</v>
      </c>
      <c r="H117" s="658">
        <f ca="1">SUM(H111:H116)</f>
        <v>0</v>
      </c>
      <c r="I117" s="243"/>
      <c r="J117" s="67"/>
      <c r="K117" s="68"/>
      <c r="L117" s="1103"/>
    </row>
    <row r="118" spans="1:12" ht="17.850000000000001" hidden="1" customHeight="1" x14ac:dyDescent="0.45">
      <c r="A118" s="1515" t="s">
        <v>535</v>
      </c>
      <c r="B118" s="1516"/>
      <c r="C118" s="1517"/>
      <c r="D118" s="1511" t="s">
        <v>595</v>
      </c>
      <c r="E118" s="1511" t="s">
        <v>100</v>
      </c>
      <c r="F118" s="1661"/>
      <c r="G118" s="1657" t="s">
        <v>29</v>
      </c>
      <c r="H118" s="1658"/>
      <c r="I118" s="243"/>
      <c r="J118" s="67"/>
      <c r="K118" s="68"/>
      <c r="L118" s="1103"/>
    </row>
    <row r="119" spans="1:12" ht="17.850000000000001" hidden="1" customHeight="1" x14ac:dyDescent="0.45">
      <c r="A119" s="1515"/>
      <c r="B119" s="1516"/>
      <c r="C119" s="1517"/>
      <c r="D119" s="1496"/>
      <c r="E119" s="1496"/>
      <c r="F119" s="1661"/>
      <c r="G119" s="1496" t="s">
        <v>133</v>
      </c>
      <c r="H119" s="1655" t="s">
        <v>134</v>
      </c>
      <c r="I119" s="243"/>
      <c r="J119" s="67"/>
      <c r="K119" s="68"/>
      <c r="L119" s="1103"/>
    </row>
    <row r="120" spans="1:12" ht="17.850000000000001" hidden="1" customHeight="1" thickBot="1" x14ac:dyDescent="0.5">
      <c r="A120" s="1518"/>
      <c r="B120" s="1519"/>
      <c r="C120" s="1520"/>
      <c r="D120" s="1497"/>
      <c r="E120" s="1497"/>
      <c r="F120" s="1662"/>
      <c r="G120" s="1497" t="s">
        <v>21</v>
      </c>
      <c r="H120" s="1656"/>
      <c r="I120" s="243"/>
      <c r="J120" s="67"/>
      <c r="K120" s="68"/>
      <c r="L120" s="1103"/>
    </row>
    <row r="121" spans="1:12" ht="17.850000000000001" hidden="1" customHeight="1" x14ac:dyDescent="0.45">
      <c r="A121" s="1659"/>
      <c r="B121" s="1659"/>
      <c r="C121" s="1659"/>
      <c r="D121" s="299"/>
      <c r="E121" s="79">
        <f ca="1">IFERROR(VLOOKUP(A121,Stammdaten!A$119:D$124,4,FALSE),"")</f>
        <v>0</v>
      </c>
      <c r="F121" s="308"/>
      <c r="G121" s="79">
        <f ca="1">IFERROR(VLOOKUP(A121,Stammdaten!A$119:C$124,2,FALSE)*D121,"")</f>
        <v>0</v>
      </c>
      <c r="H121" s="178">
        <f ca="1">IFERROR(VLOOKUP(A121,Stammdaten!A$119:C$124,3,FALSE)*D121,"")</f>
        <v>0</v>
      </c>
      <c r="I121" s="243"/>
      <c r="J121" s="1339"/>
      <c r="K121" s="1340"/>
      <c r="L121" s="1103"/>
    </row>
    <row r="122" spans="1:12" ht="17.850000000000001" hidden="1" customHeight="1" x14ac:dyDescent="0.45">
      <c r="A122" s="1559"/>
      <c r="B122" s="1559"/>
      <c r="C122" s="1559"/>
      <c r="D122" s="300"/>
      <c r="E122" s="79">
        <f ca="1">IFERROR(VLOOKUP(A122,Stammdaten!A$119:D$124,4,FALSE),"")</f>
        <v>0</v>
      </c>
      <c r="F122" s="94"/>
      <c r="G122" s="75">
        <f ca="1">IFERROR(VLOOKUP(A122,Stammdaten!A$119:C$124,2,FALSE)*D122,"")</f>
        <v>0</v>
      </c>
      <c r="H122" s="123">
        <f ca="1">IFERROR(VLOOKUP(A122,Stammdaten!A$119:C$124,3,FALSE)*D122,"")</f>
        <v>0</v>
      </c>
      <c r="I122" s="243"/>
      <c r="J122" s="1339"/>
      <c r="K122" s="1340"/>
      <c r="L122" s="1103"/>
    </row>
    <row r="123" spans="1:12" ht="17.850000000000001" hidden="1" customHeight="1" x14ac:dyDescent="0.45">
      <c r="A123" s="1559"/>
      <c r="B123" s="1559"/>
      <c r="C123" s="1559"/>
      <c r="D123" s="300"/>
      <c r="E123" s="79">
        <f ca="1">IFERROR(VLOOKUP(A123,Stammdaten!A$119:D$124,4,FALSE),"")</f>
        <v>0</v>
      </c>
      <c r="F123" s="94"/>
      <c r="G123" s="75">
        <f ca="1">IFERROR(VLOOKUP(A123,Stammdaten!A$119:C$124,2,FALSE)*D123,"")</f>
        <v>0</v>
      </c>
      <c r="H123" s="123">
        <f ca="1">IFERROR(VLOOKUP(A123,Stammdaten!A$119:C$124,3,FALSE)*D123,"")</f>
        <v>0</v>
      </c>
      <c r="I123" s="243"/>
      <c r="J123" s="1339"/>
      <c r="K123" s="1340"/>
      <c r="L123" s="1103"/>
    </row>
    <row r="124" spans="1:12" ht="17.850000000000001" hidden="1" customHeight="1" x14ac:dyDescent="0.45">
      <c r="A124" s="1559"/>
      <c r="B124" s="1559"/>
      <c r="C124" s="1559"/>
      <c r="D124" s="300"/>
      <c r="E124" s="79">
        <f ca="1">IFERROR(VLOOKUP(A124,Stammdaten!A$119:D$124,4,FALSE),"")</f>
        <v>0</v>
      </c>
      <c r="F124" s="94"/>
      <c r="G124" s="75">
        <f ca="1">IFERROR(VLOOKUP(A124,Stammdaten!A$119:C$124,2,FALSE)*D124,"")</f>
        <v>0</v>
      </c>
      <c r="H124" s="123">
        <f ca="1">IFERROR(VLOOKUP(A124,Stammdaten!A$119:C$124,3,FALSE)*D124,"")</f>
        <v>0</v>
      </c>
      <c r="I124" s="243"/>
      <c r="J124" s="1339"/>
      <c r="K124" s="1340"/>
      <c r="L124" s="1103"/>
    </row>
    <row r="125" spans="1:12" ht="17.850000000000001" hidden="1" customHeight="1" thickBot="1" x14ac:dyDescent="0.5">
      <c r="A125" s="1660"/>
      <c r="B125" s="1660"/>
      <c r="C125" s="1660"/>
      <c r="D125" s="302"/>
      <c r="E125" s="93">
        <f ca="1">IFERROR(VLOOKUP(A125,Stammdaten!A$119:D$124,4,FALSE),"")</f>
        <v>0</v>
      </c>
      <c r="F125" s="92"/>
      <c r="G125" s="93">
        <f ca="1">IFERROR(VLOOKUP(A125,Stammdaten!A$119:C$124,2,FALSE)*D125,"")</f>
        <v>0</v>
      </c>
      <c r="H125" s="93">
        <f ca="1">IFERROR(VLOOKUP(A125,Stammdaten!A$119:C$124,3,FALSE)*D125,"")</f>
        <v>0</v>
      </c>
      <c r="I125" s="243"/>
      <c r="J125" s="1339"/>
      <c r="K125" s="1340"/>
      <c r="L125" s="1103"/>
    </row>
    <row r="126" spans="1:12" ht="17.850000000000001" hidden="1" customHeight="1" x14ac:dyDescent="0.45">
      <c r="A126" s="1560" t="s">
        <v>215</v>
      </c>
      <c r="B126" s="1561"/>
      <c r="C126" s="1561"/>
      <c r="D126" s="1561"/>
      <c r="E126" s="1561"/>
      <c r="F126" s="1562"/>
      <c r="G126" s="946">
        <f ca="1">SUM(G120:G125)</f>
        <v>0</v>
      </c>
      <c r="H126" s="947">
        <f ca="1">SUM(H120:H125)</f>
        <v>0</v>
      </c>
      <c r="I126" s="243"/>
      <c r="J126" s="67"/>
      <c r="K126" s="68"/>
      <c r="L126" s="1103"/>
    </row>
    <row r="127" spans="1:12" ht="17.850000000000001" customHeight="1" x14ac:dyDescent="0.45">
      <c r="A127" s="1581" t="s">
        <v>609</v>
      </c>
      <c r="B127" s="1582"/>
      <c r="C127" s="1630" t="s">
        <v>593</v>
      </c>
      <c r="D127" s="1630" t="s">
        <v>537</v>
      </c>
      <c r="E127" s="1804" t="s">
        <v>536</v>
      </c>
      <c r="F127" s="1805"/>
      <c r="G127" s="948"/>
      <c r="H127" s="1811" t="s">
        <v>84</v>
      </c>
      <c r="I127" s="243"/>
      <c r="J127" s="67"/>
      <c r="K127" s="68"/>
      <c r="L127" s="1103"/>
    </row>
    <row r="128" spans="1:12" ht="17.850000000000001" customHeight="1" x14ac:dyDescent="0.45">
      <c r="A128" s="1515"/>
      <c r="B128" s="1517"/>
      <c r="C128" s="1510"/>
      <c r="D128" s="1510"/>
      <c r="E128" s="1664"/>
      <c r="F128" s="1806"/>
      <c r="G128" s="110"/>
      <c r="H128" s="1803"/>
      <c r="I128" s="243"/>
      <c r="J128" s="67"/>
      <c r="K128" s="68"/>
      <c r="L128" s="1103"/>
    </row>
    <row r="129" spans="1:15" ht="17.850000000000001" customHeight="1" x14ac:dyDescent="0.45">
      <c r="A129" s="1482" t="s">
        <v>610</v>
      </c>
      <c r="B129" s="1483"/>
      <c r="C129" s="1803"/>
      <c r="D129" s="1510"/>
      <c r="E129" s="1665"/>
      <c r="F129" s="1807"/>
      <c r="G129" s="110"/>
      <c r="H129" s="1803"/>
      <c r="I129" s="243"/>
      <c r="J129" s="67"/>
      <c r="K129" s="68"/>
      <c r="L129" s="1103"/>
    </row>
    <row r="130" spans="1:15" ht="17.850000000000001" customHeight="1" x14ac:dyDescent="0.45">
      <c r="A130" s="1665" t="s">
        <v>592</v>
      </c>
      <c r="B130" s="1739"/>
      <c r="C130" s="1739"/>
      <c r="D130" s="1511"/>
      <c r="E130" s="854" t="s">
        <v>320</v>
      </c>
      <c r="F130" s="857" t="s">
        <v>538</v>
      </c>
      <c r="G130" s="110"/>
      <c r="H130" s="859"/>
      <c r="I130" s="243"/>
      <c r="J130" s="67"/>
      <c r="K130" s="68"/>
      <c r="L130" s="1103"/>
    </row>
    <row r="131" spans="1:15" ht="17.850000000000001" customHeight="1" x14ac:dyDescent="0.45">
      <c r="A131" s="1749">
        <v>0.5</v>
      </c>
      <c r="B131" s="1750"/>
      <c r="C131" s="644">
        <v>5</v>
      </c>
      <c r="D131" s="949">
        <v>1</v>
      </c>
      <c r="E131" s="950">
        <v>2</v>
      </c>
      <c r="F131" s="951">
        <f ca="1">IF(E131=1,G$32,IF(E131=2,(G$32+H$32),0))</f>
        <v>13.27</v>
      </c>
      <c r="G131" s="308"/>
      <c r="H131" s="75">
        <f ca="1">IFERROR(A131*C131*D131*F131,"")</f>
        <v>33.18</v>
      </c>
      <c r="I131" s="243"/>
      <c r="J131" s="67"/>
      <c r="K131" s="68"/>
      <c r="L131" s="1103"/>
    </row>
    <row r="132" spans="1:15" ht="17.850000000000001" customHeight="1" thickBot="1" x14ac:dyDescent="0.5">
      <c r="A132" s="1751" t="s">
        <v>611</v>
      </c>
      <c r="B132" s="1752"/>
      <c r="C132" s="762" t="s">
        <v>594</v>
      </c>
      <c r="D132" s="762"/>
      <c r="E132" s="762"/>
      <c r="F132" s="764"/>
      <c r="G132" s="763"/>
      <c r="H132" s="212">
        <f>F132</f>
        <v>0</v>
      </c>
      <c r="I132" s="884" t="str">
        <f>IF(OR(F132&lt;&gt;0),"X","")</f>
        <v/>
      </c>
      <c r="J132" s="67"/>
      <c r="K132" s="68"/>
      <c r="L132" s="1103"/>
    </row>
    <row r="133" spans="1:15" ht="17.850000000000001" customHeight="1" thickBot="1" x14ac:dyDescent="0.5">
      <c r="A133" s="1484" t="s">
        <v>216</v>
      </c>
      <c r="B133" s="1485"/>
      <c r="C133" s="1485"/>
      <c r="D133" s="1485"/>
      <c r="E133" s="1485"/>
      <c r="F133" s="1485"/>
      <c r="G133" s="229"/>
      <c r="H133" s="658">
        <f ca="1">SUM(H131:H132)</f>
        <v>33.18</v>
      </c>
      <c r="I133" s="243"/>
      <c r="J133" s="67"/>
      <c r="K133" s="68"/>
      <c r="L133" s="1103"/>
    </row>
    <row r="134" spans="1:15" ht="17.850000000000001" customHeight="1" thickBot="1" x14ac:dyDescent="0.5">
      <c r="A134" s="1563" t="s">
        <v>244</v>
      </c>
      <c r="B134" s="1564"/>
      <c r="C134" s="1740" t="s">
        <v>251</v>
      </c>
      <c r="D134" s="1740"/>
      <c r="E134" s="1740"/>
      <c r="F134" s="1741"/>
      <c r="G134" s="86">
        <f ca="1">SUM(G107,G117,G126)</f>
        <v>31.5</v>
      </c>
      <c r="H134" s="178">
        <f ca="1">SUM(H107,H117,H126,H133)</f>
        <v>33.18</v>
      </c>
      <c r="I134" s="243"/>
      <c r="J134" s="67"/>
      <c r="K134" s="68"/>
      <c r="L134" s="1103"/>
    </row>
    <row r="135" spans="1:15" ht="17.850000000000001" customHeight="1" x14ac:dyDescent="0.45">
      <c r="A135" s="1565" t="s">
        <v>238</v>
      </c>
      <c r="B135" s="1566"/>
      <c r="C135" s="1566"/>
      <c r="D135" s="1566"/>
      <c r="E135" s="765" t="s">
        <v>596</v>
      </c>
      <c r="F135" s="207" t="s">
        <v>168</v>
      </c>
      <c r="G135" s="124"/>
      <c r="H135" s="123"/>
      <c r="I135" s="243"/>
      <c r="J135" s="67"/>
      <c r="K135" s="68"/>
      <c r="L135" s="1103"/>
    </row>
    <row r="136" spans="1:15" ht="17.850000000000001" customHeight="1" thickBot="1" x14ac:dyDescent="0.5">
      <c r="A136" s="1627" t="s">
        <v>612</v>
      </c>
      <c r="B136" s="1628"/>
      <c r="C136" s="1628"/>
      <c r="D136" s="208">
        <f>H46/F46</f>
        <v>5.2600000000000001E-2</v>
      </c>
      <c r="E136" s="303"/>
      <c r="F136" s="209">
        <f>D136+E136</f>
        <v>5.2600000000000001E-2</v>
      </c>
      <c r="G136" s="124">
        <f ca="1">F136*G134</f>
        <v>1.66</v>
      </c>
      <c r="H136" s="123">
        <f ca="1">F136*H134</f>
        <v>1.75</v>
      </c>
      <c r="I136" s="884" t="str">
        <f>IF(E136&lt;&gt;0,"X","")</f>
        <v/>
      </c>
      <c r="J136" s="67"/>
      <c r="K136" s="68"/>
      <c r="L136" s="619" t="str">
        <f ca="1">IFERROR(IF(ABS(G137)/G138&gt;0.1,"Individuelle Anpassung bei C5) 'abgabefrei' auffällig hoch. ",""),"")</f>
        <v/>
      </c>
    </row>
    <row r="137" spans="1:15" ht="17.850000000000001" customHeight="1" thickBot="1" x14ac:dyDescent="0.5">
      <c r="A137" s="1331" t="s">
        <v>539</v>
      </c>
      <c r="B137" s="1332"/>
      <c r="C137" s="1332"/>
      <c r="D137" s="1745"/>
      <c r="E137" s="585"/>
      <c r="F137" s="586"/>
      <c r="G137" s="93">
        <f>E137</f>
        <v>0</v>
      </c>
      <c r="H137" s="93">
        <f>F137</f>
        <v>0</v>
      </c>
      <c r="I137" s="884" t="str">
        <f>IF(OR(E137&lt;&gt;0,F137&lt;&gt;0),"X","")</f>
        <v/>
      </c>
      <c r="J137" s="67"/>
      <c r="K137" s="68"/>
      <c r="L137" s="619" t="str">
        <f ca="1">IFERROR(IF(ABS(H137)/H138&gt;0.1,"Individuelle Anpassung bei C5) 'abgabepflichtig' auffällig hoch. ",""),"")</f>
        <v/>
      </c>
    </row>
    <row r="138" spans="1:15" ht="17.850000000000001" customHeight="1" thickBot="1" x14ac:dyDescent="0.5">
      <c r="A138" s="1746" t="s">
        <v>222</v>
      </c>
      <c r="B138" s="1747"/>
      <c r="C138" s="1747"/>
      <c r="D138" s="1747"/>
      <c r="E138" s="1747"/>
      <c r="F138" s="1748"/>
      <c r="G138" s="213">
        <f ca="1">SUM(G134:G137)</f>
        <v>33.159999999999997</v>
      </c>
      <c r="H138" s="183">
        <f ca="1">SUM(H134:H137)</f>
        <v>34.93</v>
      </c>
      <c r="I138" s="243"/>
      <c r="J138" s="67"/>
      <c r="K138" s="68"/>
      <c r="L138" s="619" t="str">
        <f ca="1">IFERROR(IF(Projekt!G138&gt;Stammdaten!B97*4.5,"Nicht abgabepflichtige Personalkosten (C5) erscheinen hoch; bitte die Beitragsfreiheit pro Tag beachten. ",""),"")</f>
        <v/>
      </c>
    </row>
    <row r="139" spans="1:15" ht="17.850000000000001" customHeight="1" x14ac:dyDescent="0.45">
      <c r="A139" s="95" t="s">
        <v>106</v>
      </c>
      <c r="B139" s="96"/>
      <c r="C139" s="96">
        <f ca="1">C159</f>
        <v>40</v>
      </c>
      <c r="D139" s="1737" t="s">
        <v>540</v>
      </c>
      <c r="E139" s="1737"/>
      <c r="F139" s="1738"/>
      <c r="G139" s="97">
        <f ca="1">G138/C139</f>
        <v>0.83</v>
      </c>
      <c r="H139" s="379">
        <f ca="1">H138/C139</f>
        <v>0.87</v>
      </c>
      <c r="I139" s="243"/>
      <c r="J139" s="67"/>
      <c r="K139" s="68"/>
      <c r="L139" s="1103"/>
    </row>
    <row r="140" spans="1:15" ht="17.850000000000001" customHeight="1" x14ac:dyDescent="0.45">
      <c r="A140" s="91"/>
      <c r="B140" s="98"/>
      <c r="C140" s="98"/>
      <c r="D140" s="99"/>
      <c r="E140" s="99"/>
      <c r="F140" s="100"/>
      <c r="G140" s="1098" t="s">
        <v>298</v>
      </c>
      <c r="H140" s="141" t="s">
        <v>297</v>
      </c>
      <c r="I140" s="243"/>
      <c r="J140" s="67"/>
      <c r="K140" s="68"/>
      <c r="L140" s="1103"/>
    </row>
    <row r="141" spans="1:15" ht="17.850000000000001" customHeight="1" x14ac:dyDescent="0.45">
      <c r="A141" s="352" t="s">
        <v>332</v>
      </c>
      <c r="B141" s="353">
        <f ca="1">' K3 PP'!$O$23</f>
        <v>12.76</v>
      </c>
      <c r="C141" s="352" t="s">
        <v>333</v>
      </c>
      <c r="D141" s="353">
        <f ca="1">' K3 PP'!$O$33</f>
        <v>32.33</v>
      </c>
      <c r="E141" s="354" t="s">
        <v>334</v>
      </c>
      <c r="F141" s="353">
        <f ca="1">' K3 PP'!$O$44</f>
        <v>45</v>
      </c>
      <c r="G141" s="352" t="s">
        <v>335</v>
      </c>
      <c r="H141" s="355">
        <f ca="1">' K3 PP'!$Q$45</f>
        <v>45</v>
      </c>
      <c r="I141" s="243"/>
      <c r="J141" s="67"/>
      <c r="K141" s="68"/>
      <c r="L141" s="1103"/>
    </row>
    <row r="142" spans="1:15" s="90" customFormat="1" ht="17.850000000000001" customHeight="1" x14ac:dyDescent="0.45">
      <c r="A142" s="1571"/>
      <c r="B142" s="1572"/>
      <c r="C142" s="1572"/>
      <c r="D142" s="1572"/>
      <c r="E142" s="1572"/>
      <c r="F142" s="1572"/>
      <c r="G142" s="1572"/>
      <c r="H142" s="1572"/>
      <c r="I142" s="243"/>
      <c r="J142" s="222"/>
      <c r="K142" s="105"/>
      <c r="L142" s="1106"/>
      <c r="M142" s="1107"/>
      <c r="N142" s="1107"/>
      <c r="O142" s="1108"/>
    </row>
    <row r="143" spans="1:15" s="90" customFormat="1" ht="17.850000000000001" customHeight="1" thickBot="1" x14ac:dyDescent="0.5">
      <c r="A143" s="1487" t="s">
        <v>203</v>
      </c>
      <c r="B143" s="1488"/>
      <c r="C143" s="1488"/>
      <c r="D143" s="1488"/>
      <c r="E143" s="1488"/>
      <c r="F143" s="1488"/>
      <c r="G143" s="1488"/>
      <c r="H143" s="1488"/>
      <c r="I143" s="243"/>
      <c r="J143" s="222"/>
      <c r="K143" s="105"/>
      <c r="L143" s="1106"/>
      <c r="M143" s="1107"/>
      <c r="N143" s="1107"/>
      <c r="O143" s="1108"/>
    </row>
    <row r="144" spans="1:15" s="90" customFormat="1" ht="17.850000000000001" customHeight="1" thickBot="1" x14ac:dyDescent="0.5">
      <c r="A144" s="1753" t="s">
        <v>299</v>
      </c>
      <c r="B144" s="1754"/>
      <c r="C144" s="1754"/>
      <c r="D144" s="1754"/>
      <c r="E144" s="637" t="s">
        <v>72</v>
      </c>
      <c r="F144" s="638" t="s">
        <v>143</v>
      </c>
      <c r="G144" s="639" t="s">
        <v>224</v>
      </c>
      <c r="H144" s="706" t="s">
        <v>225</v>
      </c>
      <c r="I144" s="880"/>
      <c r="J144" s="222"/>
      <c r="K144" s="105"/>
      <c r="L144" s="1106"/>
      <c r="M144" s="1107"/>
      <c r="N144" s="1107"/>
      <c r="O144" s="1108"/>
    </row>
    <row r="145" spans="1:15" s="90" customFormat="1" ht="17.850000000000001" customHeight="1" x14ac:dyDescent="0.45">
      <c r="A145" s="1755" t="s">
        <v>541</v>
      </c>
      <c r="B145" s="1756"/>
      <c r="C145" s="1756"/>
      <c r="D145" s="1756"/>
      <c r="E145" s="772">
        <f ca="1">F145</f>
        <v>12.76</v>
      </c>
      <c r="F145" s="771">
        <f ca="1">' K3 PP'!O23</f>
        <v>12.76</v>
      </c>
      <c r="G145" s="773">
        <f ca="1">E145/F145</f>
        <v>1</v>
      </c>
      <c r="H145" s="781" t="s">
        <v>131</v>
      </c>
      <c r="I145" s="880"/>
      <c r="J145" s="222"/>
      <c r="K145" s="105"/>
      <c r="L145" s="1106"/>
      <c r="M145" s="1107"/>
      <c r="N145" s="1107"/>
      <c r="O145" s="1108"/>
    </row>
    <row r="146" spans="1:15" s="90" customFormat="1" ht="17.850000000000001" customHeight="1" x14ac:dyDescent="0.45">
      <c r="A146" s="1744" t="s">
        <v>542</v>
      </c>
      <c r="B146" s="1428"/>
      <c r="C146" s="1428"/>
      <c r="D146" s="1428"/>
      <c r="E146" s="774">
        <f ca="1">' K3 PP'!O23+' K3 PP'!O24</f>
        <v>14.04</v>
      </c>
      <c r="F146" s="771">
        <f ca="1">F145</f>
        <v>12.76</v>
      </c>
      <c r="G146" s="775">
        <f ca="1">E146/F146</f>
        <v>1.1003000000000001</v>
      </c>
      <c r="H146" s="781" t="s">
        <v>131</v>
      </c>
      <c r="I146" s="880"/>
      <c r="J146" s="222"/>
      <c r="K146" s="105"/>
      <c r="L146" s="1106"/>
      <c r="M146" s="1107"/>
      <c r="N146" s="1107"/>
      <c r="O146" s="1108"/>
    </row>
    <row r="147" spans="1:15" s="90" customFormat="1" ht="17.850000000000001" customHeight="1" x14ac:dyDescent="0.45">
      <c r="A147" s="1744" t="s">
        <v>543</v>
      </c>
      <c r="B147" s="1428"/>
      <c r="C147" s="1428"/>
      <c r="D147" s="1428"/>
      <c r="E147" s="776">
        <f ca="1">E148</f>
        <v>14.67</v>
      </c>
      <c r="F147" s="777">
        <f ca="1">F148</f>
        <v>12.76</v>
      </c>
      <c r="G147" s="775">
        <f ca="1">E147/F147</f>
        <v>1.1496999999999999</v>
      </c>
      <c r="H147" s="781" t="s">
        <v>131</v>
      </c>
      <c r="I147" s="880"/>
      <c r="J147" s="222"/>
      <c r="K147" s="105"/>
      <c r="L147" s="1106"/>
      <c r="M147" s="1107"/>
      <c r="N147" s="1107"/>
      <c r="O147" s="1108"/>
    </row>
    <row r="148" spans="1:15" s="90" customFormat="1" ht="17.850000000000001" customHeight="1" thickBot="1" x14ac:dyDescent="0.5">
      <c r="A148" s="1742" t="s">
        <v>544</v>
      </c>
      <c r="B148" s="1743"/>
      <c r="C148" s="1743"/>
      <c r="D148" s="1743"/>
      <c r="E148" s="778">
        <f ca="1">' K3 PP'!O23+' K3 PP'!O24+' K3 PP'!O25</f>
        <v>14.67</v>
      </c>
      <c r="F148" s="779">
        <f ca="1">F145</f>
        <v>12.76</v>
      </c>
      <c r="G148" s="780">
        <f ca="1">E148/F148</f>
        <v>1.1496999999999999</v>
      </c>
      <c r="H148" s="782">
        <v>1</v>
      </c>
      <c r="I148" s="880"/>
      <c r="J148" s="222"/>
      <c r="K148" s="105"/>
      <c r="L148" s="1106"/>
      <c r="M148" s="1107"/>
      <c r="N148" s="1107"/>
      <c r="O148" s="1108"/>
    </row>
    <row r="149" spans="1:15" s="90" customFormat="1" ht="17.850000000000001" customHeight="1" x14ac:dyDescent="0.45">
      <c r="A149" s="1673" t="s">
        <v>107</v>
      </c>
      <c r="B149" s="1674"/>
      <c r="C149" s="1509" t="s">
        <v>508</v>
      </c>
      <c r="D149" s="1509" t="s">
        <v>510</v>
      </c>
      <c r="E149" s="1668" t="s">
        <v>613</v>
      </c>
      <c r="F149" s="1679" t="s">
        <v>224</v>
      </c>
      <c r="G149" s="1509" t="s">
        <v>226</v>
      </c>
      <c r="H149" s="1663" t="s">
        <v>484</v>
      </c>
      <c r="I149" s="243"/>
      <c r="J149" s="222"/>
      <c r="K149" s="105"/>
      <c r="L149" s="1106"/>
      <c r="M149" s="1107"/>
      <c r="N149" s="1107"/>
      <c r="O149" s="1108"/>
    </row>
    <row r="150" spans="1:15" s="90" customFormat="1" ht="17.850000000000001" customHeight="1" x14ac:dyDescent="0.45">
      <c r="A150" s="1675"/>
      <c r="B150" s="1676"/>
      <c r="C150" s="1510"/>
      <c r="D150" s="1510"/>
      <c r="E150" s="1669"/>
      <c r="F150" s="1680"/>
      <c r="G150" s="1510"/>
      <c r="H150" s="1664"/>
      <c r="I150" s="243"/>
      <c r="J150" s="222"/>
      <c r="K150" s="105"/>
      <c r="L150" s="1106"/>
      <c r="M150" s="1107"/>
      <c r="N150" s="1107"/>
      <c r="O150" s="1108"/>
    </row>
    <row r="151" spans="1:15" s="90" customFormat="1" ht="17.850000000000001" customHeight="1" x14ac:dyDescent="0.45">
      <c r="A151" s="1677"/>
      <c r="B151" s="1678"/>
      <c r="C151" s="1511"/>
      <c r="D151" s="1511"/>
      <c r="E151" s="1669"/>
      <c r="F151" s="1681"/>
      <c r="G151" s="1511"/>
      <c r="H151" s="1665"/>
      <c r="I151" s="243"/>
      <c r="J151" s="222"/>
      <c r="K151" s="105"/>
      <c r="L151" s="1106"/>
      <c r="M151" s="1107"/>
      <c r="N151" s="1107"/>
      <c r="O151" s="1108"/>
    </row>
    <row r="152" spans="1:15" s="90" customFormat="1" ht="17.850000000000001" customHeight="1" thickBot="1" x14ac:dyDescent="0.5">
      <c r="A152" s="1682" t="s">
        <v>186</v>
      </c>
      <c r="B152" s="1683"/>
      <c r="C152" s="649">
        <f ca="1">Stammdaten!C37</f>
        <v>39</v>
      </c>
      <c r="D152" s="309">
        <v>0</v>
      </c>
      <c r="E152" s="1670"/>
      <c r="F152" s="310">
        <v>1</v>
      </c>
      <c r="G152" s="311">
        <v>1</v>
      </c>
      <c r="H152" s="85">
        <f ca="1">IFERROR(C152*D152*G152,"")</f>
        <v>0</v>
      </c>
      <c r="I152" s="243"/>
      <c r="J152" s="222"/>
      <c r="K152" s="105"/>
      <c r="L152" s="1106"/>
      <c r="M152" s="1107"/>
      <c r="N152" s="1107"/>
      <c r="O152" s="1108"/>
    </row>
    <row r="153" spans="1:15" s="90" customFormat="1" ht="17.850000000000001" customHeight="1" x14ac:dyDescent="0.45">
      <c r="A153" s="1684" t="s">
        <v>245</v>
      </c>
      <c r="B153" s="1685"/>
      <c r="C153" s="1685"/>
      <c r="D153" s="96"/>
      <c r="E153" s="96"/>
      <c r="F153" s="96"/>
      <c r="G153" s="96"/>
      <c r="H153" s="96"/>
      <c r="I153" s="243"/>
      <c r="J153" s="222"/>
      <c r="K153" s="105"/>
      <c r="L153" s="1106"/>
      <c r="M153" s="1107"/>
      <c r="N153" s="1107"/>
      <c r="O153" s="1108"/>
    </row>
    <row r="154" spans="1:15" s="90" customFormat="1" ht="17.850000000000001" customHeight="1" x14ac:dyDescent="0.45">
      <c r="A154" s="1471" t="s">
        <v>721</v>
      </c>
      <c r="B154" s="1473"/>
      <c r="C154" s="647">
        <v>1</v>
      </c>
      <c r="D154" s="85">
        <f ca="1">IF(ISBLANK(A154),"",VLOOKUP(A154,Stammdaten!A$39:C$48,3,FALSE))</f>
        <v>0.5</v>
      </c>
      <c r="E154" s="534">
        <v>4</v>
      </c>
      <c r="F154" s="215">
        <f ca="1">IF(E154=1,1,IF(E154=2,(E$146/F$146),IF(OR(E154=3,E154=4),(E$148/F$148),"")))</f>
        <v>1.1496999999999999</v>
      </c>
      <c r="G154" s="216">
        <f>IF(OR(E154=1,E154=2,E154=3),VLOOKUP(Projekt!A154,Stammdaten!A$39:C$48,2,FALSE),IF(E154=4,1,""))</f>
        <v>1</v>
      </c>
      <c r="H154" s="180">
        <f ca="1">IFERROR((C154*D154*F154*G154),"")</f>
        <v>0.57489999999999997</v>
      </c>
      <c r="I154" s="243"/>
      <c r="J154" s="1339" t="str">
        <f>IF(AND(ISBLANK(A154),C154&gt;0),"Eingabe vervollständigen!","")</f>
        <v/>
      </c>
      <c r="K154" s="1340"/>
      <c r="L154" s="1106"/>
      <c r="M154" s="1107"/>
      <c r="N154" s="1107"/>
      <c r="O154" s="1108"/>
    </row>
    <row r="155" spans="1:15" s="90" customFormat="1" ht="17.850000000000001" customHeight="1" x14ac:dyDescent="0.45">
      <c r="A155" s="1471"/>
      <c r="B155" s="1473"/>
      <c r="C155" s="647"/>
      <c r="D155" s="85" t="str">
        <f>IF(ISBLANK(A155),"",VLOOKUP(A155,Stammdaten!A$39:C$48,3,FALSE))</f>
        <v/>
      </c>
      <c r="E155" s="534"/>
      <c r="F155" s="215" t="str">
        <f t="shared" ref="F155:F158" si="12">IF(E155=1,1,IF(E155=2,(E$146/F$146),IF(OR(E155=3,E155=4),(E$148/F$148),"")))</f>
        <v/>
      </c>
      <c r="G155" s="216" t="str">
        <f>IF(OR(E155=1,E155=2,E155=3),VLOOKUP(Projekt!A155,Stammdaten!A$39:C$48,2,FALSE),IF(E155=4,1,""))</f>
        <v/>
      </c>
      <c r="H155" s="180" t="str">
        <f t="shared" ref="H155:H158" si="13">IFERROR((C155*D155*F155*G155),"")</f>
        <v/>
      </c>
      <c r="I155" s="243"/>
      <c r="J155" s="1339" t="str">
        <f t="shared" ref="J155:J158" si="14">IF(AND(ISBLANK(A155),C155&gt;0),"Eingabe vervollständigen!","")</f>
        <v/>
      </c>
      <c r="K155" s="1340"/>
      <c r="L155" s="1106"/>
      <c r="M155" s="1107"/>
      <c r="N155" s="1107"/>
      <c r="O155" s="1108"/>
    </row>
    <row r="156" spans="1:15" s="90" customFormat="1" ht="17.850000000000001" customHeight="1" x14ac:dyDescent="0.45">
      <c r="A156" s="1471"/>
      <c r="B156" s="1473"/>
      <c r="C156" s="647"/>
      <c r="D156" s="85" t="str">
        <f>IF(ISBLANK(A156),"",VLOOKUP(A156,Stammdaten!A$39:C$48,3,FALSE))</f>
        <v/>
      </c>
      <c r="E156" s="534"/>
      <c r="F156" s="215" t="str">
        <f t="shared" si="12"/>
        <v/>
      </c>
      <c r="G156" s="216" t="str">
        <f>IF(OR(E156=1,E156=2,E156=3),VLOOKUP(Projekt!A156,Stammdaten!A$39:C$48,2,FALSE),IF(E156=4,1,""))</f>
        <v/>
      </c>
      <c r="H156" s="180" t="str">
        <f t="shared" si="13"/>
        <v/>
      </c>
      <c r="I156" s="243"/>
      <c r="J156" s="1339" t="str">
        <f t="shared" si="14"/>
        <v/>
      </c>
      <c r="K156" s="1340"/>
      <c r="L156" s="1106"/>
      <c r="M156" s="1107"/>
      <c r="N156" s="1107"/>
      <c r="O156" s="1108"/>
    </row>
    <row r="157" spans="1:15" s="90" customFormat="1" ht="17.850000000000001" customHeight="1" x14ac:dyDescent="0.45">
      <c r="A157" s="1471"/>
      <c r="B157" s="1473"/>
      <c r="C157" s="647"/>
      <c r="D157" s="85" t="str">
        <f>IF(ISBLANK(A157),"",VLOOKUP(A157,Stammdaten!A$39:C$48,3,FALSE))</f>
        <v/>
      </c>
      <c r="E157" s="534"/>
      <c r="F157" s="215" t="str">
        <f t="shared" si="12"/>
        <v/>
      </c>
      <c r="G157" s="216" t="str">
        <f>IF(OR(E157=1,E157=2,E157=3),VLOOKUP(Projekt!A157,Stammdaten!A$39:C$48,2,FALSE),IF(E157=4,1,""))</f>
        <v/>
      </c>
      <c r="H157" s="180" t="str">
        <f t="shared" si="13"/>
        <v/>
      </c>
      <c r="I157" s="243"/>
      <c r="J157" s="1339" t="str">
        <f t="shared" si="14"/>
        <v/>
      </c>
      <c r="K157" s="1340"/>
      <c r="L157" s="1106"/>
      <c r="M157" s="1107"/>
      <c r="N157" s="1107"/>
      <c r="O157" s="1108"/>
    </row>
    <row r="158" spans="1:15" s="90" customFormat="1" ht="17.850000000000001" customHeight="1" thickBot="1" x14ac:dyDescent="0.5">
      <c r="A158" s="1688"/>
      <c r="B158" s="1689"/>
      <c r="C158" s="648"/>
      <c r="D158" s="312" t="str">
        <f>IF(ISBLANK(A158),"",VLOOKUP(A158,Stammdaten!A$39:C$48,3,FALSE))</f>
        <v/>
      </c>
      <c r="E158" s="535"/>
      <c r="F158" s="313" t="str">
        <f t="shared" si="12"/>
        <v/>
      </c>
      <c r="G158" s="314" t="str">
        <f>IF(OR(E158=1,E158=2,E158=3),VLOOKUP(Projekt!A158,Stammdaten!A$39:C$48,2,FALSE),IF(E158=4,1,""))</f>
        <v/>
      </c>
      <c r="H158" s="180" t="str">
        <f t="shared" si="13"/>
        <v/>
      </c>
      <c r="I158" s="243"/>
      <c r="J158" s="1339" t="str">
        <f t="shared" si="14"/>
        <v/>
      </c>
      <c r="K158" s="1340"/>
      <c r="L158" s="1106"/>
      <c r="M158" s="1107"/>
      <c r="N158" s="1107"/>
      <c r="O158" s="1108"/>
    </row>
    <row r="159" spans="1:15" s="90" customFormat="1" ht="17.850000000000001" customHeight="1" thickBot="1" x14ac:dyDescent="0.5">
      <c r="A159" s="1671" t="s">
        <v>223</v>
      </c>
      <c r="B159" s="1672"/>
      <c r="C159" s="649">
        <f ca="1">C152+SUM(C154:C158)</f>
        <v>40</v>
      </c>
      <c r="D159" s="1692" t="s">
        <v>507</v>
      </c>
      <c r="E159" s="1692"/>
      <c r="F159" s="1692"/>
      <c r="G159" s="1693"/>
      <c r="H159" s="185"/>
      <c r="I159" s="243"/>
      <c r="J159" s="222"/>
      <c r="K159" s="105"/>
      <c r="L159" s="621" t="str">
        <f ca="1">IF(C159&gt;48,"Wochenarbeitszeit (D1) über 48 Stunden!","")</f>
        <v/>
      </c>
      <c r="M159" s="1107"/>
      <c r="N159" s="1107"/>
      <c r="O159" s="1108"/>
    </row>
    <row r="160" spans="1:15" s="90" customFormat="1" ht="17.850000000000001" hidden="1" customHeight="1" x14ac:dyDescent="0.45">
      <c r="A160" s="1512" t="s">
        <v>545</v>
      </c>
      <c r="B160" s="1514"/>
      <c r="C160" s="1509" t="s">
        <v>187</v>
      </c>
      <c r="D160" s="1509" t="s">
        <v>510</v>
      </c>
      <c r="E160" s="1509" t="s">
        <v>614</v>
      </c>
      <c r="F160" s="1679" t="s">
        <v>224</v>
      </c>
      <c r="G160" s="1509" t="s">
        <v>226</v>
      </c>
      <c r="H160" s="185"/>
      <c r="I160" s="243"/>
      <c r="J160" s="222"/>
      <c r="K160" s="105"/>
      <c r="L160" s="1106"/>
      <c r="M160" s="1107"/>
      <c r="N160" s="1107"/>
      <c r="O160" s="1108"/>
    </row>
    <row r="161" spans="1:15" s="90" customFormat="1" ht="17.850000000000001" hidden="1" customHeight="1" x14ac:dyDescent="0.45">
      <c r="A161" s="1515"/>
      <c r="B161" s="1517"/>
      <c r="C161" s="1510"/>
      <c r="D161" s="1510"/>
      <c r="E161" s="1510"/>
      <c r="F161" s="1680"/>
      <c r="G161" s="1510"/>
      <c r="H161" s="185"/>
      <c r="I161" s="243"/>
      <c r="J161" s="222"/>
      <c r="K161" s="105"/>
      <c r="L161" s="1106"/>
      <c r="M161" s="1107"/>
      <c r="N161" s="1107"/>
      <c r="O161" s="1108"/>
    </row>
    <row r="162" spans="1:15" s="90" customFormat="1" ht="17.850000000000001" hidden="1" customHeight="1" thickBot="1" x14ac:dyDescent="0.5">
      <c r="A162" s="1518"/>
      <c r="B162" s="1520"/>
      <c r="C162" s="1558"/>
      <c r="D162" s="1558"/>
      <c r="E162" s="1558"/>
      <c r="F162" s="1687"/>
      <c r="G162" s="1558"/>
      <c r="H162" s="185"/>
      <c r="I162" s="243"/>
      <c r="J162" s="222"/>
      <c r="K162" s="105"/>
      <c r="L162" s="1106"/>
      <c r="M162" s="1107"/>
      <c r="N162" s="1107"/>
      <c r="O162" s="1108"/>
    </row>
    <row r="163" spans="1:15" s="90" customFormat="1" ht="17.850000000000001" hidden="1" customHeight="1" x14ac:dyDescent="0.45">
      <c r="A163" s="1690"/>
      <c r="B163" s="1691"/>
      <c r="C163" s="707"/>
      <c r="D163" s="296">
        <f ca="1">IFERROR(VLOOKUP(A163,Stammdaten!A$50:C$54,3,FALSE),"")</f>
        <v>0</v>
      </c>
      <c r="E163" s="536">
        <v>4</v>
      </c>
      <c r="F163" s="315">
        <f ca="1">IF(E163=1,1,IF(E163=2,(E$146/F$146),IF(OR(E163=3,E163=4),(E$148/F$148),"")))</f>
        <v>1.1496999999999999</v>
      </c>
      <c r="G163" s="316">
        <f>IF(OR(E163=1,E163=2,E163=3),VLOOKUP(Projekt!A163,Stammdaten!A$50:C$54,2,FALSE),IF(E163=4,1,""))</f>
        <v>1</v>
      </c>
      <c r="H163" s="180">
        <f ca="1">IFERROR((C163*D163*F163*G163),"")</f>
        <v>0</v>
      </c>
      <c r="I163" s="243"/>
      <c r="J163" s="1339" t="str">
        <f t="shared" ref="J163:J165" si="15">IF(AND(ISBLANK(A163),C163&gt;0),"Eingabe vervollständigen!","")</f>
        <v/>
      </c>
      <c r="K163" s="1340"/>
      <c r="L163" s="1106"/>
      <c r="M163" s="1107"/>
      <c r="N163" s="1107"/>
      <c r="O163" s="1108"/>
    </row>
    <row r="164" spans="1:15" s="90" customFormat="1" ht="17.850000000000001" hidden="1" customHeight="1" x14ac:dyDescent="0.45">
      <c r="A164" s="1666"/>
      <c r="B164" s="1686"/>
      <c r="C164" s="647"/>
      <c r="D164" s="85">
        <f ca="1">IFERROR(VLOOKUP(A164,Stammdaten!A$50:C$54,3,FALSE),"")</f>
        <v>0</v>
      </c>
      <c r="E164" s="534"/>
      <c r="F164" s="215" t="str">
        <f t="shared" ref="F164:F165" si="16">IF(E164=1,1,IF(E164=2,(E$146/F$146),IF(OR(E164=3,E164=4),(E$148/F$148),"")))</f>
        <v/>
      </c>
      <c r="G164" s="216" t="str">
        <f>IF(OR(E164=1,E164=2,E164=3),VLOOKUP(Projekt!A164,Stammdaten!A$50:C$54,2,FALSE),IF(E164=4,1,""))</f>
        <v/>
      </c>
      <c r="H164" s="180" t="str">
        <f t="shared" ref="H164:H165" ca="1" si="17">IFERROR((C164*D164*F164*G164),"")</f>
        <v/>
      </c>
      <c r="I164" s="243"/>
      <c r="J164" s="1339" t="str">
        <f t="shared" si="15"/>
        <v/>
      </c>
      <c r="K164" s="1340"/>
      <c r="L164" s="1106"/>
      <c r="M164" s="1107"/>
      <c r="N164" s="1107"/>
      <c r="O164" s="1108"/>
    </row>
    <row r="165" spans="1:15" s="90" customFormat="1" ht="17.850000000000001" hidden="1" customHeight="1" x14ac:dyDescent="0.45">
      <c r="A165" s="1666"/>
      <c r="B165" s="1667"/>
      <c r="C165" s="647"/>
      <c r="D165" s="85">
        <f ca="1">IFERROR(VLOOKUP(A165,Stammdaten!A$50:C$54,3,FALSE),"")</f>
        <v>0</v>
      </c>
      <c r="E165" s="537"/>
      <c r="F165" s="215" t="str">
        <f t="shared" si="16"/>
        <v/>
      </c>
      <c r="G165" s="216" t="str">
        <f>IF(OR(E165=1,E165=2,E165=3),VLOOKUP(Projekt!A165,Stammdaten!A$50:C$54,2,FALSE),IF(E165=4,1,""))</f>
        <v/>
      </c>
      <c r="H165" s="180" t="str">
        <f t="shared" ca="1" si="17"/>
        <v/>
      </c>
      <c r="I165" s="243"/>
      <c r="J165" s="1339" t="str">
        <f t="shared" si="15"/>
        <v/>
      </c>
      <c r="K165" s="1340"/>
      <c r="L165" s="1106"/>
      <c r="M165" s="1107"/>
      <c r="N165" s="1107"/>
      <c r="O165" s="1108"/>
    </row>
    <row r="166" spans="1:15" s="90" customFormat="1" ht="17.850000000000001" hidden="1" customHeight="1" x14ac:dyDescent="0.45">
      <c r="A166" s="1581" t="s">
        <v>546</v>
      </c>
      <c r="B166" s="1582"/>
      <c r="C166" s="1630" t="s">
        <v>187</v>
      </c>
      <c r="D166" s="1630" t="s">
        <v>509</v>
      </c>
      <c r="E166" s="319"/>
      <c r="F166" s="1728" t="s">
        <v>615</v>
      </c>
      <c r="G166" s="1728" t="s">
        <v>616</v>
      </c>
      <c r="H166" s="1694"/>
      <c r="I166" s="243"/>
      <c r="J166" s="222"/>
      <c r="K166" s="105"/>
      <c r="L166" s="1106"/>
      <c r="M166" s="1107"/>
      <c r="N166" s="1107"/>
      <c r="O166" s="1108"/>
    </row>
    <row r="167" spans="1:15" s="90" customFormat="1" ht="17.850000000000001" hidden="1" customHeight="1" x14ac:dyDescent="0.45">
      <c r="A167" s="1515"/>
      <c r="B167" s="1517"/>
      <c r="C167" s="1510"/>
      <c r="D167" s="1510"/>
      <c r="E167" s="320"/>
      <c r="F167" s="1729"/>
      <c r="G167" s="1729"/>
      <c r="H167" s="1695"/>
      <c r="I167" s="243"/>
      <c r="J167" s="222"/>
      <c r="K167" s="105"/>
      <c r="L167" s="1106"/>
      <c r="M167" s="1107"/>
      <c r="N167" s="1107"/>
      <c r="O167" s="1108"/>
    </row>
    <row r="168" spans="1:15" s="90" customFormat="1" ht="17.850000000000001" hidden="1" customHeight="1" thickBot="1" x14ac:dyDescent="0.5">
      <c r="A168" s="1518"/>
      <c r="B168" s="1520"/>
      <c r="C168" s="1558"/>
      <c r="D168" s="1558"/>
      <c r="E168" s="321"/>
      <c r="F168" s="1730"/>
      <c r="G168" s="1730"/>
      <c r="H168" s="1695"/>
      <c r="I168" s="243"/>
      <c r="J168" s="222"/>
      <c r="K168" s="105"/>
      <c r="L168" s="1106"/>
      <c r="M168" s="1107"/>
      <c r="N168" s="1107"/>
      <c r="O168" s="1108"/>
    </row>
    <row r="169" spans="1:15" s="90" customFormat="1" ht="17.850000000000001" hidden="1" customHeight="1" x14ac:dyDescent="0.45">
      <c r="A169" s="1731"/>
      <c r="B169" s="1732"/>
      <c r="C169" s="647"/>
      <c r="D169" s="317">
        <f ca="1">IFERROR(VLOOKUP(A169,Stammdaten!A$56:B$60,2,FALSE),"")</f>
        <v>0</v>
      </c>
      <c r="E169" s="318"/>
      <c r="F169" s="392" t="str">
        <f>IF(A169&lt;&gt;"",' K3 PP'!O$21,"")</f>
        <v/>
      </c>
      <c r="G169" s="783" t="str">
        <f ca="1">IFERROR(D169/F169,"")</f>
        <v/>
      </c>
      <c r="H169" s="784" t="str">
        <f ca="1">IFERROR(C169*G169,"")</f>
        <v/>
      </c>
      <c r="I169" s="243"/>
      <c r="J169" s="1339" t="str">
        <f t="shared" ref="J169:J171" si="18">IF(AND(ISBLANK(A169),C169&gt;0),"Eingabe vervollständigen!","")</f>
        <v/>
      </c>
      <c r="K169" s="1340"/>
      <c r="L169" s="1106"/>
      <c r="M169" s="1107"/>
      <c r="N169" s="1107"/>
      <c r="O169" s="1108"/>
    </row>
    <row r="170" spans="1:15" s="90" customFormat="1" ht="17.850000000000001" hidden="1" customHeight="1" x14ac:dyDescent="0.45">
      <c r="A170" s="1734"/>
      <c r="B170" s="1735"/>
      <c r="C170" s="647"/>
      <c r="D170" s="168">
        <f ca="1">IFERROR(VLOOKUP(A170,Stammdaten!A$56:B$60,2,FALSE),"")</f>
        <v>0</v>
      </c>
      <c r="E170" s="227"/>
      <c r="F170" s="392" t="str">
        <f>IF(A170&lt;&gt;"",' K3 PP'!O$21,"")</f>
        <v/>
      </c>
      <c r="G170" s="785" t="str">
        <f ca="1">IFERROR(D170/F170,"")</f>
        <v/>
      </c>
      <c r="H170" s="784" t="str">
        <f ca="1">IFERROR(C170*G170,"")</f>
        <v/>
      </c>
      <c r="I170" s="243"/>
      <c r="J170" s="1339" t="str">
        <f t="shared" si="18"/>
        <v/>
      </c>
      <c r="K170" s="1340"/>
      <c r="L170" s="1106"/>
      <c r="M170" s="1107"/>
      <c r="N170" s="1107"/>
      <c r="O170" s="1108"/>
    </row>
    <row r="171" spans="1:15" s="90" customFormat="1" ht="17.850000000000001" hidden="1" customHeight="1" thickBot="1" x14ac:dyDescent="0.5">
      <c r="A171" s="1714"/>
      <c r="B171" s="1715"/>
      <c r="C171" s="648"/>
      <c r="D171" s="233">
        <f ca="1">IFERROR(VLOOKUP(A171,Stammdaten!A$56:B$60,2,FALSE),"")</f>
        <v>0</v>
      </c>
      <c r="E171" s="234"/>
      <c r="F171" s="393" t="str">
        <f>IF(A171&lt;&gt;"",' K3 PP'!O$21,"")</f>
        <v/>
      </c>
      <c r="G171" s="786" t="str">
        <f ca="1">IFERROR(D171/F171,"")</f>
        <v/>
      </c>
      <c r="H171" s="791" t="str">
        <f ca="1">IFERROR(C171*G171,"")</f>
        <v/>
      </c>
      <c r="I171" s="243"/>
      <c r="J171" s="1339" t="str">
        <f t="shared" si="18"/>
        <v/>
      </c>
      <c r="K171" s="1340"/>
      <c r="L171" s="1106"/>
      <c r="M171" s="1107"/>
      <c r="N171" s="1107"/>
      <c r="O171" s="1108"/>
    </row>
    <row r="172" spans="1:15" s="90" customFormat="1" ht="17.850000000000001" customHeight="1" thickBot="1" x14ac:dyDescent="0.5">
      <c r="A172" s="1718"/>
      <c r="B172" s="1719"/>
      <c r="C172" s="1719"/>
      <c r="D172" s="1719"/>
      <c r="E172" s="1720"/>
      <c r="F172" s="1716" t="s">
        <v>583</v>
      </c>
      <c r="G172" s="1717"/>
      <c r="H172" s="309">
        <f ca="1">SUM(H152:H171)</f>
        <v>0.57489999999999997</v>
      </c>
      <c r="I172" s="243"/>
      <c r="J172" s="222"/>
      <c r="K172" s="105"/>
      <c r="L172" s="1106"/>
      <c r="M172" s="1107"/>
      <c r="N172" s="1107"/>
      <c r="O172" s="1108"/>
    </row>
    <row r="173" spans="1:15" s="90" customFormat="1" ht="17.850000000000001" customHeight="1" x14ac:dyDescent="0.45">
      <c r="A173" s="1709" t="str">
        <f ca="1">"Bei "&amp;C159&amp;" Std/Wo:"</f>
        <v>Bei 40 Std/Wo:</v>
      </c>
      <c r="B173" s="1710"/>
      <c r="C173" s="788">
        <f ca="1">H172/C159</f>
        <v>1.44E-2</v>
      </c>
      <c r="D173" s="1711" t="s">
        <v>617</v>
      </c>
      <c r="E173" s="1712"/>
      <c r="F173" s="1712"/>
      <c r="G173" s="790"/>
      <c r="H173" s="789">
        <f ca="1">C173+G173</f>
        <v>1.44E-2</v>
      </c>
      <c r="I173" s="884" t="str">
        <f>IF(G173&lt;&gt;0,"X","")</f>
        <v/>
      </c>
      <c r="J173" s="222"/>
      <c r="K173" s="105"/>
      <c r="L173" s="1106"/>
      <c r="M173" s="1107"/>
      <c r="N173" s="1107"/>
      <c r="O173" s="1108"/>
    </row>
    <row r="174" spans="1:15" s="90" customFormat="1" ht="17.850000000000001" customHeight="1" x14ac:dyDescent="0.45">
      <c r="A174" s="129"/>
      <c r="B174" s="140"/>
      <c r="C174" s="140"/>
      <c r="D174" s="1078" t="str">
        <f ca="1">"Aufzahlung Zeile 8 in Hv € "&amp;TEXT(' K3 PP'!O26,"0,00")</f>
        <v>Aufzahlung Zeile 8 in Hv € 0,18</v>
      </c>
      <c r="E174" s="140"/>
      <c r="F174" s="140"/>
      <c r="G174" s="1077"/>
      <c r="H174" s="787" t="s">
        <v>179</v>
      </c>
      <c r="I174" s="243"/>
      <c r="J174" s="222"/>
      <c r="K174" s="105"/>
      <c r="L174" s="1106"/>
      <c r="M174" s="1107"/>
      <c r="N174" s="1107"/>
      <c r="O174" s="1108"/>
    </row>
    <row r="175" spans="1:15" s="90" customFormat="1" ht="17.850000000000001" customHeight="1" x14ac:dyDescent="0.45">
      <c r="A175" s="352" t="s">
        <v>332</v>
      </c>
      <c r="B175" s="353">
        <f ca="1">' K3 PP'!$O$23</f>
        <v>12.76</v>
      </c>
      <c r="C175" s="352" t="s">
        <v>333</v>
      </c>
      <c r="D175" s="353">
        <f ca="1">' K3 PP'!$O$33</f>
        <v>32.33</v>
      </c>
      <c r="E175" s="354" t="s">
        <v>334</v>
      </c>
      <c r="F175" s="353">
        <f ca="1">' K3 PP'!$O$44</f>
        <v>45</v>
      </c>
      <c r="G175" s="352" t="s">
        <v>335</v>
      </c>
      <c r="H175" s="355">
        <f ca="1">' K3 PP'!$Q$45</f>
        <v>45</v>
      </c>
      <c r="I175" s="243"/>
      <c r="J175" s="222"/>
      <c r="K175" s="105"/>
      <c r="L175" s="1106"/>
      <c r="M175" s="1107"/>
      <c r="N175" s="1107"/>
      <c r="O175" s="1108"/>
    </row>
    <row r="176" spans="1:15" s="90" customFormat="1" ht="17.850000000000001" customHeight="1" x14ac:dyDescent="0.45">
      <c r="A176" s="1571"/>
      <c r="B176" s="1572"/>
      <c r="C176" s="1572"/>
      <c r="D176" s="1572"/>
      <c r="E176" s="1572"/>
      <c r="F176" s="1572"/>
      <c r="G176" s="1572"/>
      <c r="H176" s="1572"/>
      <c r="I176" s="243"/>
      <c r="J176" s="222"/>
      <c r="K176" s="105"/>
      <c r="L176" s="1106"/>
      <c r="M176" s="1107"/>
      <c r="N176" s="1107"/>
      <c r="O176" s="1108"/>
    </row>
    <row r="177" spans="1:12" ht="17.850000000000001" customHeight="1" x14ac:dyDescent="0.45">
      <c r="A177" s="1611" t="s">
        <v>204</v>
      </c>
      <c r="B177" s="1612"/>
      <c r="C177" s="1612"/>
      <c r="D177" s="1612"/>
      <c r="E177" s="1612"/>
      <c r="F177" s="1612"/>
      <c r="G177" s="1612"/>
      <c r="H177" s="1612"/>
      <c r="I177" s="243"/>
      <c r="J177" s="67"/>
      <c r="K177" s="68"/>
      <c r="L177" s="1103"/>
    </row>
    <row r="178" spans="1:12" ht="17.850000000000001" customHeight="1" x14ac:dyDescent="0.45">
      <c r="A178" s="1721" t="s">
        <v>547</v>
      </c>
      <c r="B178" s="1722"/>
      <c r="C178" s="1722"/>
      <c r="D178" s="1722"/>
      <c r="E178" s="1722"/>
      <c r="F178" s="1722"/>
      <c r="G178" s="1722"/>
      <c r="H178" s="380">
        <f ca="1">Stammdaten!B147</f>
        <v>0.2994</v>
      </c>
      <c r="I178" s="243"/>
      <c r="J178" s="67"/>
      <c r="K178" s="68"/>
      <c r="L178" s="1103"/>
    </row>
    <row r="179" spans="1:12" ht="17.850000000000001" customHeight="1" thickBot="1" x14ac:dyDescent="0.5">
      <c r="A179" s="1699" t="s">
        <v>229</v>
      </c>
      <c r="B179" s="1700"/>
      <c r="C179" s="1700"/>
      <c r="D179" s="1700"/>
      <c r="E179" s="1700"/>
      <c r="F179" s="1700"/>
      <c r="G179" s="1700"/>
      <c r="H179" s="381"/>
      <c r="I179" s="884" t="str">
        <f>IF(H179&lt;&gt;0,"X","")</f>
        <v/>
      </c>
      <c r="J179" s="67"/>
      <c r="K179" s="68"/>
      <c r="L179" s="619" t="str">
        <f ca="1">IFERROR(IF(ABS(H179)/H178&gt;0.1,"Individuelle Anpassung bei E1) auffällig hoch. ",""),"")</f>
        <v/>
      </c>
    </row>
    <row r="180" spans="1:12" ht="17.850000000000001" customHeight="1" x14ac:dyDescent="0.45">
      <c r="A180" s="1701" t="s">
        <v>511</v>
      </c>
      <c r="B180" s="1702"/>
      <c r="C180" s="1702"/>
      <c r="D180" s="1702"/>
      <c r="E180" s="1702"/>
      <c r="F180" s="1702"/>
      <c r="G180" s="1702"/>
      <c r="H180" s="382">
        <f ca="1">SUM(H178:H179)</f>
        <v>0.2994</v>
      </c>
      <c r="I180" s="243"/>
      <c r="J180" s="67"/>
      <c r="K180" s="68"/>
      <c r="L180" s="1103"/>
    </row>
    <row r="181" spans="1:12" ht="17.850000000000001" customHeight="1" x14ac:dyDescent="0.45">
      <c r="A181" s="221"/>
      <c r="B181" s="190"/>
      <c r="C181" s="190"/>
      <c r="D181" s="190"/>
      <c r="E181" s="190"/>
      <c r="F181" s="190"/>
      <c r="G181" s="190"/>
      <c r="H181" s="382"/>
      <c r="I181" s="243"/>
      <c r="J181" s="67"/>
      <c r="K181" s="68"/>
      <c r="L181" s="1103"/>
    </row>
    <row r="182" spans="1:12" ht="17.850000000000001" customHeight="1" x14ac:dyDescent="0.45">
      <c r="A182" s="1374" t="s">
        <v>584</v>
      </c>
      <c r="B182" s="1375"/>
      <c r="C182" s="1375"/>
      <c r="D182" s="1375"/>
      <c r="E182" s="1375"/>
      <c r="F182" s="1375"/>
      <c r="G182" s="1375"/>
      <c r="H182" s="1375"/>
      <c r="I182" s="243"/>
      <c r="J182" s="67"/>
      <c r="K182" s="68"/>
      <c r="L182" s="1103"/>
    </row>
    <row r="183" spans="1:12" ht="17.850000000000001" customHeight="1" x14ac:dyDescent="0.45">
      <c r="A183" s="1368" t="s">
        <v>548</v>
      </c>
      <c r="B183" s="1369"/>
      <c r="C183" s="1369"/>
      <c r="D183" s="1369"/>
      <c r="E183" s="1369"/>
      <c r="F183" s="340" t="s">
        <v>317</v>
      </c>
      <c r="G183" s="341" t="s">
        <v>318</v>
      </c>
      <c r="H183" s="598" t="s">
        <v>82</v>
      </c>
      <c r="I183" s="243"/>
      <c r="J183" s="67"/>
      <c r="K183" s="68"/>
      <c r="L183" s="1103"/>
    </row>
    <row r="184" spans="1:12" ht="17.850000000000001" customHeight="1" x14ac:dyDescent="0.45">
      <c r="A184" s="1723" t="s">
        <v>321</v>
      </c>
      <c r="B184" s="1724"/>
      <c r="C184" s="1724"/>
      <c r="D184" s="1724"/>
      <c r="E184" s="1724"/>
      <c r="F184" s="1724"/>
      <c r="G184" s="551" t="s">
        <v>318</v>
      </c>
      <c r="H184" s="600"/>
      <c r="I184" s="243"/>
      <c r="J184" s="1339" t="str">
        <f>IF(ISBLANK(G184),"Ja / Nein auswählen!","")</f>
        <v/>
      </c>
      <c r="K184" s="1340"/>
      <c r="L184" s="1103"/>
    </row>
    <row r="185" spans="1:12" ht="17.850000000000001" customHeight="1" thickBot="1" x14ac:dyDescent="0.5">
      <c r="A185" s="1553" t="s">
        <v>154</v>
      </c>
      <c r="B185" s="1554"/>
      <c r="C185" s="61">
        <f ca="1">' K3 PP'!P9</f>
        <v>39</v>
      </c>
      <c r="D185" s="60" t="str">
        <f>IF(G184=1," / ","")</f>
        <v/>
      </c>
      <c r="E185" s="61">
        <f ca="1">' K3 PP'!P19</f>
        <v>40</v>
      </c>
      <c r="F185" s="1552" t="s">
        <v>323</v>
      </c>
      <c r="G185" s="1552"/>
      <c r="H185" s="708">
        <f>IF(G184=F183,C185/E185,1)</f>
        <v>1</v>
      </c>
      <c r="I185" s="243"/>
      <c r="J185" s="67"/>
      <c r="K185" s="68"/>
      <c r="L185" s="1103"/>
    </row>
    <row r="186" spans="1:12" ht="17.850000000000001" customHeight="1" x14ac:dyDescent="0.45">
      <c r="A186" s="1725" t="s">
        <v>322</v>
      </c>
      <c r="B186" s="1726"/>
      <c r="C186" s="1726"/>
      <c r="D186" s="1726"/>
      <c r="E186" s="1726"/>
      <c r="F186" s="1726"/>
      <c r="G186" s="193" t="str">
        <f>(IF(AND(G187=F183,G189=F183),"Inkorrekt!",IF(OR(G187=F183,G189=F183),"Ja","Nein")))</f>
        <v>Nein</v>
      </c>
      <c r="H186" s="384"/>
      <c r="I186" s="885"/>
      <c r="J186" s="1339" t="str">
        <f>(IF(AND(G187=F183,G189=F183),"[2a ODER 2b auf JA setzen!]",""))</f>
        <v/>
      </c>
      <c r="K186" s="1340"/>
      <c r="L186" s="1103"/>
    </row>
    <row r="187" spans="1:12" ht="17.850000000000001" customHeight="1" x14ac:dyDescent="0.45">
      <c r="A187" s="1550" t="s">
        <v>524</v>
      </c>
      <c r="B187" s="1551"/>
      <c r="C187" s="1551"/>
      <c r="D187" s="1551"/>
      <c r="E187" s="1551"/>
      <c r="F187" s="418"/>
      <c r="G187" s="550" t="s">
        <v>318</v>
      </c>
      <c r="H187" s="384"/>
      <c r="I187" s="243"/>
      <c r="J187" s="1339" t="str">
        <f>IF(ISBLANK(G187),"Ja / Nein auswählen!","")</f>
        <v/>
      </c>
      <c r="K187" s="1340"/>
      <c r="L187" s="1103"/>
    </row>
    <row r="188" spans="1:12" ht="17.850000000000001" customHeight="1" x14ac:dyDescent="0.45">
      <c r="A188" s="1707" t="s">
        <v>154</v>
      </c>
      <c r="B188" s="1708"/>
      <c r="C188" s="58">
        <f ca="1">' K3 PP'!O23</f>
        <v>12.76</v>
      </c>
      <c r="D188" s="608" t="str">
        <f>IF(G187=1," / ","")</f>
        <v/>
      </c>
      <c r="E188" s="58">
        <f ca="1">' K3 PP'!O28</f>
        <v>15.72</v>
      </c>
      <c r="F188" s="101"/>
      <c r="G188" s="339"/>
      <c r="H188" s="384" t="str">
        <f>IF(G187=F183,C188/E188,"")</f>
        <v/>
      </c>
      <c r="I188" s="243"/>
      <c r="J188" s="67"/>
      <c r="K188" s="68"/>
      <c r="L188" s="1103"/>
    </row>
    <row r="189" spans="1:12" ht="17.850000000000001" customHeight="1" x14ac:dyDescent="0.45">
      <c r="A189" s="1550" t="s">
        <v>512</v>
      </c>
      <c r="B189" s="1551"/>
      <c r="C189" s="1551"/>
      <c r="D189" s="1551"/>
      <c r="E189" s="1551"/>
      <c r="F189" s="596"/>
      <c r="G189" s="551" t="s">
        <v>318</v>
      </c>
      <c r="H189" s="384"/>
      <c r="I189" s="243"/>
      <c r="J189" s="1339" t="str">
        <f>IF(ISBLANK(G189),"Ja / Nein auswählen!","")</f>
        <v/>
      </c>
      <c r="K189" s="1340"/>
      <c r="L189" s="1103"/>
    </row>
    <row r="190" spans="1:12" ht="17.850000000000001" customHeight="1" thickBot="1" x14ac:dyDescent="0.5">
      <c r="A190" s="1553" t="s">
        <v>154</v>
      </c>
      <c r="B190" s="1554"/>
      <c r="C190" s="59">
        <f ca="1">' K3 PP'!O28-' K3 PP'!O26</f>
        <v>15.54</v>
      </c>
      <c r="D190" s="60" t="str">
        <f>IF(G189=1," / ","")</f>
        <v/>
      </c>
      <c r="E190" s="59">
        <f ca="1">' K3 PP'!O28</f>
        <v>15.72</v>
      </c>
      <c r="F190" s="103"/>
      <c r="G190" s="104"/>
      <c r="H190" s="383" t="str">
        <f>IF(G189=F183,C190/E190,"")</f>
        <v/>
      </c>
      <c r="I190" s="243"/>
      <c r="J190" s="67"/>
      <c r="K190" s="68"/>
      <c r="L190" s="1103"/>
    </row>
    <row r="191" spans="1:12" ht="17.850000000000001" customHeight="1" x14ac:dyDescent="0.45">
      <c r="A191" s="342"/>
      <c r="B191" s="343"/>
      <c r="C191" s="343"/>
      <c r="D191" s="343"/>
      <c r="E191" s="343"/>
      <c r="F191" s="1727" t="s">
        <v>324</v>
      </c>
      <c r="G191" s="1727"/>
      <c r="H191" s="709">
        <f>IF(G186="Ja",SUM(H188,H190),1)</f>
        <v>1</v>
      </c>
      <c r="I191" s="885"/>
      <c r="J191" s="67"/>
      <c r="K191" s="68"/>
      <c r="L191" s="1103"/>
    </row>
    <row r="192" spans="1:12" ht="17.850000000000001" customHeight="1" x14ac:dyDescent="0.45">
      <c r="A192" s="222"/>
      <c r="B192" s="105"/>
      <c r="C192" s="105"/>
      <c r="D192" s="105"/>
      <c r="E192" s="105"/>
      <c r="F192" s="105"/>
      <c r="G192" s="105"/>
      <c r="H192" s="105"/>
      <c r="I192" s="243"/>
      <c r="J192" s="67"/>
      <c r="K192" s="68"/>
      <c r="L192" s="1103"/>
    </row>
    <row r="193" spans="1:13" ht="17.850000000000001" customHeight="1" x14ac:dyDescent="0.45">
      <c r="A193" s="1267" t="s">
        <v>549</v>
      </c>
      <c r="B193" s="1268"/>
      <c r="C193" s="1269"/>
      <c r="D193" s="107" t="s">
        <v>253</v>
      </c>
      <c r="E193" s="107" t="s">
        <v>254</v>
      </c>
      <c r="F193" s="107" t="s">
        <v>255</v>
      </c>
      <c r="G193" s="107" t="s">
        <v>256</v>
      </c>
      <c r="H193" s="598" t="s">
        <v>68</v>
      </c>
      <c r="I193" s="243"/>
      <c r="J193" s="67"/>
      <c r="K193" s="68"/>
      <c r="L193" s="1103"/>
    </row>
    <row r="194" spans="1:13" ht="17.850000000000001" customHeight="1" x14ac:dyDescent="0.45">
      <c r="A194" s="1267" t="s">
        <v>155</v>
      </c>
      <c r="B194" s="1268"/>
      <c r="C194" s="1269"/>
      <c r="D194" s="108">
        <f ca="1">Stammdaten!E152</f>
        <v>0.7</v>
      </c>
      <c r="E194" s="108">
        <f ca="1">Stammdaten!E153</f>
        <v>0</v>
      </c>
      <c r="F194" s="108">
        <f ca="1">Stammdaten!E154</f>
        <v>0</v>
      </c>
      <c r="G194" s="108">
        <f ca="1">Stammdaten!E155</f>
        <v>0</v>
      </c>
      <c r="H194" s="385">
        <f ca="1">SUM(D194:G194)</f>
        <v>0.7</v>
      </c>
      <c r="I194" s="884" t="str">
        <f ca="1">IF(OR(Stammdaten!C152&lt;&gt;Stammdaten!E152,Stammdaten!C153&lt;&gt;Stammdaten!E153,Stammdaten!C154&lt;&gt;Stammdaten!E154,Stammdaten!C155&lt;&gt;Stammdaten!E155),"X","")</f>
        <v/>
      </c>
      <c r="J194" s="67"/>
      <c r="K194" s="68"/>
      <c r="L194" s="1103"/>
    </row>
    <row r="195" spans="1:13" ht="17.850000000000001" customHeight="1" x14ac:dyDescent="0.45">
      <c r="A195" s="1721" t="s">
        <v>153</v>
      </c>
      <c r="B195" s="1722"/>
      <c r="C195" s="1733"/>
      <c r="D195" s="110"/>
      <c r="E195" s="111">
        <f>H185</f>
        <v>1</v>
      </c>
      <c r="F195" s="110"/>
      <c r="G195" s="111">
        <f>H185</f>
        <v>1</v>
      </c>
      <c r="H195" s="386"/>
      <c r="I195" s="243"/>
      <c r="J195" s="67"/>
      <c r="K195" s="68"/>
      <c r="L195" s="1103"/>
    </row>
    <row r="196" spans="1:13" ht="17.850000000000001" customHeight="1" thickBot="1" x14ac:dyDescent="0.5">
      <c r="A196" s="1699" t="s">
        <v>156</v>
      </c>
      <c r="B196" s="1700"/>
      <c r="C196" s="1736"/>
      <c r="D196" s="112"/>
      <c r="E196" s="112"/>
      <c r="F196" s="113">
        <f>H191</f>
        <v>1</v>
      </c>
      <c r="G196" s="113">
        <f>H191</f>
        <v>1</v>
      </c>
      <c r="H196" s="387"/>
      <c r="I196" s="243"/>
      <c r="J196" s="67"/>
      <c r="K196" s="68"/>
      <c r="L196" s="1103"/>
    </row>
    <row r="197" spans="1:13" ht="17.850000000000001" customHeight="1" x14ac:dyDescent="0.45">
      <c r="A197" s="1379" t="s">
        <v>26</v>
      </c>
      <c r="B197" s="1380"/>
      <c r="C197" s="1381"/>
      <c r="D197" s="78">
        <f ca="1">D194</f>
        <v>0.7</v>
      </c>
      <c r="E197" s="78">
        <f ca="1">E194*E195</f>
        <v>0</v>
      </c>
      <c r="F197" s="78">
        <f ca="1">F194*F196</f>
        <v>0</v>
      </c>
      <c r="G197" s="78">
        <f ca="1">G194*G195*G196</f>
        <v>0</v>
      </c>
      <c r="H197" s="388">
        <f ca="1">SUM(D197:G197)</f>
        <v>0.7</v>
      </c>
      <c r="I197" s="243"/>
      <c r="J197" s="67"/>
      <c r="K197" s="68"/>
      <c r="L197" s="1103"/>
    </row>
    <row r="198" spans="1:13" ht="17.850000000000001" customHeight="1" x14ac:dyDescent="0.45">
      <c r="A198" s="1705" t="s">
        <v>229</v>
      </c>
      <c r="B198" s="1706"/>
      <c r="C198" s="1706"/>
      <c r="D198" s="1706"/>
      <c r="E198" s="1706"/>
      <c r="F198" s="1706"/>
      <c r="G198" s="1706"/>
      <c r="H198" s="389"/>
      <c r="I198" s="884" t="str">
        <f>IF(H198&lt;&gt;0,"X","")</f>
        <v/>
      </c>
      <c r="J198" s="67"/>
      <c r="K198" s="68"/>
      <c r="L198" s="620" t="str">
        <f ca="1">IFERROR(IF(ABS(H198)/H197&gt;0.1,"Individuelle Anpassung bei E2) auffällig hoch. ",""),"")</f>
        <v/>
      </c>
      <c r="M198" s="1100" t="s">
        <v>22</v>
      </c>
    </row>
    <row r="199" spans="1:13" ht="17.850000000000001" customHeight="1" x14ac:dyDescent="0.45">
      <c r="A199" s="1374" t="s">
        <v>513</v>
      </c>
      <c r="B199" s="1375"/>
      <c r="C199" s="1375"/>
      <c r="D199" s="1375"/>
      <c r="E199" s="1375"/>
      <c r="F199" s="1375"/>
      <c r="G199" s="1375"/>
      <c r="H199" s="116">
        <f ca="1">IF(AND(_Test=9,Stammdaten!F7&lt;&gt;2.1),"FEHLER!",SUM(H197:H198))</f>
        <v>0.7</v>
      </c>
      <c r="I199" s="243"/>
      <c r="J199" s="1395" t="str">
        <f ca="1">IF(H199="FEHLER!","Sie verwenden eine ungültige Testdatei!","")</f>
        <v/>
      </c>
      <c r="K199" s="1396"/>
      <c r="L199" s="620" t="str">
        <f ca="1">IFERROR(IF(OR(H199&lt;0.6,H199&gt;0.95),"Prüfen Sie die Plausibilität der Höhe der UMGELEGTEN PERSONALNEBENKOSTEN in Höhe von "&amp;H199*100&amp;"%",""),"")</f>
        <v/>
      </c>
      <c r="M199" s="1100" t="s">
        <v>22</v>
      </c>
    </row>
    <row r="200" spans="1:13" ht="17.850000000000001" customHeight="1" x14ac:dyDescent="0.45">
      <c r="A200" s="1464"/>
      <c r="B200" s="1465"/>
      <c r="C200" s="1465"/>
      <c r="D200" s="1465"/>
      <c r="E200" s="1465"/>
      <c r="F200" s="1465"/>
      <c r="G200" s="1465"/>
      <c r="H200" s="1465"/>
      <c r="I200" s="243"/>
      <c r="J200" s="1395"/>
      <c r="K200" s="1396"/>
      <c r="L200" s="1103"/>
    </row>
    <row r="201" spans="1:13" ht="17.850000000000001" customHeight="1" x14ac:dyDescent="0.45">
      <c r="A201" s="1374" t="s">
        <v>205</v>
      </c>
      <c r="B201" s="1375"/>
      <c r="C201" s="1375"/>
      <c r="D201" s="1375"/>
      <c r="E201" s="1375"/>
      <c r="F201" s="599" t="s">
        <v>189</v>
      </c>
      <c r="G201" s="89"/>
      <c r="H201" s="89"/>
      <c r="I201" s="243"/>
      <c r="J201" s="67"/>
      <c r="K201" s="68"/>
      <c r="L201" s="1103"/>
    </row>
    <row r="202" spans="1:13" ht="17.850000000000001" customHeight="1" x14ac:dyDescent="0.45">
      <c r="A202" s="1467"/>
      <c r="B202" s="1468"/>
      <c r="C202" s="1468"/>
      <c r="D202" s="1468"/>
      <c r="E202" s="1474"/>
      <c r="F202" s="326"/>
      <c r="G202" s="68"/>
      <c r="H202" s="68"/>
      <c r="I202" s="243"/>
      <c r="J202" s="67"/>
      <c r="K202" s="68"/>
      <c r="L202" s="1103"/>
    </row>
    <row r="203" spans="1:13" ht="17.850000000000001" customHeight="1" thickBot="1" x14ac:dyDescent="0.5">
      <c r="A203" s="1402"/>
      <c r="B203" s="1403"/>
      <c r="C203" s="1403"/>
      <c r="D203" s="1403"/>
      <c r="E203" s="1403"/>
      <c r="F203" s="326"/>
      <c r="G203" s="68"/>
      <c r="H203" s="68"/>
      <c r="I203" s="243"/>
      <c r="J203" s="67"/>
      <c r="K203" s="68"/>
      <c r="L203" s="1103"/>
    </row>
    <row r="204" spans="1:13" ht="17.850000000000001" customHeight="1" x14ac:dyDescent="0.45">
      <c r="A204" s="1704" t="s">
        <v>550</v>
      </c>
      <c r="B204" s="1380"/>
      <c r="C204" s="1380"/>
      <c r="D204" s="1548" t="s">
        <v>709</v>
      </c>
      <c r="E204" s="1703"/>
      <c r="F204" s="118"/>
      <c r="G204" s="68"/>
      <c r="H204" s="68"/>
      <c r="I204" s="243"/>
      <c r="J204" s="67"/>
      <c r="K204" s="68"/>
      <c r="L204" s="1103"/>
    </row>
    <row r="205" spans="1:13" ht="17.850000000000001" customHeight="1" x14ac:dyDescent="0.45">
      <c r="A205" s="1832"/>
      <c r="B205" s="1268"/>
      <c r="C205" s="1268"/>
      <c r="D205" s="1268"/>
      <c r="E205" s="710" t="s">
        <v>112</v>
      </c>
      <c r="F205" s="118"/>
      <c r="G205" s="68"/>
      <c r="H205" s="68"/>
      <c r="I205" s="243"/>
      <c r="J205" s="67"/>
      <c r="K205" s="68"/>
      <c r="L205" s="1103"/>
    </row>
    <row r="206" spans="1:13" ht="17.850000000000001" customHeight="1" x14ac:dyDescent="0.45">
      <c r="A206" s="1827" t="s">
        <v>345</v>
      </c>
      <c r="B206" s="1798"/>
      <c r="C206" s="1798"/>
      <c r="D206" s="1798"/>
      <c r="E206" s="711">
        <v>2</v>
      </c>
      <c r="F206" s="118"/>
      <c r="G206" s="68"/>
      <c r="H206" s="68"/>
      <c r="I206" s="243"/>
      <c r="J206" s="67"/>
      <c r="K206" s="68"/>
      <c r="L206" s="1103"/>
    </row>
    <row r="207" spans="1:13" ht="17.850000000000001" customHeight="1" thickBot="1" x14ac:dyDescent="0.5">
      <c r="A207" s="1713" t="s">
        <v>135</v>
      </c>
      <c r="B207" s="1700"/>
      <c r="C207" s="1736"/>
      <c r="D207" s="326">
        <v>0.35</v>
      </c>
      <c r="E207" s="712">
        <f>D207*E206</f>
        <v>0.7</v>
      </c>
      <c r="F207" s="118"/>
      <c r="G207" s="68"/>
      <c r="H207" s="68"/>
      <c r="I207" s="243"/>
      <c r="J207" s="67"/>
      <c r="K207" s="68"/>
      <c r="L207" s="1103"/>
    </row>
    <row r="208" spans="1:13" ht="17.850000000000001" customHeight="1" x14ac:dyDescent="0.45">
      <c r="A208" s="713" t="s">
        <v>105</v>
      </c>
      <c r="B208" s="651"/>
      <c r="C208" s="651"/>
      <c r="D208" s="119"/>
      <c r="E208" s="475">
        <f>SUM(E206:E207)</f>
        <v>2.7</v>
      </c>
      <c r="F208" s="118"/>
      <c r="G208" s="68"/>
      <c r="H208" s="68"/>
      <c r="I208" s="243"/>
      <c r="J208" s="67"/>
      <c r="K208" s="68"/>
      <c r="L208" s="1103"/>
    </row>
    <row r="209" spans="1:13" ht="17.850000000000001" customHeight="1" thickBot="1" x14ac:dyDescent="0.5">
      <c r="A209" s="1833" t="s">
        <v>188</v>
      </c>
      <c r="B209" s="1834"/>
      <c r="C209" s="1834"/>
      <c r="D209" s="169">
        <f>F136</f>
        <v>5.2600000000000001E-2</v>
      </c>
      <c r="E209" s="468">
        <f>D209*E208</f>
        <v>0.14000000000000001</v>
      </c>
      <c r="F209" s="118"/>
      <c r="G209" s="68"/>
      <c r="H209" s="68"/>
      <c r="I209" s="243"/>
      <c r="J209" s="67"/>
      <c r="K209" s="68"/>
      <c r="L209" s="1103"/>
    </row>
    <row r="210" spans="1:13" ht="17.850000000000001" customHeight="1" x14ac:dyDescent="0.45">
      <c r="A210" s="713" t="s">
        <v>146</v>
      </c>
      <c r="B210" s="651"/>
      <c r="C210" s="651"/>
      <c r="D210" s="651"/>
      <c r="E210" s="475">
        <f>SUM(E208:E209)</f>
        <v>2.84</v>
      </c>
      <c r="F210" s="118"/>
      <c r="G210" s="68"/>
      <c r="H210" s="68"/>
      <c r="I210" s="243"/>
      <c r="J210" s="67"/>
      <c r="K210" s="68"/>
      <c r="L210" s="1103"/>
    </row>
    <row r="211" spans="1:13" ht="17.850000000000001" customHeight="1" thickBot="1" x14ac:dyDescent="0.5">
      <c r="A211" s="1713" t="s">
        <v>325</v>
      </c>
      <c r="B211" s="1700"/>
      <c r="C211" s="1700"/>
      <c r="D211" s="1700"/>
      <c r="E211" s="714">
        <f ca="1">' K3 PP'!O28*' K3 PP'!P19</f>
        <v>629</v>
      </c>
      <c r="F211" s="114">
        <f ca="1">E210/E211</f>
        <v>4.4999999999999997E-3</v>
      </c>
      <c r="G211" s="68"/>
      <c r="H211" s="68"/>
      <c r="I211" s="243"/>
      <c r="J211" s="67"/>
      <c r="K211" s="68"/>
      <c r="L211" s="1103"/>
    </row>
    <row r="212" spans="1:13" ht="17.850000000000001" customHeight="1" x14ac:dyDescent="0.45">
      <c r="A212" s="129" t="s">
        <v>205</v>
      </c>
      <c r="B212" s="140"/>
      <c r="C212" s="140"/>
      <c r="D212" s="140"/>
      <c r="E212" s="140"/>
      <c r="F212" s="117">
        <f ca="1">SUM(F202:F211)</f>
        <v>4.4999999999999997E-3</v>
      </c>
      <c r="G212" s="70"/>
      <c r="H212" s="70"/>
      <c r="I212" s="243"/>
      <c r="J212" s="67"/>
      <c r="K212" s="68"/>
      <c r="L212" s="620" t="str">
        <f ca="1">IFERROR(IF(F212&gt;0.035,"Weitere Personalnebenkosten (E3) erscheinen mit "&amp;F212*100&amp;"% hoch! ",""),"")</f>
        <v/>
      </c>
      <c r="M212" s="1100" t="s">
        <v>22</v>
      </c>
    </row>
    <row r="213" spans="1:13" ht="17.850000000000001" customHeight="1" x14ac:dyDescent="0.45">
      <c r="A213" s="352" t="s">
        <v>332</v>
      </c>
      <c r="B213" s="353">
        <f ca="1">' K3 PP'!$O$23</f>
        <v>12.76</v>
      </c>
      <c r="C213" s="352" t="s">
        <v>333</v>
      </c>
      <c r="D213" s="353">
        <f ca="1">' K3 PP'!$O$33</f>
        <v>32.33</v>
      </c>
      <c r="E213" s="354" t="s">
        <v>334</v>
      </c>
      <c r="F213" s="353">
        <f ca="1">' K3 PP'!$O$44</f>
        <v>45</v>
      </c>
      <c r="G213" s="352" t="s">
        <v>335</v>
      </c>
      <c r="H213" s="355">
        <f ca="1">' K3 PP'!$Q$45</f>
        <v>45</v>
      </c>
      <c r="I213" s="243"/>
      <c r="J213" s="67"/>
      <c r="K213" s="68"/>
      <c r="L213" s="1103"/>
    </row>
    <row r="214" spans="1:13" ht="17.850000000000001" customHeight="1" x14ac:dyDescent="0.45">
      <c r="A214" s="1464"/>
      <c r="B214" s="1465"/>
      <c r="C214" s="1465"/>
      <c r="D214" s="1465"/>
      <c r="E214" s="1465"/>
      <c r="F214" s="1465"/>
      <c r="G214" s="1465"/>
      <c r="H214" s="1465"/>
      <c r="I214" s="243"/>
      <c r="J214" s="67"/>
      <c r="K214" s="68"/>
      <c r="L214" s="1103"/>
    </row>
    <row r="215" spans="1:13" ht="17.850000000000001" customHeight="1" x14ac:dyDescent="0.45">
      <c r="A215" s="1825" t="s">
        <v>206</v>
      </c>
      <c r="B215" s="1826"/>
      <c r="C215" s="1826"/>
      <c r="D215" s="1826"/>
      <c r="E215" s="1826"/>
      <c r="F215" s="1826"/>
      <c r="G215" s="1826"/>
      <c r="H215" s="1826"/>
      <c r="I215" s="243"/>
      <c r="J215" s="67"/>
      <c r="K215" s="68"/>
      <c r="L215" s="1103"/>
    </row>
    <row r="216" spans="1:13" ht="17.850000000000001" customHeight="1" thickBot="1" x14ac:dyDescent="0.5">
      <c r="A216" s="1817" t="s">
        <v>619</v>
      </c>
      <c r="B216" s="1818"/>
      <c r="C216" s="1818"/>
      <c r="D216" s="1819"/>
      <c r="E216" s="1820" t="s">
        <v>603</v>
      </c>
      <c r="F216" s="1821"/>
      <c r="G216" s="793" t="s">
        <v>618</v>
      </c>
      <c r="H216" s="794">
        <f ca="1">' K3 PP'!O33</f>
        <v>32.33</v>
      </c>
      <c r="I216" s="243"/>
      <c r="J216" s="67"/>
      <c r="K216" s="68"/>
      <c r="L216" s="1103"/>
    </row>
    <row r="217" spans="1:13" ht="17.850000000000001" customHeight="1" x14ac:dyDescent="0.45">
      <c r="A217" s="1822" t="s">
        <v>495</v>
      </c>
      <c r="B217" s="1823"/>
      <c r="C217" s="1823"/>
      <c r="D217" s="1823"/>
      <c r="E217" s="1824"/>
      <c r="F217" s="828"/>
      <c r="G217" s="1828" t="s">
        <v>707</v>
      </c>
      <c r="H217" s="1829"/>
      <c r="I217" s="243"/>
      <c r="J217" s="1696" t="str">
        <f>IF(AND(F217&gt;0,F218&gt;0),"Sowohl in der Summenzeile als auch in Detailzeilen sind Werte eingetragen.","")</f>
        <v/>
      </c>
      <c r="K217" s="1697"/>
      <c r="L217" s="1698"/>
    </row>
    <row r="218" spans="1:13" ht="17.850000000000001" customHeight="1" x14ac:dyDescent="0.45">
      <c r="A218" s="1814" t="s">
        <v>497</v>
      </c>
      <c r="B218" s="1815"/>
      <c r="C218" s="1815"/>
      <c r="D218" s="1815"/>
      <c r="E218" s="1816"/>
      <c r="F218" s="800">
        <f>SUM(E219:E227)</f>
        <v>5.5500000000000001E-2</v>
      </c>
      <c r="G218" s="1830"/>
      <c r="H218" s="1831"/>
      <c r="I218" s="243"/>
      <c r="J218" s="1696"/>
      <c r="K218" s="1697"/>
      <c r="L218" s="1698"/>
    </row>
    <row r="219" spans="1:13" ht="17.850000000000001" customHeight="1" x14ac:dyDescent="0.45">
      <c r="A219" s="1467" t="s">
        <v>488</v>
      </c>
      <c r="B219" s="1468"/>
      <c r="C219" s="1468"/>
      <c r="D219" s="1474"/>
      <c r="E219" s="828"/>
      <c r="F219" s="640"/>
      <c r="G219" s="1084" t="s">
        <v>621</v>
      </c>
      <c r="H219" s="1122" t="s">
        <v>317</v>
      </c>
      <c r="I219" s="243"/>
      <c r="J219" s="67"/>
      <c r="K219" s="68"/>
      <c r="L219" s="1103"/>
    </row>
    <row r="220" spans="1:13" ht="17.850000000000001" customHeight="1" x14ac:dyDescent="0.45">
      <c r="A220" s="1467" t="s">
        <v>489</v>
      </c>
      <c r="B220" s="1468"/>
      <c r="C220" s="1468"/>
      <c r="D220" s="1474"/>
      <c r="E220" s="828"/>
      <c r="F220" s="634"/>
      <c r="G220" s="1835" t="s">
        <v>695</v>
      </c>
      <c r="H220" s="1836"/>
      <c r="I220" s="880"/>
      <c r="J220" s="67"/>
      <c r="K220" s="68"/>
      <c r="L220" s="1103"/>
    </row>
    <row r="221" spans="1:13" ht="17.850000000000001" customHeight="1" x14ac:dyDescent="0.45">
      <c r="A221" s="1467" t="s">
        <v>490</v>
      </c>
      <c r="B221" s="1468"/>
      <c r="C221" s="1468"/>
      <c r="D221" s="1474"/>
      <c r="E221" s="828"/>
      <c r="F221" s="634"/>
      <c r="G221" s="1091" t="s">
        <v>696</v>
      </c>
      <c r="H221" s="1091" t="s">
        <v>697</v>
      </c>
      <c r="I221" s="880"/>
      <c r="J221" s="67"/>
      <c r="K221" s="68"/>
      <c r="L221" s="1103"/>
    </row>
    <row r="222" spans="1:13" ht="17.850000000000001" customHeight="1" x14ac:dyDescent="0.45">
      <c r="A222" s="1467" t="s">
        <v>518</v>
      </c>
      <c r="B222" s="1468"/>
      <c r="C222" s="1468"/>
      <c r="D222" s="1474"/>
      <c r="E222" s="828">
        <v>0.02</v>
      </c>
      <c r="F222" s="634"/>
      <c r="G222" s="1093"/>
      <c r="H222" s="1094"/>
      <c r="I222" s="880"/>
      <c r="J222" s="67"/>
      <c r="K222" s="68"/>
      <c r="L222" s="1103"/>
    </row>
    <row r="223" spans="1:13" ht="17.850000000000001" customHeight="1" x14ac:dyDescent="0.45">
      <c r="A223" s="1467" t="s">
        <v>491</v>
      </c>
      <c r="B223" s="1468"/>
      <c r="C223" s="1468"/>
      <c r="D223" s="1474"/>
      <c r="E223" s="828">
        <v>3.5499999999999997E-2</v>
      </c>
      <c r="F223" s="634"/>
      <c r="G223" s="795" t="s">
        <v>698</v>
      </c>
      <c r="H223" s="796">
        <f ca="1">H216*C159</f>
        <v>1293.2</v>
      </c>
      <c r="I223" s="880"/>
      <c r="J223" s="67"/>
      <c r="K223" s="68"/>
      <c r="L223" s="1103"/>
    </row>
    <row r="224" spans="1:13" ht="17.850000000000001" customHeight="1" x14ac:dyDescent="0.45">
      <c r="A224" s="1467" t="s">
        <v>492</v>
      </c>
      <c r="B224" s="1468"/>
      <c r="C224" s="1468"/>
      <c r="D224" s="1474"/>
      <c r="E224" s="828"/>
      <c r="F224" s="634"/>
      <c r="G224" s="1082">
        <f ca="1">G222/H223</f>
        <v>0</v>
      </c>
      <c r="H224" s="1082">
        <f ca="1">H222/H223</f>
        <v>0</v>
      </c>
      <c r="I224" s="880"/>
      <c r="J224" s="67"/>
      <c r="K224" s="68"/>
      <c r="L224" s="1103"/>
    </row>
    <row r="225" spans="1:13" ht="17.850000000000001" customHeight="1" x14ac:dyDescent="0.45">
      <c r="A225" s="1467"/>
      <c r="B225" s="1468"/>
      <c r="C225" s="1468"/>
      <c r="D225" s="1474"/>
      <c r="E225" s="828"/>
      <c r="F225" s="634"/>
      <c r="G225" s="792" t="s">
        <v>699</v>
      </c>
      <c r="H225" s="1092">
        <f ca="1">G53</f>
        <v>5.8299999999999998E-2</v>
      </c>
      <c r="I225" s="880"/>
      <c r="J225" s="67"/>
      <c r="K225" s="68"/>
      <c r="L225" s="1103"/>
    </row>
    <row r="226" spans="1:13" ht="17.850000000000001" customHeight="1" x14ac:dyDescent="0.45">
      <c r="A226" s="1467"/>
      <c r="B226" s="1468"/>
      <c r="C226" s="1468"/>
      <c r="D226" s="1474"/>
      <c r="E226" s="828"/>
      <c r="F226" s="634"/>
      <c r="G226" s="1837" t="s">
        <v>620</v>
      </c>
      <c r="H226" s="1838"/>
      <c r="I226" s="880"/>
      <c r="J226" s="67"/>
      <c r="K226" s="68"/>
      <c r="L226" s="1103"/>
    </row>
    <row r="227" spans="1:13" ht="17.850000000000001" customHeight="1" x14ac:dyDescent="0.45">
      <c r="A227" s="1467"/>
      <c r="B227" s="1468"/>
      <c r="C227" s="1468"/>
      <c r="D227" s="1474"/>
      <c r="E227" s="828"/>
      <c r="F227" s="767"/>
      <c r="G227" s="1087">
        <f ca="1">G224*(1+H225)</f>
        <v>0</v>
      </c>
      <c r="H227" s="1087">
        <f ca="1">H224*(1+H225)</f>
        <v>0</v>
      </c>
      <c r="I227" s="880"/>
      <c r="J227" s="67"/>
      <c r="K227" s="68"/>
      <c r="L227" s="1103"/>
    </row>
    <row r="228" spans="1:13" ht="17.850000000000001" customHeight="1" x14ac:dyDescent="0.45">
      <c r="A228" s="1848" t="s">
        <v>496</v>
      </c>
      <c r="B228" s="1849"/>
      <c r="C228" s="1849"/>
      <c r="D228" s="1849"/>
      <c r="E228" s="1850"/>
      <c r="F228" s="829"/>
      <c r="G228" s="1841" t="s">
        <v>637</v>
      </c>
      <c r="H228" s="1842"/>
      <c r="I228" s="880"/>
      <c r="J228" s="1696" t="str">
        <f ca="1">IF(AND(F228&gt;0,F229&gt;0),"Sowohl in der Summenzeile als auch in Detailzeilen sind Werte eingetragen.","")</f>
        <v/>
      </c>
      <c r="K228" s="1697"/>
      <c r="L228" s="1698"/>
    </row>
    <row r="229" spans="1:13" ht="17.850000000000001" customHeight="1" x14ac:dyDescent="0.45">
      <c r="A229" s="1814" t="s">
        <v>497</v>
      </c>
      <c r="B229" s="1815"/>
      <c r="C229" s="1815"/>
      <c r="D229" s="1815"/>
      <c r="E229" s="1816"/>
      <c r="F229" s="830">
        <f ca="1">SUM(E230:E238)</f>
        <v>8.14E-2</v>
      </c>
      <c r="G229" s="1841"/>
      <c r="H229" s="1842"/>
      <c r="I229" s="880"/>
      <c r="J229" s="1696"/>
      <c r="K229" s="1697"/>
      <c r="L229" s="1698"/>
    </row>
    <row r="230" spans="1:13" ht="17.850000000000001" customHeight="1" x14ac:dyDescent="0.45">
      <c r="A230" s="1467" t="s">
        <v>493</v>
      </c>
      <c r="B230" s="1468"/>
      <c r="C230" s="1468"/>
      <c r="D230" s="1474"/>
      <c r="E230" s="828"/>
      <c r="F230" s="799"/>
      <c r="G230" s="1839" t="s">
        <v>622</v>
      </c>
      <c r="H230" s="1840"/>
      <c r="I230" s="880"/>
      <c r="J230" s="67"/>
      <c r="K230" s="68"/>
      <c r="L230" s="1103"/>
    </row>
    <row r="231" spans="1:13" ht="17.850000000000001" customHeight="1" x14ac:dyDescent="0.45">
      <c r="A231" s="1467" t="s">
        <v>494</v>
      </c>
      <c r="B231" s="1468"/>
      <c r="C231" s="1468"/>
      <c r="D231" s="1474"/>
      <c r="E231" s="828"/>
      <c r="F231" s="634"/>
      <c r="G231" s="1090" t="s">
        <v>705</v>
      </c>
      <c r="H231" s="1090" t="s">
        <v>706</v>
      </c>
      <c r="I231" s="880"/>
      <c r="J231" s="67"/>
      <c r="K231" s="68"/>
      <c r="L231" s="1103"/>
    </row>
    <row r="232" spans="1:13" ht="17.850000000000001" customHeight="1" x14ac:dyDescent="0.45">
      <c r="A232" s="1467" t="s">
        <v>723</v>
      </c>
      <c r="B232" s="1468"/>
      <c r="C232" s="1468"/>
      <c r="D232" s="1474"/>
      <c r="E232" s="828"/>
      <c r="F232" s="634"/>
      <c r="G232" s="1095">
        <v>400</v>
      </c>
      <c r="H232" s="1096"/>
      <c r="I232" s="880"/>
      <c r="J232" s="67"/>
      <c r="K232" s="68"/>
      <c r="L232" s="1103"/>
    </row>
    <row r="233" spans="1:13" ht="17.850000000000001" customHeight="1" x14ac:dyDescent="0.45">
      <c r="A233" s="1467" t="s">
        <v>700</v>
      </c>
      <c r="B233" s="1468"/>
      <c r="C233" s="1468"/>
      <c r="D233" s="1474"/>
      <c r="E233" s="828"/>
      <c r="F233" s="634"/>
      <c r="G233" s="1085" t="s">
        <v>623</v>
      </c>
      <c r="H233" s="1086">
        <f ca="1">H223*F46</f>
        <v>4914</v>
      </c>
      <c r="I233" s="880"/>
      <c r="J233" s="67"/>
      <c r="K233" s="68"/>
      <c r="L233" s="1103"/>
    </row>
    <row r="234" spans="1:13" ht="17.850000000000001" customHeight="1" x14ac:dyDescent="0.45">
      <c r="A234" s="1467"/>
      <c r="B234" s="1468"/>
      <c r="C234" s="1468"/>
      <c r="D234" s="1474"/>
      <c r="E234" s="828"/>
      <c r="F234" s="634"/>
      <c r="G234" s="1837" t="s">
        <v>620</v>
      </c>
      <c r="H234" s="1838"/>
      <c r="I234" s="880"/>
      <c r="J234" s="67"/>
      <c r="K234" s="68"/>
      <c r="L234" s="1103"/>
    </row>
    <row r="235" spans="1:13" ht="17.850000000000001" customHeight="1" x14ac:dyDescent="0.45">
      <c r="A235" s="1083" t="s">
        <v>701</v>
      </c>
      <c r="B235" s="1468"/>
      <c r="C235" s="1468"/>
      <c r="D235" s="1474"/>
      <c r="E235" s="800">
        <f ca="1">G227</f>
        <v>0</v>
      </c>
      <c r="F235" s="634"/>
      <c r="G235" s="1088">
        <f ca="1">G232/H233</f>
        <v>8.14E-2</v>
      </c>
      <c r="H235" s="1089">
        <f ca="1">H232/H233</f>
        <v>0</v>
      </c>
      <c r="I235" s="884" t="str">
        <f ca="1">IF(E235&lt;&gt;0,"X","")</f>
        <v/>
      </c>
      <c r="J235" s="1097" t="str">
        <f ca="1">IF(AND(E235&gt;0,B235="")," Bezugstext für den %-Satz angeben!","")</f>
        <v/>
      </c>
      <c r="K235" s="68"/>
      <c r="L235" s="1103"/>
    </row>
    <row r="236" spans="1:13" ht="17.850000000000001" customHeight="1" x14ac:dyDescent="0.45">
      <c r="A236" s="1083" t="s">
        <v>702</v>
      </c>
      <c r="B236" s="1468"/>
      <c r="C236" s="1468"/>
      <c r="D236" s="1474"/>
      <c r="E236" s="800">
        <f ca="1">H227</f>
        <v>0</v>
      </c>
      <c r="F236" s="634"/>
      <c r="G236" s="1841" t="s">
        <v>638</v>
      </c>
      <c r="H236" s="1842"/>
      <c r="I236" s="884" t="str">
        <f t="shared" ref="I236:I238" ca="1" si="19">IF(E236&lt;&gt;0,"X","")</f>
        <v/>
      </c>
      <c r="J236" s="1097" t="str">
        <f t="shared" ref="J236:J238" ca="1" si="20">IF(AND(E236&gt;0,B236="")," Bezugstext für den %-Satz angeben!","")</f>
        <v/>
      </c>
      <c r="K236" s="68"/>
      <c r="L236" s="1111"/>
      <c r="M236" s="1112"/>
    </row>
    <row r="237" spans="1:13" ht="17.850000000000001" customHeight="1" x14ac:dyDescent="0.45">
      <c r="A237" s="1083" t="s">
        <v>703</v>
      </c>
      <c r="B237" s="1468" t="s">
        <v>722</v>
      </c>
      <c r="C237" s="1468"/>
      <c r="D237" s="1474"/>
      <c r="E237" s="800">
        <f ca="1">G235</f>
        <v>8.14E-2</v>
      </c>
      <c r="F237" s="634"/>
      <c r="G237" s="1841"/>
      <c r="H237" s="1842"/>
      <c r="I237" s="884" t="str">
        <f t="shared" ca="1" si="19"/>
        <v>X</v>
      </c>
      <c r="J237" s="1097" t="str">
        <f t="shared" ca="1" si="20"/>
        <v/>
      </c>
      <c r="K237" s="68"/>
      <c r="L237" s="1111"/>
      <c r="M237" s="1112"/>
    </row>
    <row r="238" spans="1:13" ht="17.850000000000001" customHeight="1" x14ac:dyDescent="0.45">
      <c r="A238" s="1083" t="s">
        <v>704</v>
      </c>
      <c r="B238" s="1468"/>
      <c r="C238" s="1468"/>
      <c r="D238" s="1474"/>
      <c r="E238" s="800">
        <f ca="1">H235</f>
        <v>0</v>
      </c>
      <c r="F238" s="767"/>
      <c r="G238" s="1843"/>
      <c r="H238" s="1844"/>
      <c r="I238" s="884" t="str">
        <f t="shared" ca="1" si="19"/>
        <v/>
      </c>
      <c r="J238" s="1097" t="str">
        <f t="shared" ca="1" si="20"/>
        <v/>
      </c>
      <c r="K238" s="68"/>
      <c r="L238" s="1113"/>
    </row>
    <row r="239" spans="1:13" ht="17.850000000000001" customHeight="1" x14ac:dyDescent="0.45">
      <c r="A239" s="1860" t="s">
        <v>227</v>
      </c>
      <c r="B239" s="1860"/>
      <c r="C239" s="1860"/>
      <c r="D239" s="1860"/>
      <c r="E239" s="1860"/>
      <c r="F239" s="831">
        <f ca="1">SUM(F217:F238)</f>
        <v>0.13689999999999999</v>
      </c>
      <c r="G239" s="797" t="s">
        <v>624</v>
      </c>
      <c r="H239" s="798">
        <f ca="1">F239*H216</f>
        <v>4.43</v>
      </c>
      <c r="I239" s="243"/>
      <c r="J239" s="67"/>
      <c r="K239" s="68"/>
      <c r="L239" s="620" t="str">
        <f ca="1">IFERROR(IF(F239&gt;0.15,"Personalgemeinkosten (F) in Höhe von "&amp;F239*100&amp;"% kann zu Nachfrage seitens des AG führen. ",""),"")</f>
        <v/>
      </c>
      <c r="M239" s="1100" t="s">
        <v>22</v>
      </c>
    </row>
    <row r="240" spans="1:13" ht="17.850000000000001" customHeight="1" x14ac:dyDescent="0.45">
      <c r="A240" s="352" t="s">
        <v>332</v>
      </c>
      <c r="B240" s="353">
        <f ca="1">' K3 PP'!$O$23</f>
        <v>12.76</v>
      </c>
      <c r="C240" s="352" t="s">
        <v>333</v>
      </c>
      <c r="D240" s="353">
        <f ca="1">' K3 PP'!$O$33</f>
        <v>32.33</v>
      </c>
      <c r="E240" s="354" t="s">
        <v>334</v>
      </c>
      <c r="F240" s="353">
        <f ca="1">' K3 PP'!$O$44</f>
        <v>45</v>
      </c>
      <c r="G240" s="352" t="s">
        <v>335</v>
      </c>
      <c r="H240" s="355">
        <f ca="1">' K3 PP'!$Q$45</f>
        <v>45</v>
      </c>
      <c r="I240" s="243"/>
      <c r="J240" s="67"/>
      <c r="K240" s="68"/>
      <c r="L240" s="1103"/>
    </row>
    <row r="241" spans="1:12" ht="17.850000000000001" customHeight="1" x14ac:dyDescent="0.45">
      <c r="A241" s="1464"/>
      <c r="B241" s="1465"/>
      <c r="C241" s="1465"/>
      <c r="D241" s="1465"/>
      <c r="E241" s="1465"/>
      <c r="F241" s="1465"/>
      <c r="G241" s="1465"/>
      <c r="H241" s="1465"/>
      <c r="I241" s="243"/>
      <c r="J241" s="67"/>
      <c r="K241" s="68"/>
      <c r="L241" s="1103"/>
    </row>
    <row r="242" spans="1:12" ht="17.850000000000001" customHeight="1" x14ac:dyDescent="0.45">
      <c r="A242" s="1487" t="s">
        <v>326</v>
      </c>
      <c r="B242" s="1488"/>
      <c r="C242" s="1488"/>
      <c r="D242" s="1488"/>
      <c r="E242" s="1488"/>
      <c r="F242" s="1488"/>
      <c r="G242" s="1488"/>
      <c r="H242" s="1488"/>
      <c r="I242" s="243"/>
      <c r="J242" s="67"/>
      <c r="K242" s="68"/>
      <c r="L242" s="1103"/>
    </row>
    <row r="243" spans="1:12" ht="17.850000000000001" customHeight="1" x14ac:dyDescent="0.45">
      <c r="A243" s="1374" t="s">
        <v>498</v>
      </c>
      <c r="B243" s="1375"/>
      <c r="C243" s="1375"/>
      <c r="D243" s="1375"/>
      <c r="E243" s="1466"/>
      <c r="F243" s="107" t="s">
        <v>113</v>
      </c>
      <c r="G243" s="107" t="s">
        <v>115</v>
      </c>
      <c r="H243" s="68"/>
      <c r="I243" s="243"/>
      <c r="J243" s="67"/>
      <c r="K243" s="68"/>
      <c r="L243" s="1103"/>
    </row>
    <row r="244" spans="1:12" ht="17.850000000000001" customHeight="1" x14ac:dyDescent="0.45">
      <c r="A244" s="1855" t="s">
        <v>356</v>
      </c>
      <c r="B244" s="1856"/>
      <c r="C244" s="1471"/>
      <c r="D244" s="1472"/>
      <c r="E244" s="1473"/>
      <c r="F244" s="143"/>
      <c r="G244" s="143"/>
      <c r="H244" s="68"/>
      <c r="I244" s="243"/>
      <c r="J244" s="67"/>
      <c r="K244" s="68"/>
      <c r="L244" s="1103"/>
    </row>
    <row r="245" spans="1:12" ht="17.850000000000001" customHeight="1" x14ac:dyDescent="0.45">
      <c r="A245" s="1550" t="s">
        <v>551</v>
      </c>
      <c r="B245" s="1551"/>
      <c r="C245" s="1551"/>
      <c r="D245" s="1861"/>
      <c r="E245" s="1862"/>
      <c r="F245" s="142"/>
      <c r="G245" s="142"/>
      <c r="H245" s="68"/>
      <c r="I245" s="243"/>
      <c r="J245" s="67"/>
      <c r="K245" s="68"/>
      <c r="L245" s="1103"/>
    </row>
    <row r="246" spans="1:12" ht="17.850000000000001" customHeight="1" x14ac:dyDescent="0.45">
      <c r="A246" s="1291" t="s">
        <v>552</v>
      </c>
      <c r="B246" s="1370"/>
      <c r="C246" s="1292"/>
      <c r="D246" s="1863"/>
      <c r="E246" s="1864"/>
      <c r="F246" s="79">
        <f>IFERROR(D245/D246,0)</f>
        <v>0</v>
      </c>
      <c r="G246" s="144"/>
      <c r="H246" s="68"/>
      <c r="I246" s="243"/>
      <c r="J246" s="67"/>
      <c r="K246" s="68"/>
      <c r="L246" s="1103"/>
    </row>
    <row r="247" spans="1:12" ht="17.850000000000001" customHeight="1" x14ac:dyDescent="0.45">
      <c r="A247" s="1374" t="s">
        <v>230</v>
      </c>
      <c r="B247" s="1375"/>
      <c r="C247" s="1375"/>
      <c r="D247" s="1375"/>
      <c r="E247" s="1466"/>
      <c r="F247" s="106"/>
      <c r="G247" s="326"/>
      <c r="H247" s="68"/>
      <c r="I247" s="243"/>
      <c r="J247" s="67"/>
      <c r="K247" s="68"/>
      <c r="L247" s="1103"/>
    </row>
    <row r="248" spans="1:12" ht="17.850000000000001" customHeight="1" x14ac:dyDescent="0.45">
      <c r="A248" s="1374" t="s">
        <v>125</v>
      </c>
      <c r="B248" s="1375"/>
      <c r="C248" s="1375"/>
      <c r="D248" s="1375"/>
      <c r="E248" s="1466"/>
      <c r="F248" s="328"/>
      <c r="G248" s="326"/>
      <c r="H248" s="68"/>
      <c r="I248" s="243"/>
      <c r="J248" s="67"/>
      <c r="K248" s="68"/>
      <c r="L248" s="1103"/>
    </row>
    <row r="249" spans="1:12" ht="17.850000000000001" customHeight="1" x14ac:dyDescent="0.45">
      <c r="A249" s="1467"/>
      <c r="B249" s="1468"/>
      <c r="C249" s="1468"/>
      <c r="D249" s="1468"/>
      <c r="E249" s="1468"/>
      <c r="F249" s="327"/>
      <c r="G249" s="326"/>
      <c r="H249" s="68"/>
      <c r="I249" s="243"/>
      <c r="J249" s="67"/>
      <c r="K249" s="68"/>
      <c r="L249" s="1103"/>
    </row>
    <row r="250" spans="1:12" ht="17.850000000000001" customHeight="1" x14ac:dyDescent="0.45">
      <c r="A250" s="1467"/>
      <c r="B250" s="1468"/>
      <c r="C250" s="1468"/>
      <c r="D250" s="1468"/>
      <c r="E250" s="1468"/>
      <c r="F250" s="327"/>
      <c r="G250" s="326"/>
      <c r="H250" s="70"/>
      <c r="I250" s="243"/>
      <c r="J250" s="67"/>
      <c r="K250" s="68"/>
      <c r="L250" s="1103"/>
    </row>
    <row r="251" spans="1:12" ht="17.850000000000001" customHeight="1" x14ac:dyDescent="0.45">
      <c r="A251" s="109"/>
      <c r="B251" s="418"/>
      <c r="C251" s="418"/>
      <c r="D251" s="418"/>
      <c r="E251" s="418"/>
      <c r="F251" s="630" t="str">
        <f>IF(AND(F250&gt;0,G250&gt;0),"NUR 1 Feld befüllen!","")</f>
        <v/>
      </c>
      <c r="G251" s="630"/>
      <c r="H251" s="68"/>
      <c r="I251" s="243"/>
      <c r="J251" s="67"/>
      <c r="K251" s="68"/>
      <c r="L251" s="1103"/>
    </row>
    <row r="252" spans="1:12" ht="17.850000000000001" customHeight="1" x14ac:dyDescent="0.45">
      <c r="A252" s="834" t="s">
        <v>553</v>
      </c>
      <c r="B252" s="835"/>
      <c r="C252" s="835"/>
      <c r="D252" s="835"/>
      <c r="E252" s="835"/>
      <c r="F252" s="836" t="s">
        <v>86</v>
      </c>
      <c r="G252" s="836" t="s">
        <v>115</v>
      </c>
      <c r="H252" s="89"/>
      <c r="I252" s="243"/>
      <c r="J252" s="67"/>
      <c r="K252" s="68"/>
      <c r="L252" s="1103"/>
    </row>
    <row r="253" spans="1:12" ht="17.850000000000001" customHeight="1" x14ac:dyDescent="0.45">
      <c r="A253" s="837" t="str">
        <f>IF(F246&gt;0.001,A244&amp;C244,"")</f>
        <v/>
      </c>
      <c r="B253" s="838"/>
      <c r="C253" s="838"/>
      <c r="D253" s="838"/>
      <c r="E253" s="838"/>
      <c r="F253" s="839" t="str">
        <f>IF(A253="","",F246)</f>
        <v/>
      </c>
      <c r="G253" s="840"/>
      <c r="H253" s="68"/>
      <c r="I253" s="243"/>
      <c r="J253" s="67"/>
      <c r="K253" s="68"/>
      <c r="L253" s="1103"/>
    </row>
    <row r="254" spans="1:12" ht="17.850000000000001" customHeight="1" x14ac:dyDescent="0.45">
      <c r="A254" s="841" t="str">
        <f>IF(G247&gt;0,A247,"")</f>
        <v/>
      </c>
      <c r="B254" s="838"/>
      <c r="C254" s="838"/>
      <c r="D254" s="838"/>
      <c r="E254" s="838"/>
      <c r="F254" s="839"/>
      <c r="G254" s="840" t="str">
        <f>IF(A254="","",G247)</f>
        <v/>
      </c>
      <c r="H254" s="68"/>
      <c r="I254" s="243"/>
      <c r="J254" s="67"/>
      <c r="K254" s="68"/>
      <c r="L254" s="1103"/>
    </row>
    <row r="255" spans="1:12" ht="17.850000000000001" customHeight="1" x14ac:dyDescent="0.45">
      <c r="A255" s="841" t="str">
        <f>IF(OR(F248&gt;0,G248&gt;0),A248,"")</f>
        <v/>
      </c>
      <c r="B255" s="838"/>
      <c r="C255" s="838"/>
      <c r="D255" s="838"/>
      <c r="E255" s="838"/>
      <c r="F255" s="839" t="str">
        <f>IF(A255="","",F248)</f>
        <v/>
      </c>
      <c r="G255" s="840" t="str">
        <f>IF(A255="","",G248)</f>
        <v/>
      </c>
      <c r="H255" s="68"/>
      <c r="I255" s="243"/>
      <c r="J255" s="67"/>
      <c r="K255" s="68"/>
      <c r="L255" s="1103"/>
    </row>
    <row r="256" spans="1:12" ht="17.850000000000001" customHeight="1" x14ac:dyDescent="0.45">
      <c r="A256" s="841" t="str">
        <f t="shared" ref="A256:A257" si="21">IF(OR(F249&gt;0,G249&gt;0),A249,"")</f>
        <v/>
      </c>
      <c r="B256" s="838"/>
      <c r="C256" s="838"/>
      <c r="D256" s="838"/>
      <c r="E256" s="838"/>
      <c r="F256" s="839" t="str">
        <f t="shared" ref="F256:F257" si="22">IF(A256="","",F249)</f>
        <v/>
      </c>
      <c r="G256" s="840" t="str">
        <f t="shared" ref="G256:G257" si="23">IF(A256="","",G249)</f>
        <v/>
      </c>
      <c r="H256" s="68"/>
      <c r="I256" s="243"/>
      <c r="J256" s="67"/>
      <c r="K256" s="68"/>
      <c r="L256" s="1103"/>
    </row>
    <row r="257" spans="1:13" ht="17.850000000000001" customHeight="1" x14ac:dyDescent="0.45">
      <c r="A257" s="841" t="str">
        <f t="shared" si="21"/>
        <v/>
      </c>
      <c r="B257" s="838"/>
      <c r="C257" s="838"/>
      <c r="D257" s="838"/>
      <c r="E257" s="838"/>
      <c r="F257" s="839" t="str">
        <f t="shared" si="22"/>
        <v/>
      </c>
      <c r="G257" s="840" t="str">
        <f t="shared" si="23"/>
        <v/>
      </c>
      <c r="H257" s="70"/>
      <c r="I257" s="243"/>
      <c r="J257" s="67"/>
      <c r="K257" s="68"/>
      <c r="L257" s="1103"/>
    </row>
    <row r="258" spans="1:13" ht="17.850000000000001" customHeight="1" x14ac:dyDescent="0.45">
      <c r="A258" s="1374" t="s">
        <v>350</v>
      </c>
      <c r="B258" s="1375"/>
      <c r="C258" s="1375"/>
      <c r="D258" s="1375"/>
      <c r="E258" s="1375"/>
      <c r="F258" s="1375"/>
      <c r="G258" s="1375"/>
      <c r="H258" s="1375"/>
      <c r="I258" s="243"/>
      <c r="J258" s="67"/>
      <c r="K258" s="68"/>
      <c r="L258" s="1103"/>
    </row>
    <row r="259" spans="1:13" ht="17.850000000000001" customHeight="1" x14ac:dyDescent="0.45">
      <c r="A259" s="115" t="s">
        <v>258</v>
      </c>
      <c r="B259" s="131"/>
      <c r="C259" s="131"/>
      <c r="D259" s="131"/>
      <c r="E259" s="131"/>
      <c r="F259" s="145" t="s">
        <v>86</v>
      </c>
      <c r="G259" s="145" t="s">
        <v>115</v>
      </c>
      <c r="H259" s="89"/>
      <c r="I259" s="243"/>
      <c r="J259" s="67"/>
      <c r="K259" s="68"/>
      <c r="L259" s="1103"/>
    </row>
    <row r="260" spans="1:13" ht="17.850000000000001" customHeight="1" x14ac:dyDescent="0.45">
      <c r="A260" s="1440" t="s">
        <v>129</v>
      </c>
      <c r="B260" s="1440"/>
      <c r="C260" s="1440"/>
      <c r="D260" s="1440"/>
      <c r="E260" s="1440"/>
      <c r="F260" s="75" t="str">
        <f t="shared" ref="F260:F261" si="24">IFERROR(VLOOKUP(A260,A$253:G$257,6,FALSE),"")</f>
        <v/>
      </c>
      <c r="G260" s="503">
        <f>IFERROR(VLOOKUP(A260,A$253:G$257,7,FALSE),"")</f>
        <v>0</v>
      </c>
      <c r="H260" s="68"/>
      <c r="I260" s="243"/>
      <c r="J260" s="1395" t="str">
        <f>IF((F246+F248+F249+F250+G247+G248+G249+G250)&lt;&gt;(F263+G263),"Nicht alle oben eingegebene Umlagen sind für Eintrag in K3 ausgewählt!","")</f>
        <v/>
      </c>
      <c r="K260" s="1396"/>
      <c r="L260" s="1103"/>
    </row>
    <row r="261" spans="1:13" ht="17.850000000000001" customHeight="1" x14ac:dyDescent="0.45">
      <c r="A261" s="1440"/>
      <c r="B261" s="1440"/>
      <c r="C261" s="1440"/>
      <c r="D261" s="1440"/>
      <c r="E261" s="1440"/>
      <c r="F261" s="75" t="str">
        <f t="shared" si="24"/>
        <v/>
      </c>
      <c r="G261" s="503" t="str">
        <f>IFERROR(VLOOKUP(A261,A$253:G$257,7,FALSE),"")</f>
        <v/>
      </c>
      <c r="H261" s="68"/>
      <c r="I261" s="243"/>
      <c r="J261" s="1395"/>
      <c r="K261" s="1396"/>
      <c r="L261" s="1103"/>
    </row>
    <row r="262" spans="1:13" ht="17.850000000000001" customHeight="1" thickBot="1" x14ac:dyDescent="0.5">
      <c r="A262" s="1429" t="s">
        <v>129</v>
      </c>
      <c r="B262" s="1429"/>
      <c r="C262" s="1429"/>
      <c r="D262" s="1429"/>
      <c r="E262" s="1429"/>
      <c r="F262" s="93" t="str">
        <f>IFERROR(VLOOKUP(A262,A$253:G$257,6,FALSE),"")</f>
        <v/>
      </c>
      <c r="G262" s="504">
        <f>IFERROR(VLOOKUP(A262,A$253:G$257,7,FALSE),"")</f>
        <v>0</v>
      </c>
      <c r="H262" s="68"/>
      <c r="I262" s="243"/>
      <c r="J262" s="1395"/>
      <c r="K262" s="1396"/>
      <c r="L262" s="1103"/>
    </row>
    <row r="263" spans="1:13" ht="17.850000000000001" customHeight="1" x14ac:dyDescent="0.45">
      <c r="A263" s="1291" t="s">
        <v>69</v>
      </c>
      <c r="B263" s="1370"/>
      <c r="C263" s="1370"/>
      <c r="D263" s="1370"/>
      <c r="E263" s="1292"/>
      <c r="F263" s="146">
        <f>SUM(F260:F262)</f>
        <v>0</v>
      </c>
      <c r="G263" s="409">
        <f>SUM(G260:G262)</f>
        <v>0</v>
      </c>
      <c r="H263" s="70"/>
      <c r="I263" s="243"/>
      <c r="J263" s="1395"/>
      <c r="K263" s="1396"/>
      <c r="L263" s="1103"/>
    </row>
    <row r="264" spans="1:13" ht="17.850000000000001" customHeight="1" x14ac:dyDescent="0.45">
      <c r="A264" s="1475"/>
      <c r="B264" s="1476"/>
      <c r="C264" s="1476"/>
      <c r="D264" s="1476"/>
      <c r="E264" s="1476"/>
      <c r="F264" s="1476"/>
      <c r="G264" s="1476"/>
      <c r="H264" s="1476"/>
      <c r="I264" s="243"/>
      <c r="J264" s="67"/>
      <c r="K264" s="68"/>
      <c r="L264" s="1103"/>
    </row>
    <row r="265" spans="1:13" ht="17.850000000000001" customHeight="1" x14ac:dyDescent="0.45">
      <c r="A265" s="930" t="s">
        <v>207</v>
      </c>
      <c r="B265" s="931"/>
      <c r="C265" s="931"/>
      <c r="D265" s="931"/>
      <c r="E265" s="931"/>
      <c r="F265" s="931"/>
      <c r="G265" s="1361" t="s">
        <v>640</v>
      </c>
      <c r="H265" s="1362"/>
      <c r="I265" s="243"/>
      <c r="J265" s="67"/>
      <c r="K265" s="68"/>
      <c r="L265" s="1103"/>
    </row>
    <row r="266" spans="1:13" ht="17.850000000000001" customHeight="1" x14ac:dyDescent="0.45">
      <c r="A266" s="1441" t="s">
        <v>328</v>
      </c>
      <c r="B266" s="1442"/>
      <c r="C266" s="1442"/>
      <c r="D266" s="1442"/>
      <c r="E266" s="1442"/>
      <c r="F266" s="1443"/>
      <c r="G266" s="606" t="s">
        <v>115</v>
      </c>
      <c r="H266" s="68"/>
      <c r="I266" s="243"/>
      <c r="J266" s="67"/>
      <c r="K266" s="68"/>
      <c r="L266" s="1103"/>
    </row>
    <row r="267" spans="1:13" ht="17.850000000000001" customHeight="1" x14ac:dyDescent="0.45">
      <c r="A267" s="106" t="s">
        <v>327</v>
      </c>
      <c r="B267" s="131"/>
      <c r="C267" s="131"/>
      <c r="D267" s="131"/>
      <c r="E267" s="1467" t="s">
        <v>591</v>
      </c>
      <c r="F267" s="1474"/>
      <c r="G267" s="800">
        <f>IFERROR(VLOOKUP(E267,'K2 GZ'!H$21:L$26,5,FALSE),"&lt;-- prüfen!")</f>
        <v>0.22411</v>
      </c>
      <c r="H267" s="631"/>
      <c r="I267" s="243"/>
      <c r="J267" s="67"/>
      <c r="K267" s="68"/>
      <c r="L267" s="620" t="str">
        <f>IFERROR(IF(OR(G267&lt;0.05,G267&gt;0.3),"Bitte prüfen Sie die Höhe des Gesamtzuschlages auf die Personalkosten (H). Er beträgt "&amp;G267*100&amp;"%! ",""),"")</f>
        <v/>
      </c>
      <c r="M267" s="1100" t="s">
        <v>22</v>
      </c>
    </row>
    <row r="268" spans="1:13" ht="17.850000000000001" customHeight="1" x14ac:dyDescent="0.45">
      <c r="A268" s="106" t="s">
        <v>375</v>
      </c>
      <c r="B268" s="131"/>
      <c r="C268" s="131"/>
      <c r="D268" s="131"/>
      <c r="E268" s="1467"/>
      <c r="F268" s="1474"/>
      <c r="G268" s="800" t="str">
        <f>IF(F263+G263&gt;0,(IFERROR(VLOOKUP(E268,'K2 GZ'!H$21:L$26,5,FALSE),"&gt;-- prüfen!")),"")</f>
        <v/>
      </c>
      <c r="H268" s="631"/>
      <c r="I268" s="243"/>
      <c r="J268" s="67"/>
      <c r="K268" s="68"/>
      <c r="L268" s="620" t="str">
        <f>IFERROR(IF(AND(F263+G263&gt;0,OR(G268&lt;0.05,G268&gt;0.3)),"Bitte prüfen Sie die Höhe des Gesamtzuschlages auf die Umlagen (H). Er beträgt "&amp;G268*100&amp;"%! ",""),"")</f>
        <v/>
      </c>
      <c r="M268" s="1100" t="s">
        <v>22</v>
      </c>
    </row>
    <row r="269" spans="1:13" ht="17.850000000000001" customHeight="1" x14ac:dyDescent="0.45">
      <c r="A269" s="506" t="s">
        <v>332</v>
      </c>
      <c r="B269" s="507">
        <f ca="1">' K3 PP'!$O$23</f>
        <v>12.76</v>
      </c>
      <c r="C269" s="506" t="s">
        <v>333</v>
      </c>
      <c r="D269" s="507">
        <f ca="1">' K3 PP'!$O$33</f>
        <v>32.33</v>
      </c>
      <c r="E269" s="508" t="s">
        <v>334</v>
      </c>
      <c r="F269" s="507">
        <f ca="1">' K3 PP'!$O$44</f>
        <v>45</v>
      </c>
      <c r="G269" s="506" t="s">
        <v>335</v>
      </c>
      <c r="H269" s="509">
        <f ca="1">' K3 PP'!$Q$45</f>
        <v>45</v>
      </c>
      <c r="I269" s="243"/>
      <c r="J269" s="67"/>
      <c r="K269" s="68"/>
      <c r="L269" s="1103"/>
    </row>
    <row r="270" spans="1:13" ht="17.850000000000001" customHeight="1" x14ac:dyDescent="0.45">
      <c r="A270" s="632"/>
      <c r="B270" s="511"/>
      <c r="C270" s="510"/>
      <c r="D270" s="511"/>
      <c r="E270" s="512"/>
      <c r="F270" s="511"/>
      <c r="G270" s="510"/>
      <c r="H270" s="511"/>
      <c r="I270" s="243"/>
      <c r="J270" s="67"/>
      <c r="K270" s="68"/>
      <c r="L270" s="1103"/>
    </row>
    <row r="271" spans="1:13" ht="17.850000000000001" customHeight="1" x14ac:dyDescent="0.45">
      <c r="A271" s="1477" t="s">
        <v>660</v>
      </c>
      <c r="B271" s="1478"/>
      <c r="C271" s="1478"/>
      <c r="D271" s="1478"/>
      <c r="E271" s="1478"/>
      <c r="F271" s="1478"/>
      <c r="G271" s="1478"/>
      <c r="H271" s="1478"/>
      <c r="I271" s="243"/>
      <c r="J271" s="67"/>
      <c r="K271" s="68"/>
      <c r="L271" s="1103"/>
    </row>
    <row r="272" spans="1:13" ht="17.850000000000001" customHeight="1" x14ac:dyDescent="0.45">
      <c r="A272" s="1002" t="s">
        <v>687</v>
      </c>
      <c r="B272" s="1003"/>
      <c r="C272" s="1003"/>
      <c r="D272" s="1003"/>
      <c r="E272" s="1003"/>
      <c r="F272" s="1013" t="s">
        <v>318</v>
      </c>
      <c r="G272" s="1444" t="str">
        <f ca="1">' K3 PP'!N45</f>
        <v>45,00 €/Std</v>
      </c>
      <c r="H272" s="1445"/>
      <c r="I272" s="243"/>
      <c r="J272" s="67"/>
      <c r="K272" s="68"/>
      <c r="L272" s="1103"/>
    </row>
    <row r="273" spans="1:15" ht="17.850000000000001" customHeight="1" x14ac:dyDescent="0.45">
      <c r="A273" s="1333" t="s">
        <v>688</v>
      </c>
      <c r="B273" s="1334"/>
      <c r="C273" s="1334"/>
      <c r="D273" s="1334"/>
      <c r="E273" s="1335"/>
      <c r="F273" s="1079" t="s">
        <v>317</v>
      </c>
      <c r="G273" s="1080"/>
      <c r="H273" s="1081"/>
      <c r="I273" s="243"/>
      <c r="J273" s="67"/>
      <c r="K273" s="68"/>
      <c r="L273" s="1103"/>
    </row>
    <row r="274" spans="1:15" ht="17.850000000000001" customHeight="1" x14ac:dyDescent="0.45">
      <c r="A274" s="1336" t="s">
        <v>689</v>
      </c>
      <c r="B274" s="1337"/>
      <c r="C274" s="1337"/>
      <c r="D274" s="557" t="s">
        <v>317</v>
      </c>
      <c r="E274" s="557" t="s">
        <v>318</v>
      </c>
      <c r="F274" s="1001" t="s">
        <v>376</v>
      </c>
      <c r="G274" s="1364" t="s">
        <v>626</v>
      </c>
      <c r="H274" s="1365"/>
      <c r="I274" s="243"/>
      <c r="J274" s="67"/>
      <c r="K274" s="68"/>
      <c r="L274" s="1103"/>
    </row>
    <row r="275" spans="1:15" s="68" customFormat="1" ht="17.850000000000001" customHeight="1" x14ac:dyDescent="0.45">
      <c r="A275" s="426" t="s">
        <v>371</v>
      </c>
      <c r="B275" s="518"/>
      <c r="C275" s="518"/>
      <c r="D275" s="519"/>
      <c r="E275" s="538">
        <f ca="1">' K3 PP'!O39</f>
        <v>36.76</v>
      </c>
      <c r="F275" s="542"/>
      <c r="G275" s="1364"/>
      <c r="H275" s="1365"/>
      <c r="I275" s="886"/>
      <c r="J275" s="67"/>
      <c r="L275" s="1103"/>
      <c r="M275" s="1104"/>
      <c r="N275" s="1104"/>
      <c r="O275" s="1105"/>
    </row>
    <row r="276" spans="1:15" s="68" customFormat="1" ht="17.850000000000001" customHeight="1" x14ac:dyDescent="0.45">
      <c r="A276" s="520" t="s">
        <v>372</v>
      </c>
      <c r="B276" s="521"/>
      <c r="C276" s="521"/>
      <c r="D276" s="522"/>
      <c r="E276" s="539">
        <f ca="1">' K3 PP'!Q40</f>
        <v>36.76</v>
      </c>
      <c r="F276" s="1014" t="s">
        <v>318</v>
      </c>
      <c r="G276" s="1364"/>
      <c r="H276" s="1365"/>
      <c r="I276" s="884" t="str">
        <f>IF(F276=D274,"X","")</f>
        <v/>
      </c>
      <c r="J276" s="67"/>
      <c r="L276" s="1103"/>
      <c r="M276" s="1104"/>
      <c r="N276" s="1104"/>
      <c r="O276" s="1105"/>
    </row>
    <row r="277" spans="1:15" s="68" customFormat="1" ht="17.850000000000001" customHeight="1" x14ac:dyDescent="0.45">
      <c r="A277" s="397" t="s">
        <v>373</v>
      </c>
      <c r="B277" s="523"/>
      <c r="C277" s="523"/>
      <c r="D277" s="524"/>
      <c r="E277" s="540">
        <f ca="1">' K3 PP'!O44</f>
        <v>45</v>
      </c>
      <c r="F277" s="542"/>
      <c r="G277" s="1364"/>
      <c r="H277" s="1365"/>
      <c r="I277" s="886"/>
      <c r="J277" s="67"/>
      <c r="L277" s="1103"/>
      <c r="M277" s="1104"/>
      <c r="N277" s="1104"/>
      <c r="O277" s="1105"/>
    </row>
    <row r="278" spans="1:15" s="68" customFormat="1" ht="17.850000000000001" customHeight="1" x14ac:dyDescent="0.45">
      <c r="A278" s="525" t="s">
        <v>374</v>
      </c>
      <c r="B278" s="526"/>
      <c r="C278" s="526"/>
      <c r="D278" s="527"/>
      <c r="E278" s="541">
        <f ca="1">' K3 PP'!Q45</f>
        <v>45</v>
      </c>
      <c r="F278" s="1015" t="s">
        <v>318</v>
      </c>
      <c r="G278" s="1366"/>
      <c r="H278" s="1367"/>
      <c r="I278" s="884" t="str">
        <f>IF(F278=D274,"X","")</f>
        <v/>
      </c>
      <c r="J278" s="172" t="s">
        <v>678</v>
      </c>
      <c r="K278" s="1035"/>
      <c r="L278" s="1114"/>
      <c r="M278" s="1104"/>
      <c r="N278" s="1104"/>
      <c r="O278" s="1105"/>
    </row>
    <row r="279" spans="1:15" s="68" customFormat="1" ht="17.850000000000001" customHeight="1" x14ac:dyDescent="0.45">
      <c r="A279" s="528" t="s">
        <v>332</v>
      </c>
      <c r="B279" s="529">
        <f ca="1">' K3 PP'!$O$23</f>
        <v>12.76</v>
      </c>
      <c r="C279" s="528" t="s">
        <v>333</v>
      </c>
      <c r="D279" s="529">
        <f ca="1">' K3 PP'!$O$33</f>
        <v>32.33</v>
      </c>
      <c r="E279" s="530" t="s">
        <v>334</v>
      </c>
      <c r="F279" s="529">
        <f ca="1">' K3 PP'!$O$44</f>
        <v>45</v>
      </c>
      <c r="G279" s="528" t="s">
        <v>335</v>
      </c>
      <c r="H279" s="531">
        <f ca="1">' K3 PP'!$Q$45</f>
        <v>45</v>
      </c>
      <c r="I279" s="887"/>
      <c r="J279" s="88" t="s">
        <v>674</v>
      </c>
      <c r="K279" s="89"/>
      <c r="L279" s="1115"/>
      <c r="M279" s="1104"/>
      <c r="N279" s="1104"/>
      <c r="O279" s="1105"/>
    </row>
    <row r="280" spans="1:15" s="68" customFormat="1" ht="17.850000000000001" customHeight="1" x14ac:dyDescent="0.45">
      <c r="A280" s="1469"/>
      <c r="B280" s="1470"/>
      <c r="C280" s="1470"/>
      <c r="D280" s="1470"/>
      <c r="E280" s="1470"/>
      <c r="F280" s="1470"/>
      <c r="G280" s="1470"/>
      <c r="H280" s="1470"/>
      <c r="I280" s="1470"/>
      <c r="J280" s="1033" t="s">
        <v>675</v>
      </c>
      <c r="L280" s="1116" t="str">
        <f ca="1">IFERROR(' K3 PP'!M39,"")</f>
        <v/>
      </c>
      <c r="M280" s="1104"/>
      <c r="N280" s="1104"/>
      <c r="O280" s="1105"/>
    </row>
    <row r="281" spans="1:15" s="68" customFormat="1" ht="17.850000000000001" customHeight="1" x14ac:dyDescent="0.45">
      <c r="A281" s="1438" t="s">
        <v>474</v>
      </c>
      <c r="B281" s="1439"/>
      <c r="C281" s="1439"/>
      <c r="D281" s="1439"/>
      <c r="E281" s="1439"/>
      <c r="F281" s="1439"/>
      <c r="G281" s="1439"/>
      <c r="H281" s="1439"/>
      <c r="I281" s="1439"/>
      <c r="J281" s="1033" t="s">
        <v>676</v>
      </c>
      <c r="L281" s="1036">
        <f ca="1">' K3 PP'!O39</f>
        <v>36.76</v>
      </c>
      <c r="M281" s="1104"/>
      <c r="N281" s="1104"/>
      <c r="O281" s="1105"/>
    </row>
    <row r="282" spans="1:15" s="68" customFormat="1" ht="17.850000000000001" customHeight="1" x14ac:dyDescent="0.45">
      <c r="A282" s="1388" t="s">
        <v>475</v>
      </c>
      <c r="B282" s="1389"/>
      <c r="C282" s="1389"/>
      <c r="D282" s="1389"/>
      <c r="E282" s="1389"/>
      <c r="F282" s="1389"/>
      <c r="G282" s="1389"/>
      <c r="H282" s="1389"/>
      <c r="I282" s="1389"/>
      <c r="J282" s="67" t="s">
        <v>120</v>
      </c>
      <c r="L282" s="1036"/>
      <c r="M282" s="1104"/>
      <c r="N282" s="1104"/>
      <c r="O282" s="1105"/>
    </row>
    <row r="283" spans="1:15" s="68" customFormat="1" ht="17.850000000000001" customHeight="1" x14ac:dyDescent="0.45">
      <c r="A283" s="1436"/>
      <c r="B283" s="1437"/>
      <c r="C283" s="1437"/>
      <c r="D283" s="1437"/>
      <c r="E283" s="1437"/>
      <c r="F283" s="1437"/>
      <c r="G283" s="1437"/>
      <c r="H283" s="1437"/>
      <c r="I283" s="1437"/>
      <c r="J283" s="1033" t="s">
        <v>675</v>
      </c>
      <c r="K283" s="1034" t="str">
        <f ca="1">IFERROR(' K3 PP'!I43,"")</f>
        <v/>
      </c>
      <c r="L283" s="1036" t="str">
        <f ca="1">IFERROR(K283*L280,"")</f>
        <v/>
      </c>
      <c r="M283" s="1104"/>
      <c r="N283" s="1104"/>
      <c r="O283" s="1105"/>
    </row>
    <row r="284" spans="1:15" s="68" customFormat="1" ht="17.850000000000001" customHeight="1" x14ac:dyDescent="0.45">
      <c r="A284" s="1390"/>
      <c r="B284" s="1391"/>
      <c r="C284" s="1391"/>
      <c r="D284" s="1391"/>
      <c r="E284" s="1391"/>
      <c r="F284" s="1391"/>
      <c r="G284" s="1391"/>
      <c r="H284" s="1391"/>
      <c r="I284" s="1391"/>
      <c r="J284" s="1033" t="s">
        <v>676</v>
      </c>
      <c r="K284" s="1034">
        <f>' K3 PP'!K43</f>
        <v>0.22411</v>
      </c>
      <c r="L284" s="1036">
        <f ca="1">K284*L281</f>
        <v>8.24</v>
      </c>
      <c r="M284" s="1104"/>
      <c r="N284" s="1104"/>
      <c r="O284" s="1105"/>
    </row>
    <row r="285" spans="1:15" s="68" customFormat="1" ht="17.850000000000001" customHeight="1" x14ac:dyDescent="0.45">
      <c r="A285" s="1430" t="s">
        <v>643</v>
      </c>
      <c r="B285" s="1431"/>
      <c r="C285" s="1431"/>
      <c r="D285" s="1431"/>
      <c r="E285" s="1431"/>
      <c r="F285" s="1431"/>
      <c r="G285" s="1431"/>
      <c r="H285" s="1431"/>
      <c r="I285" s="1431"/>
      <c r="J285" s="1037" t="s">
        <v>677</v>
      </c>
      <c r="K285" s="1038"/>
      <c r="L285" s="1039">
        <f ca="1">SUM(L280:L284)</f>
        <v>45</v>
      </c>
      <c r="M285" s="1104"/>
      <c r="N285" s="1104"/>
      <c r="O285" s="1105"/>
    </row>
    <row r="286" spans="1:15" s="68" customFormat="1" ht="17.850000000000001" customHeight="1" x14ac:dyDescent="0.45">
      <c r="A286" s="1432"/>
      <c r="B286" s="1433"/>
      <c r="C286" s="1433"/>
      <c r="D286" s="1433"/>
      <c r="E286" s="1433"/>
      <c r="F286" s="1433"/>
      <c r="G286" s="1433"/>
      <c r="H286" s="1433"/>
      <c r="I286" s="1433"/>
      <c r="J286" s="67"/>
      <c r="L286" s="1103"/>
      <c r="M286" s="1104"/>
      <c r="N286" s="1104"/>
      <c r="O286" s="1105"/>
    </row>
    <row r="287" spans="1:15" s="68" customFormat="1" ht="17.850000000000001" customHeight="1" x14ac:dyDescent="0.45">
      <c r="A287" s="1432"/>
      <c r="B287" s="1433"/>
      <c r="C287" s="1433"/>
      <c r="D287" s="1433"/>
      <c r="E287" s="1433"/>
      <c r="F287" s="1433"/>
      <c r="G287" s="1433"/>
      <c r="H287" s="1433"/>
      <c r="I287" s="1433"/>
      <c r="J287" s="67"/>
      <c r="L287" s="1103"/>
      <c r="M287" s="1104"/>
      <c r="N287" s="1104"/>
      <c r="O287" s="1105"/>
    </row>
    <row r="288" spans="1:15" s="68" customFormat="1" ht="17.850000000000001" customHeight="1" x14ac:dyDescent="0.45">
      <c r="A288" s="1432"/>
      <c r="B288" s="1433"/>
      <c r="C288" s="1433"/>
      <c r="D288" s="1433"/>
      <c r="E288" s="1433"/>
      <c r="F288" s="1433"/>
      <c r="G288" s="1433"/>
      <c r="H288" s="1433"/>
      <c r="I288" s="1433"/>
      <c r="J288" s="67"/>
      <c r="L288" s="1103"/>
      <c r="M288" s="1104"/>
      <c r="N288" s="1104"/>
      <c r="O288" s="1105"/>
    </row>
    <row r="289" spans="1:15" s="68" customFormat="1" ht="17.850000000000001" customHeight="1" x14ac:dyDescent="0.45">
      <c r="A289" s="1434"/>
      <c r="B289" s="1435"/>
      <c r="C289" s="1435"/>
      <c r="D289" s="1435"/>
      <c r="E289" s="1435"/>
      <c r="F289" s="1435"/>
      <c r="G289" s="1435"/>
      <c r="H289" s="1435"/>
      <c r="I289" s="1435"/>
      <c r="J289" s="67"/>
      <c r="L289" s="1103"/>
      <c r="M289" s="1104"/>
      <c r="N289" s="1104"/>
      <c r="O289" s="1105"/>
    </row>
    <row r="290" spans="1:15" ht="17.850000000000001" customHeight="1" x14ac:dyDescent="0.45">
      <c r="A290" s="1422" t="s">
        <v>473</v>
      </c>
      <c r="B290" s="1423"/>
      <c r="C290" s="1423"/>
      <c r="D290" s="1423"/>
      <c r="E290" s="1423"/>
      <c r="F290" s="1423"/>
      <c r="G290" s="1423"/>
      <c r="H290" s="1423"/>
      <c r="I290" s="888"/>
      <c r="J290" s="67"/>
      <c r="K290" s="68"/>
      <c r="L290" s="1103"/>
    </row>
    <row r="291" spans="1:15" ht="17.850000000000001" customHeight="1" x14ac:dyDescent="0.45">
      <c r="A291" s="1479" t="str">
        <f>A$12</f>
        <v xml:space="preserve">Bezeichnung (Produktionsfaktor-Nr.): </v>
      </c>
      <c r="B291" s="1480"/>
      <c r="C291" s="1481"/>
      <c r="D291" s="1436" t="s">
        <v>731</v>
      </c>
      <c r="E291" s="1437"/>
      <c r="F291" s="1437"/>
      <c r="G291" s="1437"/>
      <c r="H291" s="1437"/>
      <c r="I291" s="889"/>
      <c r="J291" s="67"/>
      <c r="K291" s="68"/>
      <c r="L291" s="1103"/>
    </row>
    <row r="292" spans="1:15" ht="17.850000000000001" customHeight="1" x14ac:dyDescent="0.45">
      <c r="A292" s="1385"/>
      <c r="B292" s="1386"/>
      <c r="C292" s="1387"/>
      <c r="D292" s="1390"/>
      <c r="E292" s="1391"/>
      <c r="F292" s="1391"/>
      <c r="G292" s="1391"/>
      <c r="H292" s="1391"/>
      <c r="I292" s="889"/>
      <c r="J292" s="67"/>
      <c r="K292" s="68"/>
      <c r="L292" s="1103"/>
    </row>
    <row r="293" spans="1:15" ht="17.850000000000001" customHeight="1" x14ac:dyDescent="0.45">
      <c r="A293" s="1338" t="s">
        <v>235</v>
      </c>
      <c r="B293" s="1338"/>
      <c r="C293" s="1338"/>
      <c r="D293" s="1338"/>
      <c r="E293" s="107" t="s">
        <v>23</v>
      </c>
      <c r="F293" s="107" t="s">
        <v>83</v>
      </c>
      <c r="G293" s="73" t="s">
        <v>89</v>
      </c>
      <c r="H293" s="176" t="s">
        <v>90</v>
      </c>
      <c r="I293" s="889"/>
      <c r="J293" s="67"/>
      <c r="K293" s="68"/>
      <c r="L293" s="1103"/>
    </row>
    <row r="294" spans="1:15" ht="17.850000000000001" customHeight="1" thickBot="1" x14ac:dyDescent="0.5">
      <c r="A294" s="1392" t="s">
        <v>716</v>
      </c>
      <c r="B294" s="1393"/>
      <c r="C294" s="1394"/>
      <c r="D294" s="79">
        <f ca="1">IFERROR(VLOOKUP(A294,Stammdaten!A$7:D$33,4,FALSE),"&lt;-- Prüfen!")</f>
        <v>13.35</v>
      </c>
      <c r="E294" s="120">
        <v>1</v>
      </c>
      <c r="F294" s="81">
        <v>1</v>
      </c>
      <c r="G294" s="93">
        <f ca="1">IFERROR(VLOOKUP(A294,Stammdaten!A$7:F$33,4,FALSE)*F294,"")</f>
        <v>13.35</v>
      </c>
      <c r="H294" s="177">
        <f ca="1">IFERROR(VLOOKUP(A294,Stammdaten!A$7:F$33,6,FALSE)*F294,"")</f>
        <v>1.34</v>
      </c>
      <c r="I294" s="889"/>
      <c r="J294" s="1395"/>
      <c r="K294" s="1396"/>
      <c r="L294" s="1373" t="str">
        <f ca="1">IF(AND(D294&gt;0,E294=0),"Anzahl / Anteil eingeben","")</f>
        <v/>
      </c>
      <c r="M294" s="1117"/>
    </row>
    <row r="295" spans="1:15" ht="17.850000000000001" customHeight="1" x14ac:dyDescent="0.45">
      <c r="A295" s="1379" t="s">
        <v>117</v>
      </c>
      <c r="B295" s="1380"/>
      <c r="C295" s="1380"/>
      <c r="D295" s="1381"/>
      <c r="E295" s="77">
        <f>SUM(E294:E294)</f>
        <v>1</v>
      </c>
      <c r="F295" s="78">
        <v>1</v>
      </c>
      <c r="G295" s="79">
        <f ca="1">IF(AND(_OK?="OK!",_OK_KV?="OK_KV!"),SUM(G294),ROUNDUP(G294,0))</f>
        <v>13.35</v>
      </c>
      <c r="H295" s="178">
        <f ca="1">SUM(H294:H294)</f>
        <v>1.34</v>
      </c>
      <c r="I295" s="890" t="str">
        <f ca="1">IF(OR(_OK?&lt;&gt;"OK!",_OK_KV?&lt;&gt;"OK_KV!"),"X","")</f>
        <v/>
      </c>
      <c r="J295" s="1395"/>
      <c r="K295" s="1396"/>
      <c r="L295" s="1373"/>
      <c r="M295" s="1117"/>
    </row>
    <row r="296" spans="1:15" ht="17.850000000000001" customHeight="1" x14ac:dyDescent="0.45">
      <c r="A296" s="1374" t="s">
        <v>336</v>
      </c>
      <c r="B296" s="1375"/>
      <c r="C296" s="1375"/>
      <c r="D296" s="1375"/>
      <c r="E296" s="1375"/>
      <c r="F296" s="1375"/>
      <c r="G296" s="1375"/>
      <c r="H296" s="1375"/>
      <c r="I296" s="889"/>
      <c r="J296" s="855"/>
      <c r="K296" s="856"/>
      <c r="L296" s="1103"/>
    </row>
    <row r="297" spans="1:15" ht="17.850000000000001" customHeight="1" thickBot="1" x14ac:dyDescent="0.5">
      <c r="A297" s="1392"/>
      <c r="B297" s="1393"/>
      <c r="C297" s="1394"/>
      <c r="D297" s="93">
        <f ca="1">IFERROR(VLOOKUP(A297,Stammdaten!A$7:D$33,4,FALSE),"&lt;-- Prüfen!")</f>
        <v>0</v>
      </c>
      <c r="E297" s="329"/>
      <c r="F297" s="81" t="str">
        <f>IF(A297&lt;&gt;"",E297/E298,"")</f>
        <v/>
      </c>
      <c r="G297" s="93" t="str">
        <f ca="1">IFERROR(VLOOKUP(A297,Stammdaten!A$7:F$33,4,FALSE)*F297,"")</f>
        <v/>
      </c>
      <c r="H297" s="93" t="str">
        <f ca="1">IFERROR(VLOOKUP(A297,Stammdaten!A$7:F$33,6,FALSE)*F297,"")</f>
        <v/>
      </c>
      <c r="I297" s="889"/>
      <c r="J297" s="1395" t="str">
        <f>IF(AND(E297&gt;0,A297=""),"Beschäftigungsgruppe auswählen oder Anzahl = 0 oder löschen!","")</f>
        <v/>
      </c>
      <c r="K297" s="1396"/>
      <c r="L297" s="1373" t="str">
        <f ca="1">IF(AND(D297&gt;0,E297=0),"Anzahl / Anteil eingeben","")</f>
        <v/>
      </c>
    </row>
    <row r="298" spans="1:15" ht="17.850000000000001" customHeight="1" x14ac:dyDescent="0.45">
      <c r="A298" s="601" t="s">
        <v>117</v>
      </c>
      <c r="B298" s="602"/>
      <c r="C298" s="602"/>
      <c r="D298" s="603"/>
      <c r="E298" s="121">
        <f>SUM(E297:E297)</f>
        <v>0</v>
      </c>
      <c r="F298" s="78">
        <f>SUM(F297:F297)</f>
        <v>0</v>
      </c>
      <c r="G298" s="79">
        <f ca="1">SUM(G297:G297)</f>
        <v>0</v>
      </c>
      <c r="H298" s="178">
        <f ca="1">SUM(H297:H297)</f>
        <v>0</v>
      </c>
      <c r="I298" s="889"/>
      <c r="J298" s="1395"/>
      <c r="K298" s="1396"/>
      <c r="L298" s="1373"/>
    </row>
    <row r="299" spans="1:15" ht="17.850000000000001" customHeight="1" x14ac:dyDescent="0.45">
      <c r="A299" s="109"/>
      <c r="B299" s="102"/>
      <c r="C299" s="102"/>
      <c r="D299" s="102"/>
      <c r="E299" s="102"/>
      <c r="F299" s="102"/>
      <c r="G299" s="418"/>
      <c r="H299" s="418"/>
      <c r="I299" s="891"/>
      <c r="J299" s="67"/>
      <c r="K299" s="68"/>
      <c r="L299" s="1103"/>
    </row>
    <row r="300" spans="1:15" ht="17.850000000000001" customHeight="1" x14ac:dyDescent="0.45">
      <c r="A300" s="1267" t="s">
        <v>208</v>
      </c>
      <c r="B300" s="1268"/>
      <c r="C300" s="1268"/>
      <c r="D300" s="1268"/>
      <c r="E300" s="1268"/>
      <c r="F300" s="1268"/>
      <c r="G300" s="1268"/>
      <c r="H300" s="363">
        <v>0</v>
      </c>
      <c r="I300" s="889"/>
      <c r="J300" s="1339" t="str">
        <f>IF(ISBLANK(H300),"Kennzeichen eingeben!","")</f>
        <v/>
      </c>
      <c r="K300" s="1340"/>
      <c r="L300" s="1103"/>
    </row>
    <row r="301" spans="1:15" ht="17.850000000000001" customHeight="1" thickBot="1" x14ac:dyDescent="0.5">
      <c r="A301" s="1427" t="s">
        <v>554</v>
      </c>
      <c r="B301" s="1428"/>
      <c r="C301" s="1428"/>
      <c r="D301" s="1428"/>
      <c r="E301" s="659" t="s">
        <v>96</v>
      </c>
      <c r="F301" s="149">
        <f>IF(H300=1,E295,E295-E298)</f>
        <v>1</v>
      </c>
      <c r="G301" s="660" t="s">
        <v>97</v>
      </c>
      <c r="H301" s="179">
        <f>E298</f>
        <v>0</v>
      </c>
      <c r="I301" s="889"/>
      <c r="J301" s="67"/>
      <c r="K301" s="68"/>
      <c r="L301" s="1103"/>
    </row>
    <row r="302" spans="1:15" ht="17.850000000000001" customHeight="1" thickBot="1" x14ac:dyDescent="0.5">
      <c r="A302" s="72"/>
      <c r="B302" s="107"/>
      <c r="C302" s="597"/>
      <c r="D302" s="107" t="s">
        <v>89</v>
      </c>
      <c r="E302" s="597" t="s">
        <v>90</v>
      </c>
      <c r="F302" s="480" t="s">
        <v>171</v>
      </c>
      <c r="G302" s="476" t="s">
        <v>108</v>
      </c>
      <c r="H302" s="477" t="s">
        <v>90</v>
      </c>
      <c r="I302" s="892"/>
      <c r="J302" s="67"/>
      <c r="K302" s="68"/>
      <c r="L302" s="1103"/>
    </row>
    <row r="303" spans="1:15" ht="17.850000000000001" customHeight="1" x14ac:dyDescent="0.45">
      <c r="A303" s="72" t="s">
        <v>92</v>
      </c>
      <c r="B303" s="107"/>
      <c r="C303" s="597"/>
      <c r="D303" s="122">
        <f ca="1">G295*F301</f>
        <v>13.35</v>
      </c>
      <c r="E303" s="147">
        <f ca="1">F301*H295</f>
        <v>1.34</v>
      </c>
      <c r="F303" s="474" t="s">
        <v>72</v>
      </c>
      <c r="G303" s="79">
        <f ca="1">D303</f>
        <v>13.35</v>
      </c>
      <c r="H303" s="475">
        <f ca="1">D305</f>
        <v>13.35</v>
      </c>
      <c r="I303" s="892"/>
      <c r="J303" s="67"/>
      <c r="K303" s="68"/>
      <c r="L303" s="1103"/>
    </row>
    <row r="304" spans="1:15" ht="17.850000000000001" customHeight="1" thickBot="1" x14ac:dyDescent="0.5">
      <c r="A304" s="125" t="s">
        <v>93</v>
      </c>
      <c r="B304" s="126"/>
      <c r="C304" s="127"/>
      <c r="D304" s="128">
        <f ca="1">H301*G298</f>
        <v>0</v>
      </c>
      <c r="E304" s="148">
        <f ca="1">H301*H298</f>
        <v>0</v>
      </c>
      <c r="F304" s="467" t="s">
        <v>364</v>
      </c>
      <c r="G304" s="93">
        <f ca="1">D304</f>
        <v>0</v>
      </c>
      <c r="H304" s="468">
        <f ca="1">E305</f>
        <v>1.34</v>
      </c>
      <c r="I304" s="892"/>
      <c r="J304" s="67"/>
      <c r="K304" s="68"/>
      <c r="L304" s="1103"/>
    </row>
    <row r="305" spans="1:15" ht="17.850000000000001" customHeight="1" thickBot="1" x14ac:dyDescent="0.5">
      <c r="A305" s="201"/>
      <c r="B305" s="197"/>
      <c r="C305" s="202" t="s">
        <v>68</v>
      </c>
      <c r="D305" s="203">
        <f ca="1">SUM(D303:D304)</f>
        <v>13.35</v>
      </c>
      <c r="E305" s="204">
        <f ca="1">SUM(E303:E304)</f>
        <v>1.34</v>
      </c>
      <c r="F305" s="471" t="s">
        <v>109</v>
      </c>
      <c r="G305" s="472">
        <f ca="1">G304/G303</f>
        <v>0</v>
      </c>
      <c r="H305" s="473">
        <f ca="1">H304/H303</f>
        <v>0.1004</v>
      </c>
      <c r="I305" s="892"/>
      <c r="J305" s="67"/>
      <c r="K305" s="68"/>
      <c r="L305" s="1103"/>
    </row>
    <row r="306" spans="1:15" ht="17.850000000000001" customHeight="1" thickBot="1" x14ac:dyDescent="0.5">
      <c r="A306" s="172"/>
      <c r="B306" s="195"/>
      <c r="C306" s="195" t="s">
        <v>499</v>
      </c>
      <c r="D306" s="205">
        <f ca="1">H$55</f>
        <v>0.1004</v>
      </c>
      <c r="E306" s="1397" t="s">
        <v>232</v>
      </c>
      <c r="F306" s="1463"/>
      <c r="G306" s="298"/>
      <c r="H306" s="370"/>
      <c r="I306" s="890" t="str">
        <f>IF(OR(G306&lt;&gt;0,H306&lt;&gt;0),"X","")</f>
        <v/>
      </c>
      <c r="J306" s="67"/>
      <c r="K306" s="68"/>
      <c r="L306" s="1103"/>
    </row>
    <row r="307" spans="1:15" ht="17.850000000000001" customHeight="1" x14ac:dyDescent="0.45">
      <c r="A307" s="201"/>
      <c r="B307" s="197"/>
      <c r="C307" s="102"/>
      <c r="D307" s="199"/>
      <c r="E307" s="1398" t="s">
        <v>233</v>
      </c>
      <c r="F307" s="1398"/>
      <c r="G307" s="198">
        <f ca="1">G305+G306</f>
        <v>0</v>
      </c>
      <c r="H307" s="365">
        <f ca="1">H305+H306</f>
        <v>0.1004</v>
      </c>
      <c r="I307" s="889"/>
      <c r="J307" s="67"/>
      <c r="K307" s="68"/>
      <c r="L307" s="1103"/>
    </row>
    <row r="308" spans="1:15" ht="17.850000000000001" customHeight="1" x14ac:dyDescent="0.45">
      <c r="A308" s="129"/>
      <c r="B308" s="159"/>
      <c r="C308" s="605"/>
      <c r="D308" s="196"/>
      <c r="E308" s="140"/>
      <c r="F308" s="140"/>
      <c r="G308" s="200" t="s">
        <v>176</v>
      </c>
      <c r="H308" s="366" t="s">
        <v>177</v>
      </c>
      <c r="I308" s="889"/>
      <c r="J308" s="67"/>
      <c r="K308" s="68"/>
      <c r="L308" s="1103"/>
    </row>
    <row r="309" spans="1:15" ht="17.850000000000001" customHeight="1" x14ac:dyDescent="0.45">
      <c r="A309" s="356" t="s">
        <v>130</v>
      </c>
      <c r="B309" s="357"/>
      <c r="C309" s="357"/>
      <c r="D309" s="1853" t="str">
        <f>IF(A294=0,"Beschäftigungsgruppe wählen!",A294)</f>
        <v>Facharbeiter mit LAB (&gt;3.J)</v>
      </c>
      <c r="E309" s="1853"/>
      <c r="F309" s="1853"/>
      <c r="G309" s="1854"/>
      <c r="H309" s="358">
        <f ca="1">' K3 Regie1'!N45</f>
        <v>44.55</v>
      </c>
      <c r="I309" s="889"/>
      <c r="J309" s="67"/>
      <c r="K309" s="68"/>
      <c r="L309" s="1103"/>
    </row>
    <row r="310" spans="1:15" ht="17.850000000000001" customHeight="1" x14ac:dyDescent="0.45">
      <c r="A310" s="1464"/>
      <c r="B310" s="1465"/>
      <c r="C310" s="1465"/>
      <c r="D310" s="1465"/>
      <c r="E310" s="1465"/>
      <c r="F310" s="1465"/>
      <c r="G310" s="1465"/>
      <c r="H310" s="1465"/>
      <c r="I310" s="889"/>
      <c r="J310" s="67"/>
      <c r="K310" s="68"/>
      <c r="L310" s="1103"/>
    </row>
    <row r="311" spans="1:15" s="130" customFormat="1" ht="17.850000000000001" customHeight="1" x14ac:dyDescent="0.45">
      <c r="A311" s="1454" t="s">
        <v>236</v>
      </c>
      <c r="B311" s="1455"/>
      <c r="C311" s="1455"/>
      <c r="D311" s="1456"/>
      <c r="E311" s="1419" t="s">
        <v>162</v>
      </c>
      <c r="F311" s="1419" t="s">
        <v>228</v>
      </c>
      <c r="G311" s="1419" t="s">
        <v>231</v>
      </c>
      <c r="H311" s="1419" t="s">
        <v>163</v>
      </c>
      <c r="I311" s="893"/>
      <c r="J311" s="347"/>
      <c r="K311" s="346"/>
      <c r="L311" s="1118"/>
      <c r="M311" s="1119"/>
      <c r="N311" s="1119"/>
      <c r="O311" s="1120"/>
    </row>
    <row r="312" spans="1:15" s="130" customFormat="1" ht="17.850000000000001" customHeight="1" x14ac:dyDescent="0.45">
      <c r="A312" s="1457"/>
      <c r="B312" s="1458"/>
      <c r="C312" s="1458"/>
      <c r="D312" s="1459"/>
      <c r="E312" s="1420"/>
      <c r="F312" s="1420"/>
      <c r="G312" s="1420"/>
      <c r="H312" s="1420"/>
      <c r="I312" s="893"/>
      <c r="J312" s="347"/>
      <c r="K312" s="346"/>
      <c r="L312" s="1118"/>
      <c r="M312" s="1119"/>
      <c r="N312" s="1119"/>
      <c r="O312" s="1120"/>
    </row>
    <row r="313" spans="1:15" ht="17.850000000000001" customHeight="1" thickBot="1" x14ac:dyDescent="0.5">
      <c r="A313" s="1460"/>
      <c r="B313" s="1461"/>
      <c r="C313" s="1461"/>
      <c r="D313" s="1462"/>
      <c r="E313" s="1424"/>
      <c r="F313" s="1424"/>
      <c r="G313" s="1424"/>
      <c r="H313" s="1424"/>
      <c r="I313" s="889"/>
      <c r="J313" s="67"/>
      <c r="K313" s="68"/>
      <c r="L313" s="1103"/>
    </row>
    <row r="314" spans="1:15" ht="17.850000000000001" customHeight="1" thickBot="1" x14ac:dyDescent="0.5">
      <c r="A314" s="1847" t="s">
        <v>339</v>
      </c>
      <c r="B314" s="1847"/>
      <c r="C314" s="1847"/>
      <c r="D314" s="1847"/>
      <c r="E314" s="453">
        <v>0</v>
      </c>
      <c r="F314" s="454"/>
      <c r="G314" s="455"/>
      <c r="H314" s="456">
        <f>IF(ISBLANK(G314),E314,G314)</f>
        <v>0</v>
      </c>
      <c r="I314" s="890" t="str">
        <f>IF(G314&lt;&gt;0,"X","")</f>
        <v/>
      </c>
      <c r="J314" s="67"/>
      <c r="K314" s="68"/>
      <c r="L314" s="1103"/>
    </row>
    <row r="315" spans="1:15" ht="17.850000000000001" customHeight="1" x14ac:dyDescent="0.45">
      <c r="A315" s="1845" t="s">
        <v>159</v>
      </c>
      <c r="B315" s="1846"/>
      <c r="C315" s="1846"/>
      <c r="D315" s="1846"/>
      <c r="E315" s="457">
        <v>1</v>
      </c>
      <c r="F315" s="458"/>
      <c r="G315" s="459"/>
      <c r="H315" s="460">
        <f t="shared" ref="H315" si="25">IF(F315=1,G315,E315)</f>
        <v>1</v>
      </c>
      <c r="I315" s="894"/>
      <c r="J315" s="67"/>
      <c r="K315" s="68"/>
      <c r="L315" s="1103"/>
    </row>
    <row r="316" spans="1:15" ht="17.850000000000001" customHeight="1" x14ac:dyDescent="0.45">
      <c r="A316" s="1404" t="s">
        <v>500</v>
      </c>
      <c r="B316" s="1405"/>
      <c r="C316" s="1405"/>
      <c r="D316" s="1406"/>
      <c r="E316" s="426"/>
      <c r="F316" s="363">
        <v>0</v>
      </c>
      <c r="G316" s="434"/>
      <c r="H316" s="461"/>
      <c r="I316" s="895" t="str">
        <f>IF(F316&lt;&gt;0,"X","")</f>
        <v/>
      </c>
      <c r="J316" s="1339" t="str">
        <f>IF(F316+F320+F324&gt;1,"Zusätzlich mit Verrechnungsstd.?","")</f>
        <v/>
      </c>
      <c r="K316" s="1340"/>
      <c r="L316" s="1103"/>
    </row>
    <row r="317" spans="1:15" ht="17.850000000000001" customHeight="1" x14ac:dyDescent="0.45">
      <c r="A317" s="397" t="s">
        <v>128</v>
      </c>
      <c r="B317" s="1407"/>
      <c r="C317" s="1407"/>
      <c r="D317" s="1407"/>
      <c r="E317" s="398">
        <f ca="1">IFERROR(VLOOKUP(B317,Stammdaten!A$39:C$48,3,FALSE),"")</f>
        <v>0</v>
      </c>
      <c r="F317" s="430"/>
      <c r="G317" s="436"/>
      <c r="H317" s="462"/>
      <c r="I317" s="894"/>
      <c r="J317" s="1339" t="str">
        <f ca="1">IF(AND(F316=1,E317=0),"Arbeitszeitzuschlag auswählen!","")</f>
        <v/>
      </c>
      <c r="K317" s="1340"/>
      <c r="L317" s="1103"/>
    </row>
    <row r="318" spans="1:15" ht="17.850000000000001" customHeight="1" x14ac:dyDescent="0.45">
      <c r="A318" s="1408" t="s">
        <v>211</v>
      </c>
      <c r="B318" s="1409"/>
      <c r="C318" s="1409"/>
      <c r="D318" s="1409"/>
      <c r="E318" s="399">
        <f ca="1">IFERROR(IF(VLOOKUP(B317,Stammdaten!A$39:C$48,2,FALSE)=0,1,(VLOOKUP(B317,Stammdaten!A$39:C$48,2,FALSE))),"")</f>
        <v>1</v>
      </c>
      <c r="F318" s="430"/>
      <c r="G318" s="435"/>
      <c r="H318" s="463"/>
      <c r="I318" s="894"/>
      <c r="J318" s="67"/>
      <c r="K318" s="68"/>
      <c r="L318" s="1103"/>
    </row>
    <row r="319" spans="1:15" ht="17.850000000000001" customHeight="1" x14ac:dyDescent="0.45">
      <c r="A319" s="1410" t="s">
        <v>503</v>
      </c>
      <c r="B319" s="1411"/>
      <c r="C319" s="1411"/>
      <c r="D319" s="1412"/>
      <c r="E319" s="429"/>
      <c r="F319" s="554"/>
      <c r="G319" s="437" t="str">
        <f>IF(F319=1,1,IF(F319=2,((' K3 Regie1'!O$23+' K3 Regie1'!O$24)/' K3 Regie1'!O$23),IF(F319&gt;2,((' K3 Regie1'!O$23+' K3 Regie1'!O$24+' K3 Regie1'!O$25)/' K3 Regie1'!O$23),"")))</f>
        <v/>
      </c>
      <c r="H319" s="462">
        <f>IF(F316*F319&gt;0,(E317*E318*G319),0)</f>
        <v>0</v>
      </c>
      <c r="I319" s="894"/>
      <c r="J319" s="1339" t="str">
        <f>IF(AND(ISBLANK(F319),F316=1),"Kennzeichen setzen!","")</f>
        <v/>
      </c>
      <c r="K319" s="1340"/>
      <c r="L319" s="1877"/>
    </row>
    <row r="320" spans="1:15" ht="17.850000000000001" customHeight="1" x14ac:dyDescent="0.45">
      <c r="A320" s="1404" t="s">
        <v>501</v>
      </c>
      <c r="B320" s="1405"/>
      <c r="C320" s="1405"/>
      <c r="D320" s="1406"/>
      <c r="E320" s="426"/>
      <c r="F320" s="363">
        <v>0</v>
      </c>
      <c r="G320" s="434"/>
      <c r="H320" s="461"/>
      <c r="I320" s="895" t="str">
        <f>IF(F320&lt;&gt;0,"X","")</f>
        <v/>
      </c>
      <c r="J320" s="1339"/>
      <c r="K320" s="1340"/>
      <c r="L320" s="1877"/>
    </row>
    <row r="321" spans="1:12" ht="17.850000000000001" customHeight="1" x14ac:dyDescent="0.45">
      <c r="A321" s="397" t="s">
        <v>352</v>
      </c>
      <c r="B321" s="1407"/>
      <c r="C321" s="1407"/>
      <c r="D321" s="1407"/>
      <c r="E321" s="398">
        <f ca="1">IFERROR(VLOOKUP(B321,Stammdaten!A$50:C$54,3,FALSE),"")</f>
        <v>0</v>
      </c>
      <c r="F321" s="430"/>
      <c r="G321" s="436"/>
      <c r="H321" s="462"/>
      <c r="I321" s="894"/>
      <c r="J321" s="852"/>
      <c r="K321" s="853"/>
      <c r="L321" s="1103"/>
    </row>
    <row r="322" spans="1:12" ht="17.850000000000001" customHeight="1" x14ac:dyDescent="0.45">
      <c r="A322" s="1408" t="s">
        <v>353</v>
      </c>
      <c r="B322" s="1409"/>
      <c r="C322" s="1409"/>
      <c r="D322" s="1409"/>
      <c r="E322" s="399">
        <f ca="1">IFERROR(IF(VLOOKUP(B321,Stammdaten!A$50:C$54,2,FALSE)=0,1,(VLOOKUP(B321,Stammdaten!A$50:C$54,2,FALSE))),"")</f>
        <v>1</v>
      </c>
      <c r="F322" s="430"/>
      <c r="G322" s="435"/>
      <c r="H322" s="463"/>
      <c r="I322" s="894"/>
      <c r="J322" s="852"/>
      <c r="K322" s="853"/>
      <c r="L322" s="1103"/>
    </row>
    <row r="323" spans="1:12" ht="17.850000000000001" customHeight="1" x14ac:dyDescent="0.45">
      <c r="A323" s="1410" t="s">
        <v>503</v>
      </c>
      <c r="B323" s="1411"/>
      <c r="C323" s="1411"/>
      <c r="D323" s="1412"/>
      <c r="E323" s="429"/>
      <c r="F323" s="554"/>
      <c r="G323" s="437" t="str">
        <f>IF(F323=1,1,IF(F323=2,((' K3 Regie1'!O$23+' K3 Regie1'!O$24)/' K3 Regie1'!O$23),IF(F323&gt;2,((' K3 Regie1'!O$23+' K3 Regie1'!O$24+' K3 Regie1'!O$25)/' K3 Regie1'!O$23),"")))</f>
        <v/>
      </c>
      <c r="H323" s="462">
        <f>IF(F320*F323&gt;0,(E321*E322*G323),0)</f>
        <v>0</v>
      </c>
      <c r="I323" s="894"/>
      <c r="J323" s="1339" t="str">
        <f>IF(AND(ISBLANK(F323),F320=1),"Kennzeichen setzen!","")</f>
        <v/>
      </c>
      <c r="K323" s="1340"/>
      <c r="L323" s="1877"/>
    </row>
    <row r="324" spans="1:12" ht="17.850000000000001" customHeight="1" x14ac:dyDescent="0.45">
      <c r="A324" s="1404" t="s">
        <v>502</v>
      </c>
      <c r="B324" s="1405"/>
      <c r="C324" s="1405"/>
      <c r="D324" s="1406"/>
      <c r="E324" s="426"/>
      <c r="F324" s="194">
        <v>0</v>
      </c>
      <c r="G324" s="427"/>
      <c r="H324" s="464"/>
      <c r="I324" s="895" t="str">
        <f>IF(F324&lt;&gt;0,"X","")</f>
        <v/>
      </c>
      <c r="J324" s="1339"/>
      <c r="K324" s="1340"/>
      <c r="L324" s="1877"/>
    </row>
    <row r="325" spans="1:12" ht="17.850000000000001" customHeight="1" thickBot="1" x14ac:dyDescent="0.5">
      <c r="A325" s="439" t="s">
        <v>354</v>
      </c>
      <c r="B325" s="1416"/>
      <c r="C325" s="1416"/>
      <c r="D325" s="1416"/>
      <c r="E325" s="440">
        <f ca="1">IFERROR(VLOOKUP(B325,Stammdaten!A$56:C$60,2,FALSE),"")</f>
        <v>0</v>
      </c>
      <c r="F325" s="441" t="s">
        <v>351</v>
      </c>
      <c r="G325" s="442">
        <f ca="1">' K3 Regie1'!$O$21</f>
        <v>13.35</v>
      </c>
      <c r="H325" s="465">
        <f>IF(F324=1,E325/G325,0)</f>
        <v>0</v>
      </c>
      <c r="I325" s="894"/>
      <c r="J325" s="852"/>
      <c r="K325" s="853"/>
      <c r="L325" s="1103"/>
    </row>
    <row r="326" spans="1:12" ht="17.850000000000001" customHeight="1" thickBot="1" x14ac:dyDescent="0.5">
      <c r="A326" s="633" t="s">
        <v>164</v>
      </c>
      <c r="B326" s="438"/>
      <c r="C326" s="438"/>
      <c r="D326" s="438"/>
      <c r="E326" s="414"/>
      <c r="F326" s="414"/>
      <c r="G326" s="414"/>
      <c r="H326" s="415">
        <f>SUM(H316:H325)</f>
        <v>0</v>
      </c>
      <c r="I326" s="896"/>
      <c r="J326" s="67"/>
      <c r="K326" s="68"/>
      <c r="L326" s="1103"/>
    </row>
    <row r="327" spans="1:12" ht="17.850000000000001" customHeight="1" x14ac:dyDescent="0.45">
      <c r="A327" s="1410" t="s">
        <v>346</v>
      </c>
      <c r="B327" s="1411"/>
      <c r="C327" s="1411"/>
      <c r="D327" s="1412"/>
      <c r="E327" s="306">
        <f ca="1">$H$139</f>
        <v>0.87</v>
      </c>
      <c r="F327" s="400"/>
      <c r="G327" s="401"/>
      <c r="H327" s="376">
        <f t="shared" ref="H327:H332" ca="1" si="26">IF(ISBLANK(G327),E327,G327)</f>
        <v>0.87</v>
      </c>
      <c r="I327" s="890" t="str">
        <f ca="1">IF(OR(G327&lt;&gt;0,E327&lt;&gt;H327),"X","")</f>
        <v/>
      </c>
      <c r="J327" s="67"/>
      <c r="K327" s="68"/>
      <c r="L327" s="1103"/>
    </row>
    <row r="328" spans="1:12" ht="17.850000000000001" customHeight="1" x14ac:dyDescent="0.45">
      <c r="A328" s="1413" t="s">
        <v>355</v>
      </c>
      <c r="B328" s="1414"/>
      <c r="C328" s="1414"/>
      <c r="D328" s="1415"/>
      <c r="E328" s="210">
        <f ca="1">$G$139</f>
        <v>0.83</v>
      </c>
      <c r="F328" s="402"/>
      <c r="G328" s="327"/>
      <c r="H328" s="377">
        <f t="shared" ca="1" si="26"/>
        <v>0.83</v>
      </c>
      <c r="I328" s="890" t="str">
        <f t="shared" ref="I328:I332" ca="1" si="27">IF(OR(G328&lt;&gt;0,E328&lt;&gt;H328),"X","")</f>
        <v/>
      </c>
      <c r="J328" s="67"/>
      <c r="K328" s="68"/>
      <c r="L328" s="1103"/>
    </row>
    <row r="329" spans="1:12" ht="17.850000000000001" customHeight="1" x14ac:dyDescent="0.45">
      <c r="A329" s="1413" t="s">
        <v>165</v>
      </c>
      <c r="B329" s="1414"/>
      <c r="C329" s="1414"/>
      <c r="D329" s="1415"/>
      <c r="E329" s="403">
        <f ca="1">$H$180</f>
        <v>0.2994</v>
      </c>
      <c r="F329" s="402"/>
      <c r="G329" s="326"/>
      <c r="H329" s="404">
        <f t="shared" ca="1" si="26"/>
        <v>0.2994</v>
      </c>
      <c r="I329" s="890" t="str">
        <f t="shared" ca="1" si="27"/>
        <v/>
      </c>
      <c r="J329" s="67"/>
      <c r="K329" s="68"/>
      <c r="L329" s="1103"/>
    </row>
    <row r="330" spans="1:12" ht="17.850000000000001" customHeight="1" x14ac:dyDescent="0.45">
      <c r="A330" s="1413" t="s">
        <v>347</v>
      </c>
      <c r="B330" s="1414"/>
      <c r="C330" s="1414"/>
      <c r="D330" s="1415"/>
      <c r="E330" s="403">
        <f ca="1">$H$199</f>
        <v>0.7</v>
      </c>
      <c r="F330" s="402"/>
      <c r="G330" s="326"/>
      <c r="H330" s="404">
        <f t="shared" ca="1" si="26"/>
        <v>0.7</v>
      </c>
      <c r="I330" s="890" t="str">
        <f t="shared" ca="1" si="27"/>
        <v/>
      </c>
      <c r="J330" s="67"/>
      <c r="K330" s="68"/>
      <c r="L330" s="1103"/>
    </row>
    <row r="331" spans="1:12" ht="17.850000000000001" customHeight="1" x14ac:dyDescent="0.45">
      <c r="A331" s="1413" t="s">
        <v>166</v>
      </c>
      <c r="B331" s="1414"/>
      <c r="C331" s="1414"/>
      <c r="D331" s="1415"/>
      <c r="E331" s="403">
        <f ca="1">$F$212</f>
        <v>4.4999999999999997E-3</v>
      </c>
      <c r="F331" s="402"/>
      <c r="G331" s="326"/>
      <c r="H331" s="404">
        <f t="shared" ca="1" si="26"/>
        <v>4.4999999999999997E-3</v>
      </c>
      <c r="I331" s="890" t="str">
        <f t="shared" ca="1" si="27"/>
        <v/>
      </c>
      <c r="J331" s="67"/>
      <c r="K331" s="68"/>
      <c r="L331" s="1103"/>
    </row>
    <row r="332" spans="1:12" ht="17.850000000000001" customHeight="1" x14ac:dyDescent="0.45">
      <c r="A332" s="1413" t="s">
        <v>167</v>
      </c>
      <c r="B332" s="1414"/>
      <c r="C332" s="1414"/>
      <c r="D332" s="1415"/>
      <c r="E332" s="832">
        <f ca="1">$F$239</f>
        <v>0.13689999999999999</v>
      </c>
      <c r="F332" s="402"/>
      <c r="G332" s="828"/>
      <c r="H332" s="833">
        <f t="shared" ca="1" si="26"/>
        <v>0.13689999999999999</v>
      </c>
      <c r="I332" s="890" t="str">
        <f t="shared" ca="1" si="27"/>
        <v/>
      </c>
      <c r="J332" s="67"/>
      <c r="K332" s="68"/>
      <c r="L332" s="1103"/>
    </row>
    <row r="333" spans="1:12" ht="17.850000000000001" customHeight="1" x14ac:dyDescent="0.45">
      <c r="A333" s="1374" t="s">
        <v>136</v>
      </c>
      <c r="B333" s="1375"/>
      <c r="C333" s="1375"/>
      <c r="D333" s="1375"/>
      <c r="E333" s="1375"/>
      <c r="F333" s="1375"/>
      <c r="G333" s="1375"/>
      <c r="H333" s="1538"/>
      <c r="I333" s="896"/>
      <c r="J333" s="67"/>
      <c r="K333" s="68"/>
      <c r="L333" s="1103"/>
    </row>
    <row r="334" spans="1:12" ht="17.850000000000001" customHeight="1" x14ac:dyDescent="0.45">
      <c r="A334" s="1374" t="s">
        <v>160</v>
      </c>
      <c r="B334" s="1375"/>
      <c r="C334" s="1375"/>
      <c r="D334" s="1375"/>
      <c r="E334" s="444" t="str">
        <f>IF(OR(F$263&lt;&gt;SUM(F335:F337),G$263&lt;&gt;SUM(G335:G337)),"!","")</f>
        <v/>
      </c>
      <c r="F334" s="145" t="s">
        <v>86</v>
      </c>
      <c r="G334" s="405" t="s">
        <v>115</v>
      </c>
      <c r="H334" s="406"/>
      <c r="I334" s="896"/>
      <c r="J334" s="1371" t="str">
        <f>IF(E334="!","Warnung: Es sind nicht alle Umlagen ausgewählt!","")</f>
        <v/>
      </c>
      <c r="K334" s="1372"/>
      <c r="L334" s="1103"/>
    </row>
    <row r="335" spans="1:12" ht="17.850000000000001" customHeight="1" x14ac:dyDescent="0.45">
      <c r="A335" s="1402"/>
      <c r="B335" s="1403"/>
      <c r="C335" s="1403"/>
      <c r="D335" s="1403"/>
      <c r="E335" s="1403"/>
      <c r="F335" s="406" t="str">
        <f>IFERROR(VLOOKUP(A335,A$253:G$257,6,FALSE),"")</f>
        <v/>
      </c>
      <c r="G335" s="407" t="str">
        <f>IFERROR(VLOOKUP(A335,A$253:G$257,7,FALSE),"")</f>
        <v/>
      </c>
      <c r="H335" s="182"/>
      <c r="I335" s="896"/>
      <c r="J335" s="1371"/>
      <c r="K335" s="1372"/>
      <c r="L335" s="1103"/>
    </row>
    <row r="336" spans="1:12" ht="17.850000000000001" customHeight="1" x14ac:dyDescent="0.45">
      <c r="A336" s="1450"/>
      <c r="B336" s="1451"/>
      <c r="C336" s="1451"/>
      <c r="D336" s="1451"/>
      <c r="E336" s="1451"/>
      <c r="F336" s="182" t="str">
        <f>IFERROR(VLOOKUP(A336,A$253:G$257,6,FALSE),"")</f>
        <v/>
      </c>
      <c r="G336" s="398" t="str">
        <f>IFERROR(VLOOKUP(A336,A$253:G$257,7,FALSE),"")</f>
        <v/>
      </c>
      <c r="H336" s="182"/>
      <c r="I336" s="896"/>
      <c r="J336" s="67"/>
      <c r="K336" s="68"/>
      <c r="L336" s="1103"/>
    </row>
    <row r="337" spans="1:12" ht="17.850000000000001" customHeight="1" x14ac:dyDescent="0.45">
      <c r="A337" s="1448" t="s">
        <v>129</v>
      </c>
      <c r="B337" s="1449"/>
      <c r="C337" s="1449"/>
      <c r="D337" s="1449"/>
      <c r="E337" s="1449"/>
      <c r="F337" s="178" t="str">
        <f>IFERROR(VLOOKUP(A337,A$253:G$257,6,FALSE),"")</f>
        <v/>
      </c>
      <c r="G337" s="408">
        <f>IFERROR(VLOOKUP(A337,A$253:G$257,7,FALSE),"")</f>
        <v>0</v>
      </c>
      <c r="H337" s="182"/>
      <c r="I337" s="896"/>
      <c r="J337" s="67"/>
      <c r="K337" s="68"/>
      <c r="L337" s="1103"/>
    </row>
    <row r="338" spans="1:12" ht="17.850000000000001" customHeight="1" x14ac:dyDescent="0.45">
      <c r="A338" s="1267" t="s">
        <v>161</v>
      </c>
      <c r="B338" s="1268"/>
      <c r="C338" s="1268"/>
      <c r="D338" s="1268"/>
      <c r="E338" s="1268"/>
      <c r="F338" s="1268"/>
      <c r="G338" s="1269"/>
      <c r="H338" s="820" t="str">
        <f>G268</f>
        <v/>
      </c>
      <c r="I338" s="896"/>
      <c r="J338" s="67"/>
      <c r="K338" s="68"/>
      <c r="L338" s="1103"/>
    </row>
    <row r="339" spans="1:12" ht="17.850000000000001" customHeight="1" x14ac:dyDescent="0.45">
      <c r="A339" s="1374" t="s">
        <v>169</v>
      </c>
      <c r="B339" s="1375"/>
      <c r="C339" s="1375"/>
      <c r="D339" s="1375"/>
      <c r="E339" s="1375"/>
      <c r="F339" s="1375"/>
      <c r="G339" s="1375"/>
      <c r="H339" s="1442"/>
      <c r="I339" s="889"/>
      <c r="J339" s="67"/>
      <c r="K339" s="68"/>
      <c r="L339" s="1103"/>
    </row>
    <row r="340" spans="1:12" ht="17.850000000000001" customHeight="1" x14ac:dyDescent="0.45">
      <c r="A340" s="1467" t="s">
        <v>591</v>
      </c>
      <c r="B340" s="1468"/>
      <c r="C340" s="1468"/>
      <c r="D340" s="1474"/>
      <c r="E340" s="818">
        <f>IFERROR(VLOOKUP(A340,'K2 GZ'!H$21:L$26,5,FALSE),"&lt;-- prüfen!")</f>
        <v>0.22411</v>
      </c>
      <c r="F340" s="1851" t="str">
        <f>IF(OR(E340&lt;0.01,E340=""),"GZ prüfen","")</f>
        <v/>
      </c>
      <c r="G340" s="1852"/>
      <c r="H340" s="819">
        <f>E340</f>
        <v>0.22411</v>
      </c>
      <c r="I340" s="896" t="str">
        <f>IF(E340&lt;10%,"GZ prüfen; erscheint niedrig! GZ in Blatt K2 eingeben!","")</f>
        <v/>
      </c>
      <c r="J340" s="67"/>
      <c r="K340" s="68"/>
      <c r="L340" s="1103"/>
    </row>
    <row r="341" spans="1:12" ht="17.850000000000001" customHeight="1" x14ac:dyDescent="0.45">
      <c r="A341" s="359" t="s">
        <v>130</v>
      </c>
      <c r="B341" s="360"/>
      <c r="C341" s="1363" t="str">
        <f>D309</f>
        <v>Facharbeiter mit LAB (&gt;3.J)</v>
      </c>
      <c r="D341" s="1363"/>
      <c r="E341" s="1363"/>
      <c r="F341" s="932" t="s">
        <v>644</v>
      </c>
      <c r="G341" s="933">
        <f ca="1">H341/D294-1</f>
        <v>2.3371</v>
      </c>
      <c r="H341" s="361">
        <f ca="1">' K3 Regie1'!N45</f>
        <v>44.55</v>
      </c>
      <c r="I341" s="897"/>
      <c r="J341" s="67"/>
      <c r="K341" s="68"/>
      <c r="L341" s="1103"/>
    </row>
    <row r="342" spans="1:12" ht="17.850000000000001" customHeight="1" x14ac:dyDescent="0.45">
      <c r="A342" s="1283"/>
      <c r="B342" s="1284"/>
      <c r="C342" s="1284"/>
      <c r="D342" s="1284"/>
      <c r="E342" s="1284"/>
      <c r="F342" s="1284"/>
      <c r="G342" s="1284"/>
      <c r="H342" s="1284"/>
      <c r="I342" s="1284"/>
      <c r="J342" s="67"/>
      <c r="K342" s="68"/>
      <c r="L342" s="1103"/>
    </row>
    <row r="343" spans="1:12" ht="17.850000000000001" customHeight="1" x14ac:dyDescent="0.65">
      <c r="A343" s="1446" t="s">
        <v>472</v>
      </c>
      <c r="B343" s="1447"/>
      <c r="C343" s="1447"/>
      <c r="D343" s="1447"/>
      <c r="E343" s="1447"/>
      <c r="F343" s="1447"/>
      <c r="G343" s="1447"/>
      <c r="H343" s="1447"/>
      <c r="I343" s="898"/>
      <c r="J343" s="67"/>
      <c r="K343" s="68"/>
      <c r="L343" s="1103"/>
    </row>
    <row r="344" spans="1:12" ht="17.850000000000001" customHeight="1" x14ac:dyDescent="0.45">
      <c r="A344" s="1382" t="str">
        <f>A$12</f>
        <v xml:space="preserve">Bezeichnung (Produktionsfaktor-Nr.): </v>
      </c>
      <c r="B344" s="1383"/>
      <c r="C344" s="1384"/>
      <c r="D344" s="1388" t="s">
        <v>667</v>
      </c>
      <c r="E344" s="1389"/>
      <c r="F344" s="1389"/>
      <c r="G344" s="1389"/>
      <c r="H344" s="1389"/>
      <c r="I344" s="899"/>
      <c r="J344" s="67"/>
      <c r="K344" s="68"/>
      <c r="L344" s="1103"/>
    </row>
    <row r="345" spans="1:12" ht="17.850000000000001" customHeight="1" x14ac:dyDescent="0.45">
      <c r="A345" s="1385"/>
      <c r="B345" s="1386"/>
      <c r="C345" s="1387"/>
      <c r="D345" s="1390"/>
      <c r="E345" s="1391"/>
      <c r="F345" s="1391"/>
      <c r="G345" s="1391"/>
      <c r="H345" s="1391"/>
      <c r="I345" s="899"/>
      <c r="J345" s="67"/>
      <c r="K345" s="68"/>
      <c r="L345" s="1103"/>
    </row>
    <row r="346" spans="1:12" ht="17.850000000000001" customHeight="1" x14ac:dyDescent="0.45">
      <c r="A346" s="1338" t="s">
        <v>235</v>
      </c>
      <c r="B346" s="1338"/>
      <c r="C346" s="1338"/>
      <c r="D346" s="1338"/>
      <c r="E346" s="107" t="s">
        <v>23</v>
      </c>
      <c r="F346" s="107" t="s">
        <v>83</v>
      </c>
      <c r="G346" s="73" t="s">
        <v>89</v>
      </c>
      <c r="H346" s="176" t="s">
        <v>90</v>
      </c>
      <c r="I346" s="899"/>
      <c r="J346" s="67"/>
      <c r="K346" s="68"/>
      <c r="L346" s="1103"/>
    </row>
    <row r="347" spans="1:12" ht="17.850000000000001" customHeight="1" thickBot="1" x14ac:dyDescent="0.5">
      <c r="A347" s="1392" t="s">
        <v>659</v>
      </c>
      <c r="B347" s="1393"/>
      <c r="C347" s="1394"/>
      <c r="D347" s="79" t="str">
        <f ca="1">IFERROR(VLOOKUP(A347,Stammdaten!A$7:D$33,4,FALSE),"&lt;-- Prüfen!")</f>
        <v>&lt;-- Prüfen!</v>
      </c>
      <c r="E347" s="120">
        <v>1</v>
      </c>
      <c r="F347" s="81">
        <v>1</v>
      </c>
      <c r="G347" s="93" t="str">
        <f ca="1">IFERROR(VLOOKUP(A347,Stammdaten!A$7:F$33,4,FALSE)*F347,"")</f>
        <v/>
      </c>
      <c r="H347" s="177" t="str">
        <f ca="1">IFERROR(VLOOKUP(A347,Stammdaten!A$7:F$33,6,FALSE)*F347,"")</f>
        <v/>
      </c>
      <c r="I347" s="899"/>
      <c r="J347" s="1395"/>
      <c r="K347" s="1396"/>
      <c r="L347" s="1373" t="str">
        <f ca="1">IF(AND(D347&gt;0,E347=0),"Anzahl / Anteil eingeben","")</f>
        <v/>
      </c>
    </row>
    <row r="348" spans="1:12" ht="17.850000000000001" customHeight="1" x14ac:dyDescent="0.45">
      <c r="A348" s="1379" t="s">
        <v>117</v>
      </c>
      <c r="B348" s="1380"/>
      <c r="C348" s="1380"/>
      <c r="D348" s="1381"/>
      <c r="E348" s="77">
        <f>E347</f>
        <v>1</v>
      </c>
      <c r="F348" s="78">
        <v>1</v>
      </c>
      <c r="G348" s="79">
        <f ca="1">IF(AND(_OK?="OK!",_OK_KV?="OK_KV!"),SUM(G347),ROUNDUP(G347,0))</f>
        <v>0</v>
      </c>
      <c r="H348" s="178">
        <f ca="1">SUM(H347:H347)</f>
        <v>0</v>
      </c>
      <c r="I348" s="900" t="str">
        <f ca="1">IF(OR(_OK?&lt;&gt;"OK!",_OK_KV?&lt;&gt;"OK_KV!"),"X","")</f>
        <v/>
      </c>
      <c r="J348" s="1395"/>
      <c r="K348" s="1396"/>
      <c r="L348" s="1373"/>
    </row>
    <row r="349" spans="1:12" ht="17.850000000000001" customHeight="1" x14ac:dyDescent="0.45">
      <c r="A349" s="1374" t="s">
        <v>336</v>
      </c>
      <c r="B349" s="1375"/>
      <c r="C349" s="1375"/>
      <c r="D349" s="1375"/>
      <c r="E349" s="1375"/>
      <c r="F349" s="1375"/>
      <c r="G349" s="1375"/>
      <c r="H349" s="1375"/>
      <c r="I349" s="899"/>
      <c r="J349" s="855"/>
      <c r="K349" s="856"/>
      <c r="L349" s="1103"/>
    </row>
    <row r="350" spans="1:12" ht="17.850000000000001" customHeight="1" thickBot="1" x14ac:dyDescent="0.5">
      <c r="A350" s="1392"/>
      <c r="B350" s="1393"/>
      <c r="C350" s="1394"/>
      <c r="D350" s="79">
        <f ca="1">IFERROR(VLOOKUP(A350,Stammdaten!A$7:D$33,4,FALSE),"&lt;-- Prüfen!")</f>
        <v>0</v>
      </c>
      <c r="E350" s="329"/>
      <c r="F350" s="81" t="str">
        <f>IF(A350&lt;&gt;"",E350/E351,"")</f>
        <v/>
      </c>
      <c r="G350" s="93" t="str">
        <f ca="1">IFERROR(VLOOKUP(A350,Stammdaten!A$7:F$33,4,FALSE)*F350,"")</f>
        <v/>
      </c>
      <c r="H350" s="177" t="str">
        <f ca="1">IFERROR(VLOOKUP(A350,Stammdaten!A$7:F$33,6,FALSE)*F350,"")</f>
        <v/>
      </c>
      <c r="I350" s="901" t="str">
        <f>IF(AND(E350&gt;0,A350=""),"Beschäftigungsgruppe wählen oder Anzahl = 0","")</f>
        <v/>
      </c>
      <c r="J350" s="1395" t="str">
        <f>IF(AND(E350&gt;0,A350=""),"Beschäftigungsgruppe auswählen oder Anzahl = 0 oder löschen!","")</f>
        <v/>
      </c>
      <c r="K350" s="1396"/>
      <c r="L350" s="1373" t="str">
        <f ca="1">IF(AND(D350&gt;0,E350=0),"Anzahl / Anteil eingeben","")</f>
        <v/>
      </c>
    </row>
    <row r="351" spans="1:12" ht="17.850000000000001" customHeight="1" x14ac:dyDescent="0.45">
      <c r="A351" s="601" t="s">
        <v>117</v>
      </c>
      <c r="B351" s="602"/>
      <c r="C351" s="602"/>
      <c r="D351" s="603"/>
      <c r="E351" s="121">
        <f>SUM(E350:E350)</f>
        <v>0</v>
      </c>
      <c r="F351" s="78">
        <f>SUM(F350:F350)</f>
        <v>0</v>
      </c>
      <c r="G351" s="79">
        <f ca="1">SUM(G350)</f>
        <v>0</v>
      </c>
      <c r="H351" s="178">
        <f ca="1">SUM(H350:H350)</f>
        <v>0</v>
      </c>
      <c r="I351" s="900"/>
      <c r="J351" s="1395"/>
      <c r="K351" s="1396"/>
      <c r="L351" s="1373"/>
    </row>
    <row r="352" spans="1:12" ht="17.850000000000001" customHeight="1" x14ac:dyDescent="0.45">
      <c r="A352" s="109"/>
      <c r="B352" s="102"/>
      <c r="C352" s="102"/>
      <c r="D352" s="102"/>
      <c r="E352" s="102"/>
      <c r="F352" s="102"/>
      <c r="G352" s="418"/>
      <c r="H352" s="418"/>
      <c r="I352" s="902"/>
      <c r="J352" s="67"/>
      <c r="K352" s="68"/>
      <c r="L352" s="1103"/>
    </row>
    <row r="353" spans="1:12" ht="17.850000000000001" customHeight="1" x14ac:dyDescent="0.45">
      <c r="A353" s="1267" t="s">
        <v>208</v>
      </c>
      <c r="B353" s="1268"/>
      <c r="C353" s="1268"/>
      <c r="D353" s="1268"/>
      <c r="E353" s="1268"/>
      <c r="F353" s="1268"/>
      <c r="G353" s="1268"/>
      <c r="H353" s="363">
        <v>1</v>
      </c>
      <c r="I353" s="899"/>
      <c r="J353" s="1339" t="str">
        <f>IF(ISBLANK(H353),"Kennzeichen eingeben!","")</f>
        <v/>
      </c>
      <c r="K353" s="1340"/>
      <c r="L353" s="1103"/>
    </row>
    <row r="354" spans="1:12" ht="17.850000000000001" customHeight="1" thickBot="1" x14ac:dyDescent="0.5">
      <c r="A354" s="1427" t="s">
        <v>554</v>
      </c>
      <c r="B354" s="1428"/>
      <c r="C354" s="1428"/>
      <c r="D354" s="1428"/>
      <c r="E354" s="659" t="s">
        <v>96</v>
      </c>
      <c r="F354" s="149">
        <f>IF(H353=1,E348,E348-E351)</f>
        <v>1</v>
      </c>
      <c r="G354" s="660" t="s">
        <v>97</v>
      </c>
      <c r="H354" s="179">
        <f>E351</f>
        <v>0</v>
      </c>
      <c r="I354" s="899"/>
      <c r="J354" s="67"/>
      <c r="K354" s="68"/>
      <c r="L354" s="1103"/>
    </row>
    <row r="355" spans="1:12" ht="17.850000000000001" customHeight="1" thickBot="1" x14ac:dyDescent="0.5">
      <c r="A355" s="72"/>
      <c r="B355" s="107"/>
      <c r="C355" s="597"/>
      <c r="D355" s="107" t="s">
        <v>89</v>
      </c>
      <c r="E355" s="597" t="s">
        <v>90</v>
      </c>
      <c r="F355" s="479" t="s">
        <v>171</v>
      </c>
      <c r="G355" s="476" t="s">
        <v>108</v>
      </c>
      <c r="H355" s="477" t="s">
        <v>90</v>
      </c>
      <c r="I355" s="903"/>
      <c r="J355" s="67"/>
      <c r="K355" s="68"/>
      <c r="L355" s="1103"/>
    </row>
    <row r="356" spans="1:12" ht="17.850000000000001" customHeight="1" x14ac:dyDescent="0.45">
      <c r="A356" s="72" t="s">
        <v>92</v>
      </c>
      <c r="B356" s="107"/>
      <c r="C356" s="597"/>
      <c r="D356" s="122">
        <f ca="1">G348*F354</f>
        <v>0</v>
      </c>
      <c r="E356" s="147">
        <f ca="1">F354*H348</f>
        <v>0</v>
      </c>
      <c r="F356" s="478" t="s">
        <v>365</v>
      </c>
      <c r="G356" s="79">
        <f ca="1">D356</f>
        <v>0</v>
      </c>
      <c r="H356" s="475">
        <f ca="1">D358</f>
        <v>0</v>
      </c>
      <c r="I356" s="903"/>
      <c r="J356" s="67"/>
      <c r="K356" s="68"/>
      <c r="L356" s="1103"/>
    </row>
    <row r="357" spans="1:12" ht="17.850000000000001" customHeight="1" thickBot="1" x14ac:dyDescent="0.5">
      <c r="A357" s="125" t="s">
        <v>93</v>
      </c>
      <c r="B357" s="126"/>
      <c r="C357" s="127"/>
      <c r="D357" s="128">
        <f ca="1">H354*G351</f>
        <v>0</v>
      </c>
      <c r="E357" s="148">
        <f ca="1">H354*H351</f>
        <v>0</v>
      </c>
      <c r="F357" s="469" t="s">
        <v>364</v>
      </c>
      <c r="G357" s="93">
        <f ca="1">D357</f>
        <v>0</v>
      </c>
      <c r="H357" s="468">
        <f ca="1">E358</f>
        <v>0</v>
      </c>
      <c r="I357" s="903"/>
      <c r="J357" s="67"/>
      <c r="K357" s="68"/>
      <c r="L357" s="1103"/>
    </row>
    <row r="358" spans="1:12" ht="17.850000000000001" customHeight="1" x14ac:dyDescent="0.45">
      <c r="A358" s="201"/>
      <c r="B358" s="197"/>
      <c r="C358" s="202" t="s">
        <v>68</v>
      </c>
      <c r="D358" s="203">
        <f ca="1">SUM(D356:D357)</f>
        <v>0</v>
      </c>
      <c r="E358" s="204">
        <f ca="1">SUM(E356:E357)</f>
        <v>0</v>
      </c>
      <c r="F358" s="470" t="s">
        <v>109</v>
      </c>
      <c r="G358" s="198" t="e">
        <f ca="1">G357/G356</f>
        <v>#DIV/0!</v>
      </c>
      <c r="H358" s="466" t="e">
        <f ca="1">H357/H356</f>
        <v>#DIV/0!</v>
      </c>
      <c r="I358" s="899"/>
      <c r="J358" s="67"/>
      <c r="K358" s="68"/>
      <c r="L358" s="1103"/>
    </row>
    <row r="359" spans="1:12" ht="17.850000000000001" customHeight="1" thickBot="1" x14ac:dyDescent="0.5">
      <c r="A359" s="172"/>
      <c r="B359" s="195"/>
      <c r="C359" s="195" t="s">
        <v>234</v>
      </c>
      <c r="D359" s="205">
        <f ca="1">H$55</f>
        <v>0.1004</v>
      </c>
      <c r="E359" s="1397" t="s">
        <v>232</v>
      </c>
      <c r="F359" s="1397"/>
      <c r="G359" s="330"/>
      <c r="H359" s="364"/>
      <c r="I359" s="900" t="str">
        <f>IF(OR(G359&lt;&gt;0,H359&lt;&gt;0),"X","")</f>
        <v/>
      </c>
      <c r="J359" s="67"/>
      <c r="K359" s="68"/>
      <c r="L359" s="1103"/>
    </row>
    <row r="360" spans="1:12" ht="17.850000000000001" customHeight="1" x14ac:dyDescent="0.45">
      <c r="A360" s="201"/>
      <c r="B360" s="197"/>
      <c r="C360" s="102"/>
      <c r="D360" s="199"/>
      <c r="E360" s="1398" t="s">
        <v>233</v>
      </c>
      <c r="F360" s="1398"/>
      <c r="G360" s="198" t="e">
        <f ca="1">G358+G359</f>
        <v>#DIV/0!</v>
      </c>
      <c r="H360" s="365" t="e">
        <f ca="1">H358+H359</f>
        <v>#DIV/0!</v>
      </c>
      <c r="I360" s="899"/>
      <c r="J360" s="67"/>
      <c r="K360" s="68"/>
      <c r="L360" s="1103"/>
    </row>
    <row r="361" spans="1:12" ht="17.850000000000001" customHeight="1" x14ac:dyDescent="0.45">
      <c r="A361" s="129"/>
      <c r="B361" s="159"/>
      <c r="C361" s="605"/>
      <c r="D361" s="196"/>
      <c r="E361" s="140"/>
      <c r="F361" s="140"/>
      <c r="G361" s="200" t="s">
        <v>176</v>
      </c>
      <c r="H361" s="366" t="s">
        <v>177</v>
      </c>
      <c r="I361" s="899"/>
      <c r="J361" s="67"/>
      <c r="K361" s="68"/>
      <c r="L361" s="1103"/>
    </row>
    <row r="362" spans="1:12" ht="17.850000000000001" customHeight="1" x14ac:dyDescent="0.45">
      <c r="A362" s="876" t="s">
        <v>130</v>
      </c>
      <c r="B362" s="362"/>
      <c r="C362" s="362"/>
      <c r="D362" s="1376" t="str">
        <f>IF(A347=0,"Beschäftigungsgruppe wählen!",A347)</f>
        <v>LG 5 Qualifizierter Arbeitnehmer</v>
      </c>
      <c r="E362" s="1376"/>
      <c r="F362" s="1376"/>
      <c r="G362" s="1426"/>
      <c r="H362" s="877" t="e">
        <f ca="1">' K3 Regie2'!N$45</f>
        <v>#VALUE!</v>
      </c>
      <c r="I362" s="899"/>
      <c r="J362" s="67"/>
      <c r="K362" s="68"/>
      <c r="L362" s="1103"/>
    </row>
    <row r="363" spans="1:12" ht="17.850000000000001" customHeight="1" x14ac:dyDescent="0.45">
      <c r="A363" s="1464"/>
      <c r="B363" s="1465"/>
      <c r="C363" s="1465"/>
      <c r="D363" s="1465"/>
      <c r="E363" s="1465"/>
      <c r="F363" s="1465"/>
      <c r="G363" s="1465"/>
      <c r="H363" s="1465"/>
      <c r="I363" s="899"/>
      <c r="J363" s="67"/>
      <c r="K363" s="68"/>
      <c r="L363" s="1103"/>
    </row>
    <row r="364" spans="1:12" ht="17.850000000000001" customHeight="1" x14ac:dyDescent="0.45">
      <c r="A364" s="1454" t="s">
        <v>236</v>
      </c>
      <c r="B364" s="1455"/>
      <c r="C364" s="1455"/>
      <c r="D364" s="1456"/>
      <c r="E364" s="1419" t="s">
        <v>162</v>
      </c>
      <c r="F364" s="1419" t="s">
        <v>228</v>
      </c>
      <c r="G364" s="1419" t="s">
        <v>231</v>
      </c>
      <c r="H364" s="1341" t="s">
        <v>163</v>
      </c>
      <c r="I364" s="904"/>
      <c r="J364" s="67"/>
      <c r="K364" s="68"/>
      <c r="L364" s="1103"/>
    </row>
    <row r="365" spans="1:12" ht="17.850000000000001" customHeight="1" x14ac:dyDescent="0.45">
      <c r="A365" s="1457"/>
      <c r="B365" s="1458"/>
      <c r="C365" s="1458"/>
      <c r="D365" s="1459"/>
      <c r="E365" s="1420"/>
      <c r="F365" s="1420"/>
      <c r="G365" s="1420"/>
      <c r="H365" s="1342"/>
      <c r="I365" s="904"/>
      <c r="J365" s="67"/>
      <c r="K365" s="68"/>
      <c r="L365" s="1103"/>
    </row>
    <row r="366" spans="1:12" ht="17.850000000000001" customHeight="1" x14ac:dyDescent="0.45">
      <c r="A366" s="1857"/>
      <c r="B366" s="1858"/>
      <c r="C366" s="1858"/>
      <c r="D366" s="1859"/>
      <c r="E366" s="1421"/>
      <c r="F366" s="1421"/>
      <c r="G366" s="1421"/>
      <c r="H366" s="1343"/>
      <c r="I366" s="899"/>
      <c r="J366" s="67"/>
      <c r="K366" s="68"/>
      <c r="L366" s="1103"/>
    </row>
    <row r="367" spans="1:12" ht="17.850000000000001" customHeight="1" x14ac:dyDescent="0.45">
      <c r="A367" s="1425" t="s">
        <v>339</v>
      </c>
      <c r="B367" s="1425"/>
      <c r="C367" s="1425"/>
      <c r="D367" s="1413"/>
      <c r="E367" s="403">
        <v>0</v>
      </c>
      <c r="F367" s="402"/>
      <c r="G367" s="326">
        <v>0</v>
      </c>
      <c r="H367" s="403">
        <f>IF(ISBLANK(G367),E367,G367)</f>
        <v>0</v>
      </c>
      <c r="I367" s="900" t="str">
        <f>IF(G367&lt;&gt;0,"X","")</f>
        <v/>
      </c>
      <c r="J367" s="67"/>
      <c r="K367" s="68"/>
      <c r="L367" s="1103"/>
    </row>
    <row r="368" spans="1:12" ht="17.850000000000001" customHeight="1" x14ac:dyDescent="0.45">
      <c r="A368" s="1344" t="s">
        <v>159</v>
      </c>
      <c r="B368" s="1345"/>
      <c r="C368" s="1345"/>
      <c r="D368" s="1345"/>
      <c r="E368" s="410">
        <v>1</v>
      </c>
      <c r="F368" s="396"/>
      <c r="G368" s="411"/>
      <c r="H368" s="412">
        <f t="shared" ref="H368" si="28">IF(F368=1,G368,E368)</f>
        <v>1</v>
      </c>
      <c r="I368" s="901"/>
      <c r="J368" s="67"/>
      <c r="K368" s="68"/>
      <c r="L368" s="1103"/>
    </row>
    <row r="369" spans="1:12" ht="17.850000000000001" customHeight="1" x14ac:dyDescent="0.45">
      <c r="A369" s="1404" t="s">
        <v>500</v>
      </c>
      <c r="B369" s="1405"/>
      <c r="C369" s="1405"/>
      <c r="D369" s="1406"/>
      <c r="E369" s="426"/>
      <c r="F369" s="363">
        <v>0</v>
      </c>
      <c r="G369" s="434"/>
      <c r="H369" s="431"/>
      <c r="I369" s="900" t="str">
        <f>IF(F369&lt;&gt;0,"X","")</f>
        <v/>
      </c>
      <c r="J369" s="1339" t="str">
        <f>IF(F369+F373+F377&gt;1,"Zusätzlich mit Verrechnungsstd.?","")</f>
        <v/>
      </c>
      <c r="K369" s="1340"/>
      <c r="L369" s="1103"/>
    </row>
    <row r="370" spans="1:12" ht="17.850000000000001" customHeight="1" x14ac:dyDescent="0.45">
      <c r="A370" s="397" t="s">
        <v>128</v>
      </c>
      <c r="B370" s="1407"/>
      <c r="C370" s="1407"/>
      <c r="D370" s="1407"/>
      <c r="E370" s="398">
        <f ca="1">IFERROR(VLOOKUP(B370,Stammdaten!A$39:C$48,3,FALSE),"")</f>
        <v>0</v>
      </c>
      <c r="F370" s="430"/>
      <c r="G370" s="436"/>
      <c r="H370" s="432"/>
      <c r="I370" s="901"/>
      <c r="J370" s="1339" t="str">
        <f ca="1">IF(AND(F369=1,E370=0),"Arbeitszeitzuschlag auswählen!","")</f>
        <v/>
      </c>
      <c r="K370" s="1340"/>
      <c r="L370" s="1103"/>
    </row>
    <row r="371" spans="1:12" ht="17.850000000000001" customHeight="1" x14ac:dyDescent="0.45">
      <c r="A371" s="1408" t="s">
        <v>211</v>
      </c>
      <c r="B371" s="1409"/>
      <c r="C371" s="1409"/>
      <c r="D371" s="1409"/>
      <c r="E371" s="399">
        <f ca="1">IFERROR(IF(VLOOKUP(B370,Stammdaten!A$39:C$48,2,FALSE)=0,1,(VLOOKUP(B370,Stammdaten!A$39:C$48,2,FALSE))),"")</f>
        <v>1</v>
      </c>
      <c r="F371" s="430"/>
      <c r="G371" s="435"/>
      <c r="H371" s="433"/>
      <c r="I371" s="901"/>
      <c r="J371" s="67"/>
      <c r="K371" s="68"/>
      <c r="L371" s="1103"/>
    </row>
    <row r="372" spans="1:12" ht="17.850000000000001" customHeight="1" x14ac:dyDescent="0.45">
      <c r="A372" s="1410" t="s">
        <v>503</v>
      </c>
      <c r="B372" s="1411"/>
      <c r="C372" s="1411"/>
      <c r="D372" s="1412"/>
      <c r="E372" s="429"/>
      <c r="F372" s="554">
        <v>2</v>
      </c>
      <c r="G372" s="437" t="e">
        <f ca="1">IF(F372=1,1,IF(F372=2,((' K3 Regie2'!O$23+' K3 Regie2'!O$24)/' K3 Regie2'!O$23),IF(F372&gt;2,((' K3 Regie2'!O$23+' K3 Regie2'!O$24+' K3 Regie2'!O$25)/' K3 Regie2'!O$23),"")))</f>
        <v>#VALUE!</v>
      </c>
      <c r="H372" s="432">
        <f>IF(F369*F372&gt;0,(E370*E371*G372),0)</f>
        <v>0</v>
      </c>
      <c r="I372" s="901"/>
      <c r="J372" s="1339" t="str">
        <f>IF(AND(ISBLANK(F372),F369=1),"Kennzeichen setzen!","")</f>
        <v/>
      </c>
      <c r="K372" s="1340"/>
      <c r="L372" s="1103"/>
    </row>
    <row r="373" spans="1:12" ht="17.850000000000001" customHeight="1" x14ac:dyDescent="0.45">
      <c r="A373" s="1404" t="s">
        <v>501</v>
      </c>
      <c r="B373" s="1405"/>
      <c r="C373" s="1405"/>
      <c r="D373" s="1406"/>
      <c r="E373" s="426"/>
      <c r="F373" s="363">
        <v>0</v>
      </c>
      <c r="G373" s="434"/>
      <c r="H373" s="431"/>
      <c r="I373" s="900" t="str">
        <f>IF(F373&lt;&gt;0,"X","")</f>
        <v/>
      </c>
      <c r="J373" s="1339"/>
      <c r="K373" s="1340"/>
      <c r="L373" s="1103"/>
    </row>
    <row r="374" spans="1:12" ht="17.850000000000001" customHeight="1" x14ac:dyDescent="0.45">
      <c r="A374" s="397" t="s">
        <v>352</v>
      </c>
      <c r="B374" s="1407"/>
      <c r="C374" s="1407"/>
      <c r="D374" s="1407"/>
      <c r="E374" s="398">
        <f ca="1">IFERROR(VLOOKUP(B374,Stammdaten!A$50:C$54,3,FALSE),"")</f>
        <v>0</v>
      </c>
      <c r="F374" s="430"/>
      <c r="G374" s="436"/>
      <c r="H374" s="432"/>
      <c r="I374" s="901"/>
      <c r="J374" s="852"/>
      <c r="K374" s="853"/>
      <c r="L374" s="1103"/>
    </row>
    <row r="375" spans="1:12" ht="17.850000000000001" customHeight="1" x14ac:dyDescent="0.45">
      <c r="A375" s="1408" t="s">
        <v>353</v>
      </c>
      <c r="B375" s="1409"/>
      <c r="C375" s="1409"/>
      <c r="D375" s="1409"/>
      <c r="E375" s="399">
        <f ca="1">IFERROR(IF(VLOOKUP(B374,Stammdaten!A$50:C$54,2,FALSE)=0,1,(VLOOKUP(B374,Stammdaten!A$50:C$54,2,FALSE))),"")</f>
        <v>1</v>
      </c>
      <c r="F375" s="430"/>
      <c r="G375" s="435"/>
      <c r="H375" s="433"/>
      <c r="I375" s="901"/>
      <c r="J375" s="852"/>
      <c r="K375" s="853"/>
      <c r="L375" s="1103"/>
    </row>
    <row r="376" spans="1:12" ht="17.850000000000001" customHeight="1" x14ac:dyDescent="0.45">
      <c r="A376" s="1410" t="s">
        <v>503</v>
      </c>
      <c r="B376" s="1411"/>
      <c r="C376" s="1411"/>
      <c r="D376" s="1412"/>
      <c r="E376" s="429"/>
      <c r="F376" s="554">
        <v>2</v>
      </c>
      <c r="G376" s="437" t="e">
        <f ca="1">IF(F376=1,1,IF(F376=2,((' K3 Regie2'!O$23+' K3 Regie2'!O$24)/' K3 Regie2'!O$23),IF(F376&gt;2,((' K3 Regie2'!O$23+' K3 Regie2'!O$24+' K3 Regie2'!O$25)/' K3 Regie2'!O$23),"")))</f>
        <v>#VALUE!</v>
      </c>
      <c r="H376" s="432">
        <f>IF(F373*F376&gt;0,(E374*E375*G376),0)</f>
        <v>0</v>
      </c>
      <c r="I376" s="901"/>
      <c r="J376" s="1339" t="str">
        <f>IF(AND(ISBLANK(F376),F373=1),"Kennzeichen setzen!","")</f>
        <v/>
      </c>
      <c r="K376" s="1340"/>
      <c r="L376" s="1103"/>
    </row>
    <row r="377" spans="1:12" ht="17.850000000000001" customHeight="1" x14ac:dyDescent="0.45">
      <c r="A377" s="1404" t="s">
        <v>502</v>
      </c>
      <c r="B377" s="1405"/>
      <c r="C377" s="1405"/>
      <c r="D377" s="1406"/>
      <c r="E377" s="426"/>
      <c r="F377" s="194">
        <v>0</v>
      </c>
      <c r="G377" s="427"/>
      <c r="H377" s="428"/>
      <c r="I377" s="900" t="str">
        <f>IF(F377&lt;&gt;0,"X","")</f>
        <v/>
      </c>
      <c r="J377" s="1339"/>
      <c r="K377" s="1340"/>
      <c r="L377" s="1103"/>
    </row>
    <row r="378" spans="1:12" ht="17.850000000000001" customHeight="1" thickBot="1" x14ac:dyDescent="0.5">
      <c r="A378" s="439" t="s">
        <v>354</v>
      </c>
      <c r="B378" s="1416"/>
      <c r="C378" s="1416"/>
      <c r="D378" s="1416"/>
      <c r="E378" s="440">
        <f ca="1">IFERROR(VLOOKUP(B378,Stammdaten!A$56:C$60,2,FALSE),"")</f>
        <v>0</v>
      </c>
      <c r="F378" s="441" t="s">
        <v>351</v>
      </c>
      <c r="G378" s="442" t="e">
        <f ca="1">' K3 Regie2'!$O$21</f>
        <v>#VALUE!</v>
      </c>
      <c r="H378" s="443">
        <f>IF(F377=1,E378/G378,0)</f>
        <v>0</v>
      </c>
      <c r="I378" s="901"/>
      <c r="J378" s="852"/>
      <c r="K378" s="853"/>
      <c r="L378" s="1103"/>
    </row>
    <row r="379" spans="1:12" ht="17.850000000000001" customHeight="1" thickBot="1" x14ac:dyDescent="0.5">
      <c r="A379" s="633" t="s">
        <v>164</v>
      </c>
      <c r="B379" s="438"/>
      <c r="C379" s="438"/>
      <c r="D379" s="438"/>
      <c r="E379" s="414"/>
      <c r="F379" s="414"/>
      <c r="G379" s="414"/>
      <c r="H379" s="415">
        <f>SUM(H369:H378)</f>
        <v>0</v>
      </c>
      <c r="I379" s="901"/>
      <c r="J379" s="67"/>
      <c r="K379" s="68"/>
      <c r="L379" s="1103"/>
    </row>
    <row r="380" spans="1:12" ht="17.850000000000001" customHeight="1" x14ac:dyDescent="0.45">
      <c r="A380" s="1410" t="s">
        <v>346</v>
      </c>
      <c r="B380" s="1411"/>
      <c r="C380" s="1411"/>
      <c r="D380" s="1412"/>
      <c r="E380" s="306">
        <f ca="1">$H$139</f>
        <v>0.87</v>
      </c>
      <c r="F380" s="400"/>
      <c r="G380" s="401"/>
      <c r="H380" s="376">
        <f t="shared" ref="H380:H385" ca="1" si="29">IF(ISBLANK(G380),E380,G380)</f>
        <v>0.87</v>
      </c>
      <c r="I380" s="900" t="str">
        <f ca="1">IF(OR(G380&lt;&gt;0,E380&lt;&gt;H380),"X","")</f>
        <v/>
      </c>
      <c r="J380" s="67"/>
      <c r="K380" s="68"/>
      <c r="L380" s="1103"/>
    </row>
    <row r="381" spans="1:12" ht="17.850000000000001" customHeight="1" x14ac:dyDescent="0.45">
      <c r="A381" s="1413" t="s">
        <v>355</v>
      </c>
      <c r="B381" s="1414"/>
      <c r="C381" s="1414"/>
      <c r="D381" s="1415"/>
      <c r="E381" s="210">
        <f ca="1">$G$139</f>
        <v>0.83</v>
      </c>
      <c r="F381" s="402"/>
      <c r="G381" s="327"/>
      <c r="H381" s="377">
        <f t="shared" ca="1" si="29"/>
        <v>0.83</v>
      </c>
      <c r="I381" s="900" t="str">
        <f t="shared" ref="I381:I385" ca="1" si="30">IF(OR(G381&lt;&gt;0,E381&lt;&gt;H381),"X","")</f>
        <v/>
      </c>
      <c r="J381" s="67"/>
      <c r="K381" s="68"/>
      <c r="L381" s="1103"/>
    </row>
    <row r="382" spans="1:12" ht="17.850000000000001" customHeight="1" x14ac:dyDescent="0.45">
      <c r="A382" s="1413" t="s">
        <v>165</v>
      </c>
      <c r="B382" s="1414"/>
      <c r="C382" s="1414"/>
      <c r="D382" s="1415"/>
      <c r="E382" s="403">
        <f ca="1">$H$180</f>
        <v>0.2994</v>
      </c>
      <c r="F382" s="402"/>
      <c r="G382" s="326"/>
      <c r="H382" s="404">
        <f t="shared" ca="1" si="29"/>
        <v>0.2994</v>
      </c>
      <c r="I382" s="900" t="str">
        <f t="shared" ca="1" si="30"/>
        <v/>
      </c>
      <c r="J382" s="67"/>
      <c r="K382" s="68"/>
      <c r="L382" s="1103"/>
    </row>
    <row r="383" spans="1:12" ht="17.850000000000001" customHeight="1" x14ac:dyDescent="0.45">
      <c r="A383" s="1413" t="s">
        <v>347</v>
      </c>
      <c r="B383" s="1414"/>
      <c r="C383" s="1414"/>
      <c r="D383" s="1415"/>
      <c r="E383" s="403">
        <f ca="1">$H$199</f>
        <v>0.7</v>
      </c>
      <c r="F383" s="402"/>
      <c r="G383" s="326"/>
      <c r="H383" s="404">
        <f t="shared" ca="1" si="29"/>
        <v>0.7</v>
      </c>
      <c r="I383" s="900" t="str">
        <f t="shared" ca="1" si="30"/>
        <v/>
      </c>
      <c r="J383" s="67"/>
      <c r="K383" s="68"/>
      <c r="L383" s="1103"/>
    </row>
    <row r="384" spans="1:12" ht="17.850000000000001" customHeight="1" x14ac:dyDescent="0.45">
      <c r="A384" s="1413" t="s">
        <v>166</v>
      </c>
      <c r="B384" s="1414"/>
      <c r="C384" s="1414"/>
      <c r="D384" s="1415"/>
      <c r="E384" s="403">
        <f ca="1">$F$212</f>
        <v>4.4999999999999997E-3</v>
      </c>
      <c r="F384" s="402"/>
      <c r="G384" s="326"/>
      <c r="H384" s="404">
        <f t="shared" ca="1" si="29"/>
        <v>4.4999999999999997E-3</v>
      </c>
      <c r="I384" s="900" t="str">
        <f t="shared" ca="1" si="30"/>
        <v/>
      </c>
      <c r="J384" s="67"/>
      <c r="K384" s="68"/>
      <c r="L384" s="1103"/>
    </row>
    <row r="385" spans="1:12" ht="17.850000000000001" customHeight="1" x14ac:dyDescent="0.45">
      <c r="A385" s="1413" t="s">
        <v>167</v>
      </c>
      <c r="B385" s="1414"/>
      <c r="C385" s="1414"/>
      <c r="D385" s="1415"/>
      <c r="E385" s="832">
        <f ca="1">$F$239</f>
        <v>0.13689999999999999</v>
      </c>
      <c r="F385" s="402"/>
      <c r="G385" s="828"/>
      <c r="H385" s="833">
        <f t="shared" ca="1" si="29"/>
        <v>0.13689999999999999</v>
      </c>
      <c r="I385" s="900" t="str">
        <f t="shared" ca="1" si="30"/>
        <v/>
      </c>
      <c r="J385" s="67"/>
      <c r="K385" s="68"/>
      <c r="L385" s="1103"/>
    </row>
    <row r="386" spans="1:12" ht="17.850000000000001" customHeight="1" x14ac:dyDescent="0.45">
      <c r="A386" s="1417" t="s">
        <v>136</v>
      </c>
      <c r="B386" s="1418"/>
      <c r="C386" s="1418"/>
      <c r="D386" s="1418"/>
      <c r="E386" s="1418"/>
      <c r="F386" s="1418"/>
      <c r="G386" s="1418"/>
      <c r="H386" s="1418"/>
      <c r="I386" s="901"/>
      <c r="J386" s="67"/>
      <c r="K386" s="68"/>
      <c r="L386" s="1103"/>
    </row>
    <row r="387" spans="1:12" ht="17.850000000000001" customHeight="1" x14ac:dyDescent="0.45">
      <c r="A387" s="1374" t="s">
        <v>160</v>
      </c>
      <c r="B387" s="1375"/>
      <c r="C387" s="1375"/>
      <c r="D387" s="1375"/>
      <c r="E387" s="444" t="str">
        <f>IF(OR(F$263&lt;&gt;SUM(F388:F390),G$263&lt;&gt;SUM(G388:G390)),"!","")</f>
        <v/>
      </c>
      <c r="F387" s="145" t="s">
        <v>86</v>
      </c>
      <c r="G387" s="145" t="s">
        <v>115</v>
      </c>
      <c r="H387" s="406"/>
      <c r="I387" s="901"/>
      <c r="J387" s="1371" t="str">
        <f>IF(E387="!","Warnung: Es sind nicht alle Umlagen ausgewählt!","")</f>
        <v/>
      </c>
      <c r="K387" s="1372"/>
      <c r="L387" s="1103"/>
    </row>
    <row r="388" spans="1:12" ht="17.850000000000001" customHeight="1" x14ac:dyDescent="0.45">
      <c r="A388" s="1402"/>
      <c r="B388" s="1403"/>
      <c r="C388" s="1403"/>
      <c r="D388" s="1403"/>
      <c r="E388" s="1403"/>
      <c r="F388" s="406" t="str">
        <f>IFERROR(VLOOKUP(A388,A$253:G$257,6,FALSE),"")</f>
        <v/>
      </c>
      <c r="G388" s="416" t="str">
        <f>IFERROR(VLOOKUP(A388,A$253:G$257,7,FALSE),"")</f>
        <v/>
      </c>
      <c r="H388" s="182"/>
      <c r="I388" s="901"/>
      <c r="J388" s="1371"/>
      <c r="K388" s="1372"/>
      <c r="L388" s="1103"/>
    </row>
    <row r="389" spans="1:12" ht="17.850000000000001" customHeight="1" x14ac:dyDescent="0.45">
      <c r="A389" s="1450"/>
      <c r="B389" s="1451"/>
      <c r="C389" s="1451"/>
      <c r="D389" s="1451"/>
      <c r="E389" s="1451"/>
      <c r="F389" s="182" t="str">
        <f>IFERROR(VLOOKUP(A389,A$253:G$257,6,FALSE),"")</f>
        <v/>
      </c>
      <c r="G389" s="413" t="str">
        <f>IFERROR(VLOOKUP(A389,A$253:G$257,7,FALSE),"")</f>
        <v/>
      </c>
      <c r="H389" s="182"/>
      <c r="I389" s="901"/>
      <c r="J389" s="67"/>
      <c r="K389" s="68"/>
      <c r="L389" s="1103"/>
    </row>
    <row r="390" spans="1:12" ht="17.850000000000001" customHeight="1" x14ac:dyDescent="0.45">
      <c r="A390" s="1448" t="s">
        <v>129</v>
      </c>
      <c r="B390" s="1449"/>
      <c r="C390" s="1449"/>
      <c r="D390" s="1449"/>
      <c r="E390" s="1449"/>
      <c r="F390" s="178" t="str">
        <f>IFERROR(VLOOKUP(A390,A$253:G$257,6,FALSE),"")</f>
        <v/>
      </c>
      <c r="G390" s="409">
        <f>IFERROR(VLOOKUP(A390,A$253:G$257,7,FALSE),"")</f>
        <v>0</v>
      </c>
      <c r="H390" s="178"/>
      <c r="I390" s="901"/>
      <c r="J390" s="67"/>
      <c r="K390" s="68"/>
      <c r="L390" s="1103"/>
    </row>
    <row r="391" spans="1:12" ht="17.850000000000001" customHeight="1" x14ac:dyDescent="0.45">
      <c r="A391" s="1267" t="s">
        <v>161</v>
      </c>
      <c r="B391" s="1268"/>
      <c r="C391" s="1268"/>
      <c r="D391" s="1268"/>
      <c r="E391" s="1268"/>
      <c r="F391" s="1268"/>
      <c r="G391" s="1269"/>
      <c r="H391" s="820" t="str">
        <f>G268</f>
        <v/>
      </c>
      <c r="I391" s="901"/>
      <c r="J391" s="67"/>
      <c r="K391" s="68"/>
      <c r="L391" s="1103"/>
    </row>
    <row r="392" spans="1:12" ht="17.850000000000001" customHeight="1" x14ac:dyDescent="0.45">
      <c r="A392" s="1374" t="s">
        <v>169</v>
      </c>
      <c r="B392" s="1375"/>
      <c r="C392" s="1375"/>
      <c r="D392" s="1375"/>
      <c r="E392" s="1375"/>
      <c r="F392" s="1375"/>
      <c r="G392" s="1375"/>
      <c r="H392" s="1375"/>
      <c r="I392" s="899"/>
      <c r="J392" s="67"/>
      <c r="K392" s="68"/>
      <c r="L392" s="1103"/>
    </row>
    <row r="393" spans="1:12" ht="17.850000000000001" customHeight="1" x14ac:dyDescent="0.45">
      <c r="A393" s="1467" t="s">
        <v>591</v>
      </c>
      <c r="B393" s="1468"/>
      <c r="C393" s="1468"/>
      <c r="D393" s="1474"/>
      <c r="E393" s="818">
        <f>IFERROR(VLOOKUP(A393,'K2 GZ'!H$21:L$26,5,FALSE),"&lt;--prüfen")</f>
        <v>0.22411</v>
      </c>
      <c r="F393" s="1851" t="str">
        <f>IF(OR(E393&lt;0.01,E393=""),"GZ prüfen","")</f>
        <v/>
      </c>
      <c r="G393" s="1852"/>
      <c r="H393" s="819">
        <f>E393</f>
        <v>0.22411</v>
      </c>
      <c r="I393" s="901"/>
      <c r="J393" s="67"/>
      <c r="K393" s="68"/>
      <c r="L393" s="1103"/>
    </row>
    <row r="394" spans="1:12" ht="17.850000000000001" customHeight="1" x14ac:dyDescent="0.45">
      <c r="A394" s="876" t="s">
        <v>130</v>
      </c>
      <c r="B394" s="878"/>
      <c r="C394" s="1376" t="str">
        <f>D362</f>
        <v>LG 5 Qualifizierter Arbeitnehmer</v>
      </c>
      <c r="D394" s="1376"/>
      <c r="E394" s="1376"/>
      <c r="F394" s="1022" t="s">
        <v>644</v>
      </c>
      <c r="G394" s="934" t="e">
        <f ca="1">H394/D347-1</f>
        <v>#VALUE!</v>
      </c>
      <c r="H394" s="877" t="e">
        <f ca="1">' K3 Regie2'!N$45</f>
        <v>#VALUE!</v>
      </c>
      <c r="I394" s="905"/>
      <c r="J394" s="67"/>
      <c r="K394" s="68"/>
      <c r="L394" s="1103"/>
    </row>
    <row r="395" spans="1:12" ht="17.850000000000001" customHeight="1" x14ac:dyDescent="0.45">
      <c r="A395" s="1377"/>
      <c r="B395" s="1378"/>
      <c r="C395" s="1378"/>
      <c r="D395" s="1378"/>
      <c r="E395" s="1378"/>
      <c r="F395" s="1378"/>
      <c r="G395" s="1378"/>
      <c r="H395" s="1378"/>
      <c r="I395" s="1378"/>
      <c r="J395" s="67"/>
      <c r="K395" s="68"/>
      <c r="L395" s="1103"/>
    </row>
    <row r="396" spans="1:12" ht="17.850000000000001" customHeight="1" x14ac:dyDescent="0.45">
      <c r="A396" s="1438" t="s">
        <v>474</v>
      </c>
      <c r="B396" s="1439"/>
      <c r="C396" s="1439"/>
      <c r="D396" s="1439"/>
      <c r="E396" s="1439"/>
      <c r="F396" s="1439"/>
      <c r="G396" s="1439"/>
      <c r="H396" s="1439"/>
      <c r="I396" s="1439"/>
      <c r="J396" s="67"/>
      <c r="K396" s="68"/>
      <c r="L396" s="1103"/>
    </row>
    <row r="397" spans="1:12" ht="17.850000000000001" customHeight="1" x14ac:dyDescent="0.45">
      <c r="A397" s="1388" t="s">
        <v>475</v>
      </c>
      <c r="B397" s="1389"/>
      <c r="C397" s="1389"/>
      <c r="D397" s="1389"/>
      <c r="E397" s="1389"/>
      <c r="F397" s="1389"/>
      <c r="G397" s="1389"/>
      <c r="H397" s="1389"/>
      <c r="I397" s="1389"/>
      <c r="J397" s="67"/>
      <c r="K397" s="68"/>
      <c r="L397" s="1103"/>
    </row>
    <row r="398" spans="1:12" ht="17.850000000000001" customHeight="1" x14ac:dyDescent="0.45">
      <c r="A398" s="1436"/>
      <c r="B398" s="1437"/>
      <c r="C398" s="1437"/>
      <c r="D398" s="1437"/>
      <c r="E398" s="1437"/>
      <c r="F398" s="1437"/>
      <c r="G398" s="1437"/>
      <c r="H398" s="1437"/>
      <c r="I398" s="1437"/>
      <c r="J398" s="67"/>
      <c r="K398" s="68"/>
      <c r="L398" s="1103"/>
    </row>
    <row r="399" spans="1:12" ht="17.850000000000001" customHeight="1" x14ac:dyDescent="0.45">
      <c r="A399" s="1390"/>
      <c r="B399" s="1391"/>
      <c r="C399" s="1391"/>
      <c r="D399" s="1391"/>
      <c r="E399" s="1391"/>
      <c r="F399" s="1391"/>
      <c r="G399" s="1391"/>
      <c r="H399" s="1391"/>
      <c r="I399" s="1391"/>
      <c r="J399" s="67"/>
      <c r="K399" s="68"/>
      <c r="L399" s="1103"/>
    </row>
    <row r="400" spans="1:12" ht="17.850000000000001" customHeight="1" x14ac:dyDescent="0.45">
      <c r="A400" s="634"/>
      <c r="B400" s="635"/>
      <c r="C400" s="635"/>
      <c r="D400" s="635"/>
      <c r="E400" s="635"/>
      <c r="F400" s="635"/>
      <c r="G400" s="635"/>
      <c r="H400" s="635"/>
      <c r="I400" s="635"/>
      <c r="J400" s="67"/>
      <c r="K400" s="68"/>
      <c r="L400" s="1103"/>
    </row>
    <row r="401" spans="1:12" ht="17.850000000000001" customHeight="1" x14ac:dyDescent="0.65">
      <c r="A401" s="1866" t="s">
        <v>471</v>
      </c>
      <c r="B401" s="1867"/>
      <c r="C401" s="1867"/>
      <c r="D401" s="1867"/>
      <c r="E401" s="1867"/>
      <c r="F401" s="1867"/>
      <c r="G401" s="1867"/>
      <c r="H401" s="1868"/>
      <c r="I401" s="906"/>
      <c r="J401" s="67"/>
      <c r="K401" s="68"/>
      <c r="L401" s="1103"/>
    </row>
    <row r="402" spans="1:12" ht="17.850000000000001" customHeight="1" x14ac:dyDescent="0.45">
      <c r="A402" s="1382" t="str">
        <f>A$12</f>
        <v xml:space="preserve">Bezeichnung (Produktionsfaktor-Nr.): </v>
      </c>
      <c r="B402" s="1383"/>
      <c r="C402" s="1384"/>
      <c r="D402" s="1388" t="s">
        <v>665</v>
      </c>
      <c r="E402" s="1389"/>
      <c r="F402" s="1389"/>
      <c r="G402" s="1389"/>
      <c r="H402" s="1389"/>
      <c r="I402" s="907"/>
      <c r="J402" s="67"/>
      <c r="K402" s="68"/>
      <c r="L402" s="1103"/>
    </row>
    <row r="403" spans="1:12" ht="17.850000000000001" customHeight="1" x14ac:dyDescent="0.45">
      <c r="A403" s="1385"/>
      <c r="B403" s="1386"/>
      <c r="C403" s="1387"/>
      <c r="D403" s="1390"/>
      <c r="E403" s="1391"/>
      <c r="F403" s="1391"/>
      <c r="G403" s="1391"/>
      <c r="H403" s="1391"/>
      <c r="I403" s="907"/>
      <c r="J403" s="67"/>
      <c r="K403" s="68"/>
      <c r="L403" s="1103"/>
    </row>
    <row r="404" spans="1:12" ht="17.850000000000001" customHeight="1" x14ac:dyDescent="0.45">
      <c r="A404" s="1338" t="s">
        <v>235</v>
      </c>
      <c r="B404" s="1338"/>
      <c r="C404" s="1338"/>
      <c r="D404" s="1338"/>
      <c r="E404" s="107" t="s">
        <v>23</v>
      </c>
      <c r="F404" s="107" t="s">
        <v>83</v>
      </c>
      <c r="G404" s="73" t="s">
        <v>89</v>
      </c>
      <c r="H404" s="176" t="s">
        <v>90</v>
      </c>
      <c r="I404" s="907"/>
      <c r="J404" s="67"/>
      <c r="K404" s="68"/>
      <c r="L404" s="1103"/>
    </row>
    <row r="405" spans="1:12" ht="17.850000000000001" customHeight="1" thickBot="1" x14ac:dyDescent="0.5">
      <c r="A405" s="1392" t="s">
        <v>658</v>
      </c>
      <c r="B405" s="1393"/>
      <c r="C405" s="1394"/>
      <c r="D405" s="79" t="str">
        <f ca="1">IFERROR(VLOOKUP(A405,Stammdaten!A$7:D$33,4,FALSE),"&lt;-- Prüfen!")</f>
        <v>&lt;-- Prüfen!</v>
      </c>
      <c r="E405" s="120">
        <v>1</v>
      </c>
      <c r="F405" s="81">
        <v>1</v>
      </c>
      <c r="G405" s="93" t="str">
        <f ca="1">IFERROR(VLOOKUP(A405,Stammdaten!A$7:F$33,4,FALSE)*F405,"")</f>
        <v/>
      </c>
      <c r="H405" s="177" t="str">
        <f ca="1">IFERROR(VLOOKUP(A405,Stammdaten!A$7:F$33,6,FALSE)*F405,"")</f>
        <v/>
      </c>
      <c r="I405" s="907"/>
      <c r="J405" s="1395"/>
      <c r="K405" s="1396"/>
      <c r="L405" s="1373" t="str">
        <f ca="1">IF(AND(D405&gt;0,E405=0),"Anzahl / Anteil eingeben","")</f>
        <v/>
      </c>
    </row>
    <row r="406" spans="1:12" ht="17.850000000000001" customHeight="1" x14ac:dyDescent="0.45">
      <c r="A406" s="1379" t="s">
        <v>117</v>
      </c>
      <c r="B406" s="1380"/>
      <c r="C406" s="1380"/>
      <c r="D406" s="1381"/>
      <c r="E406" s="77">
        <f>E405</f>
        <v>1</v>
      </c>
      <c r="F406" s="78">
        <v>1</v>
      </c>
      <c r="G406" s="79">
        <f ca="1">IF(AND(_OK?="OK!",_OK_KV?="OK_KV!"),SUM(G405),ROUNDUP(G405,0))</f>
        <v>0</v>
      </c>
      <c r="H406" s="178">
        <f ca="1">SUM(H405:H405)</f>
        <v>0</v>
      </c>
      <c r="I406" s="908" t="str">
        <f ca="1">IF(OR(_OK?&lt;&gt;"OK!",_OK_KV?&lt;&gt;"OK_KV!"),"X","")</f>
        <v/>
      </c>
      <c r="J406" s="1395"/>
      <c r="K406" s="1396"/>
      <c r="L406" s="1373"/>
    </row>
    <row r="407" spans="1:12" ht="17.850000000000001" customHeight="1" x14ac:dyDescent="0.45">
      <c r="A407" s="1374" t="s">
        <v>336</v>
      </c>
      <c r="B407" s="1375"/>
      <c r="C407" s="1375"/>
      <c r="D407" s="1375"/>
      <c r="E407" s="1375"/>
      <c r="F407" s="1375"/>
      <c r="G407" s="1375"/>
      <c r="H407" s="1375"/>
      <c r="I407" s="907"/>
      <c r="J407" s="855"/>
      <c r="K407" s="856"/>
      <c r="L407" s="1103"/>
    </row>
    <row r="408" spans="1:12" ht="17.850000000000001" customHeight="1" thickBot="1" x14ac:dyDescent="0.5">
      <c r="A408" s="1392"/>
      <c r="B408" s="1393"/>
      <c r="C408" s="1394"/>
      <c r="D408" s="79">
        <f ca="1">IFERROR(VLOOKUP(A408,Stammdaten!A$7:D$33,4,FALSE),"&lt;-- Prüfen!")</f>
        <v>0</v>
      </c>
      <c r="E408" s="329"/>
      <c r="F408" s="81" t="str">
        <f>IF(A408&lt;&gt;"",E408/E409,"")</f>
        <v/>
      </c>
      <c r="G408" s="93" t="str">
        <f ca="1">IFERROR(VLOOKUP(A408,Stammdaten!A$7:F$33,4,FALSE)*F408,"")</f>
        <v/>
      </c>
      <c r="H408" s="177" t="str">
        <f ca="1">IFERROR(VLOOKUP(A408,Stammdaten!A$7:F$33,6,FALSE)*F408,"")</f>
        <v/>
      </c>
      <c r="I408" s="909" t="str">
        <f>IF(AND(E408&gt;0,A408=""),"Beschäftigungsgruppe wählen oder Anzahl = 0","")</f>
        <v/>
      </c>
      <c r="J408" s="1395" t="str">
        <f>IF(AND(E408&gt;0,A408=""),"Beschäftigungsgruppe auswählen oder Anzahl = 0 oder löschen!","")</f>
        <v/>
      </c>
      <c r="K408" s="1396"/>
      <c r="L408" s="1373" t="str">
        <f ca="1">IF(AND(D408&gt;0,E408=0),"Anzahl / Anteil eingeben","")</f>
        <v/>
      </c>
    </row>
    <row r="409" spans="1:12" ht="17.850000000000001" customHeight="1" x14ac:dyDescent="0.45">
      <c r="A409" s="601" t="s">
        <v>117</v>
      </c>
      <c r="B409" s="602"/>
      <c r="C409" s="602"/>
      <c r="D409" s="603"/>
      <c r="E409" s="121">
        <f>SUM(E408:E408)</f>
        <v>0</v>
      </c>
      <c r="F409" s="78">
        <f>SUM(F408:F408)</f>
        <v>0</v>
      </c>
      <c r="G409" s="79">
        <f ca="1">SUM(G408:G408)</f>
        <v>0</v>
      </c>
      <c r="H409" s="178">
        <f ca="1">SUM(H408:H408)</f>
        <v>0</v>
      </c>
      <c r="I409" s="907"/>
      <c r="J409" s="1395"/>
      <c r="K409" s="1396"/>
      <c r="L409" s="1373"/>
    </row>
    <row r="410" spans="1:12" ht="17.850000000000001" customHeight="1" x14ac:dyDescent="0.45">
      <c r="A410" s="109"/>
      <c r="B410" s="102"/>
      <c r="C410" s="102"/>
      <c r="D410" s="102"/>
      <c r="E410" s="102"/>
      <c r="F410" s="102"/>
      <c r="G410" s="418"/>
      <c r="H410" s="418"/>
      <c r="I410" s="910"/>
      <c r="J410" s="67"/>
      <c r="K410" s="68"/>
      <c r="L410" s="1103"/>
    </row>
    <row r="411" spans="1:12" ht="17.850000000000001" customHeight="1" x14ac:dyDescent="0.45">
      <c r="A411" s="1267" t="s">
        <v>208</v>
      </c>
      <c r="B411" s="1268"/>
      <c r="C411" s="1268"/>
      <c r="D411" s="1268"/>
      <c r="E411" s="1268"/>
      <c r="F411" s="1268"/>
      <c r="G411" s="1268"/>
      <c r="H411" s="363">
        <v>1</v>
      </c>
      <c r="I411" s="907"/>
      <c r="J411" s="1339" t="str">
        <f>IF(ISBLANK(H411),"Kennzeichen eingeben!","")</f>
        <v/>
      </c>
      <c r="K411" s="1340"/>
      <c r="L411" s="1103"/>
    </row>
    <row r="412" spans="1:12" ht="17.850000000000001" customHeight="1" thickBot="1" x14ac:dyDescent="0.5">
      <c r="A412" s="1427" t="s">
        <v>554</v>
      </c>
      <c r="B412" s="1428"/>
      <c r="C412" s="1428"/>
      <c r="D412" s="1428"/>
      <c r="E412" s="659" t="s">
        <v>96</v>
      </c>
      <c r="F412" s="149">
        <f>IF(H411=1,E406,E406-E409)</f>
        <v>1</v>
      </c>
      <c r="G412" s="660" t="s">
        <v>97</v>
      </c>
      <c r="H412" s="179">
        <f>E409</f>
        <v>0</v>
      </c>
      <c r="I412" s="907"/>
      <c r="J412" s="67"/>
      <c r="K412" s="68"/>
      <c r="L412" s="1103"/>
    </row>
    <row r="413" spans="1:12" ht="17.850000000000001" customHeight="1" thickBot="1" x14ac:dyDescent="0.5">
      <c r="A413" s="72"/>
      <c r="B413" s="107"/>
      <c r="C413" s="597"/>
      <c r="D413" s="107" t="s">
        <v>89</v>
      </c>
      <c r="E413" s="597" t="s">
        <v>90</v>
      </c>
      <c r="F413" s="479" t="s">
        <v>171</v>
      </c>
      <c r="G413" s="476" t="s">
        <v>108</v>
      </c>
      <c r="H413" s="477" t="s">
        <v>90</v>
      </c>
      <c r="I413" s="911"/>
      <c r="J413" s="67"/>
      <c r="K413" s="68"/>
      <c r="L413" s="1103"/>
    </row>
    <row r="414" spans="1:12" ht="17.850000000000001" customHeight="1" x14ac:dyDescent="0.45">
      <c r="A414" s="72" t="s">
        <v>92</v>
      </c>
      <c r="B414" s="107"/>
      <c r="C414" s="597"/>
      <c r="D414" s="122">
        <f ca="1">G406*F412</f>
        <v>0</v>
      </c>
      <c r="E414" s="147">
        <f ca="1">F412*H406</f>
        <v>0</v>
      </c>
      <c r="F414" s="478" t="s">
        <v>365</v>
      </c>
      <c r="G414" s="79">
        <f ca="1">D414</f>
        <v>0</v>
      </c>
      <c r="H414" s="475">
        <f ca="1">D416</f>
        <v>0</v>
      </c>
      <c r="I414" s="911"/>
      <c r="J414" s="67"/>
      <c r="K414" s="68"/>
      <c r="L414" s="1103"/>
    </row>
    <row r="415" spans="1:12" ht="17.850000000000001" customHeight="1" thickBot="1" x14ac:dyDescent="0.5">
      <c r="A415" s="125" t="s">
        <v>93</v>
      </c>
      <c r="B415" s="126"/>
      <c r="C415" s="127"/>
      <c r="D415" s="128">
        <f ca="1">H412*G409</f>
        <v>0</v>
      </c>
      <c r="E415" s="148">
        <f ca="1">H412*H409</f>
        <v>0</v>
      </c>
      <c r="F415" s="469" t="s">
        <v>364</v>
      </c>
      <c r="G415" s="93">
        <f ca="1">D415</f>
        <v>0</v>
      </c>
      <c r="H415" s="468">
        <f ca="1">E416</f>
        <v>0</v>
      </c>
      <c r="I415" s="911"/>
      <c r="J415" s="67"/>
      <c r="K415" s="68"/>
      <c r="L415" s="1103"/>
    </row>
    <row r="416" spans="1:12" ht="17.850000000000001" customHeight="1" x14ac:dyDescent="0.45">
      <c r="A416" s="201"/>
      <c r="B416" s="197"/>
      <c r="C416" s="202" t="s">
        <v>68</v>
      </c>
      <c r="D416" s="203">
        <f ca="1">SUM(D414:D415)</f>
        <v>0</v>
      </c>
      <c r="E416" s="204">
        <f ca="1">SUM(E414:E415)</f>
        <v>0</v>
      </c>
      <c r="F416" s="470" t="s">
        <v>109</v>
      </c>
      <c r="G416" s="198" t="e">
        <f ca="1">G415/G414</f>
        <v>#DIV/0!</v>
      </c>
      <c r="H416" s="466" t="e">
        <f ca="1">H415/H414</f>
        <v>#DIV/0!</v>
      </c>
      <c r="I416" s="907"/>
      <c r="J416" s="67"/>
      <c r="K416" s="68"/>
      <c r="L416" s="1103"/>
    </row>
    <row r="417" spans="1:12" ht="17.850000000000001" customHeight="1" thickBot="1" x14ac:dyDescent="0.5">
      <c r="A417" s="172"/>
      <c r="B417" s="195"/>
      <c r="C417" s="195" t="s">
        <v>234</v>
      </c>
      <c r="D417" s="205">
        <f ca="1">H$55</f>
        <v>0.1004</v>
      </c>
      <c r="E417" s="1397" t="s">
        <v>232</v>
      </c>
      <c r="F417" s="1397"/>
      <c r="G417" s="330"/>
      <c r="H417" s="364"/>
      <c r="I417" s="908" t="str">
        <f>IF(OR(G417&lt;&gt;0,H417&lt;&gt;0),"X","")</f>
        <v/>
      </c>
      <c r="J417" s="67"/>
      <c r="K417" s="68"/>
      <c r="L417" s="1103"/>
    </row>
    <row r="418" spans="1:12" ht="17.850000000000001" customHeight="1" x14ac:dyDescent="0.45">
      <c r="A418" s="201"/>
      <c r="B418" s="197"/>
      <c r="C418" s="102"/>
      <c r="D418" s="199"/>
      <c r="E418" s="1398" t="s">
        <v>233</v>
      </c>
      <c r="F418" s="1398"/>
      <c r="G418" s="198" t="e">
        <f ca="1">G416+G417</f>
        <v>#DIV/0!</v>
      </c>
      <c r="H418" s="365" t="e">
        <f ca="1">H416+H417</f>
        <v>#DIV/0!</v>
      </c>
      <c r="I418" s="907"/>
      <c r="J418" s="67"/>
      <c r="K418" s="68"/>
      <c r="L418" s="1103"/>
    </row>
    <row r="419" spans="1:12" ht="17.850000000000001" customHeight="1" x14ac:dyDescent="0.45">
      <c r="A419" s="129"/>
      <c r="B419" s="159"/>
      <c r="C419" s="605"/>
      <c r="D419" s="196"/>
      <c r="E419" s="140"/>
      <c r="F419" s="140"/>
      <c r="G419" s="200" t="s">
        <v>176</v>
      </c>
      <c r="H419" s="366" t="s">
        <v>177</v>
      </c>
      <c r="I419" s="907"/>
      <c r="J419" s="67"/>
      <c r="K419" s="68"/>
      <c r="L419" s="1103"/>
    </row>
    <row r="420" spans="1:12" ht="17.850000000000001" customHeight="1" x14ac:dyDescent="0.45">
      <c r="A420" s="622" t="s">
        <v>130</v>
      </c>
      <c r="B420" s="623"/>
      <c r="C420" s="623"/>
      <c r="D420" s="1869" t="str">
        <f>IF(A405=0,"Beschäftigungsgruppe wählen!",A405)</f>
        <v>LG 2 Qualifizierter Facharbeiter</v>
      </c>
      <c r="E420" s="1869"/>
      <c r="F420" s="1869"/>
      <c r="G420" s="1870"/>
      <c r="H420" s="624" t="e">
        <f ca="1">' K3 Regie3'!N$45</f>
        <v>#VALUE!</v>
      </c>
      <c r="I420" s="907"/>
      <c r="J420" s="67"/>
      <c r="K420" s="68"/>
      <c r="L420" s="1103"/>
    </row>
    <row r="421" spans="1:12" ht="17.850000000000001" customHeight="1" x14ac:dyDescent="0.45">
      <c r="A421" s="1464"/>
      <c r="B421" s="1465"/>
      <c r="C421" s="1465"/>
      <c r="D421" s="1465"/>
      <c r="E421" s="1465"/>
      <c r="F421" s="1465"/>
      <c r="G421" s="1465"/>
      <c r="H421" s="1465"/>
      <c r="I421" s="907"/>
      <c r="J421" s="67"/>
      <c r="K421" s="68"/>
      <c r="L421" s="1103"/>
    </row>
    <row r="422" spans="1:12" ht="17.850000000000001" customHeight="1" x14ac:dyDescent="0.45">
      <c r="A422" s="1454" t="s">
        <v>236</v>
      </c>
      <c r="B422" s="1455"/>
      <c r="C422" s="1455"/>
      <c r="D422" s="1456"/>
      <c r="E422" s="1419" t="s">
        <v>162</v>
      </c>
      <c r="F422" s="1419" t="s">
        <v>228</v>
      </c>
      <c r="G422" s="1419" t="s">
        <v>231</v>
      </c>
      <c r="H422" s="1341" t="s">
        <v>163</v>
      </c>
      <c r="I422" s="912"/>
      <c r="J422" s="67"/>
      <c r="K422" s="68"/>
      <c r="L422" s="1103"/>
    </row>
    <row r="423" spans="1:12" ht="17.850000000000001" customHeight="1" x14ac:dyDescent="0.45">
      <c r="A423" s="1457"/>
      <c r="B423" s="1458"/>
      <c r="C423" s="1458"/>
      <c r="D423" s="1459"/>
      <c r="E423" s="1420"/>
      <c r="F423" s="1420"/>
      <c r="G423" s="1420"/>
      <c r="H423" s="1342"/>
      <c r="I423" s="912"/>
      <c r="J423" s="67"/>
      <c r="K423" s="68"/>
      <c r="L423" s="1103"/>
    </row>
    <row r="424" spans="1:12" ht="17.850000000000001" customHeight="1" x14ac:dyDescent="0.45">
      <c r="A424" s="1857"/>
      <c r="B424" s="1858"/>
      <c r="C424" s="1858"/>
      <c r="D424" s="1859"/>
      <c r="E424" s="1421"/>
      <c r="F424" s="1421"/>
      <c r="G424" s="1421"/>
      <c r="H424" s="1343"/>
      <c r="I424" s="907"/>
      <c r="J424" s="67"/>
      <c r="K424" s="68"/>
      <c r="L424" s="1103"/>
    </row>
    <row r="425" spans="1:12" ht="17.850000000000001" customHeight="1" x14ac:dyDescent="0.45">
      <c r="A425" s="1425" t="s">
        <v>339</v>
      </c>
      <c r="B425" s="1425"/>
      <c r="C425" s="1425"/>
      <c r="D425" s="1413"/>
      <c r="E425" s="403">
        <v>0</v>
      </c>
      <c r="F425" s="402"/>
      <c r="G425" s="326"/>
      <c r="H425" s="403">
        <f>IF(ISBLANK(G425),E425,G425)</f>
        <v>0</v>
      </c>
      <c r="I425" s="908" t="str">
        <f>IF(G425&lt;&gt;0,"X","")</f>
        <v/>
      </c>
      <c r="J425" s="67"/>
      <c r="K425" s="68"/>
      <c r="L425" s="1103"/>
    </row>
    <row r="426" spans="1:12" ht="17.850000000000001" customHeight="1" x14ac:dyDescent="0.45">
      <c r="A426" s="1344" t="s">
        <v>159</v>
      </c>
      <c r="B426" s="1345"/>
      <c r="C426" s="1345"/>
      <c r="D426" s="1345"/>
      <c r="E426" s="410">
        <v>1</v>
      </c>
      <c r="F426" s="396"/>
      <c r="G426" s="411"/>
      <c r="H426" s="412">
        <f t="shared" ref="H426" si="31">IF(F426=1,G426,E426)</f>
        <v>1</v>
      </c>
      <c r="I426" s="909"/>
      <c r="J426" s="67"/>
      <c r="K426" s="68"/>
      <c r="L426" s="1103"/>
    </row>
    <row r="427" spans="1:12" ht="17.850000000000001" customHeight="1" x14ac:dyDescent="0.45">
      <c r="A427" s="1404" t="s">
        <v>500</v>
      </c>
      <c r="B427" s="1405"/>
      <c r="C427" s="1405"/>
      <c r="D427" s="1406"/>
      <c r="E427" s="426"/>
      <c r="F427" s="363">
        <v>1</v>
      </c>
      <c r="G427" s="434"/>
      <c r="H427" s="431"/>
      <c r="I427" s="908" t="str">
        <f>IF(F427&lt;&gt;0,"X","")</f>
        <v>X</v>
      </c>
      <c r="J427" s="1339" t="str">
        <f>IF(F427+F431+F435&gt;1,"Zusätzlich mit Verrechnungsstd.?","")</f>
        <v/>
      </c>
      <c r="K427" s="1340"/>
      <c r="L427" s="1103"/>
    </row>
    <row r="428" spans="1:12" ht="17.850000000000001" customHeight="1" x14ac:dyDescent="0.45">
      <c r="A428" s="397" t="s">
        <v>128</v>
      </c>
      <c r="B428" s="1407" t="s">
        <v>664</v>
      </c>
      <c r="C428" s="1407"/>
      <c r="D428" s="1407"/>
      <c r="E428" s="398">
        <f ca="1">IFERROR(VLOOKUP(B428,Stammdaten!A$39:C$48,3,FALSE),"")</f>
        <v>0.5</v>
      </c>
      <c r="F428" s="430"/>
      <c r="G428" s="436"/>
      <c r="H428" s="432"/>
      <c r="I428" s="909"/>
      <c r="J428" s="1339" t="str">
        <f ca="1">IF(AND(F427=1,E428=0),"Arbeitszeitzuschlag auswählen!","")</f>
        <v/>
      </c>
      <c r="K428" s="1340"/>
      <c r="L428" s="1103"/>
    </row>
    <row r="429" spans="1:12" ht="17.850000000000001" customHeight="1" x14ac:dyDescent="0.45">
      <c r="A429" s="1408" t="s">
        <v>211</v>
      </c>
      <c r="B429" s="1409"/>
      <c r="C429" s="1409"/>
      <c r="D429" s="1409"/>
      <c r="E429" s="399">
        <f ca="1">IFERROR(IF(VLOOKUP(B428,Stammdaten!A$39:C$48,2,FALSE)=0,1,(VLOOKUP(B428,Stammdaten!A$39:C$48,2,FALSE))),"")</f>
        <v>1</v>
      </c>
      <c r="F429" s="430"/>
      <c r="G429" s="435"/>
      <c r="H429" s="433"/>
      <c r="I429" s="909"/>
      <c r="J429" s="67"/>
      <c r="K429" s="68"/>
      <c r="L429" s="1103"/>
    </row>
    <row r="430" spans="1:12" ht="17.850000000000001" customHeight="1" x14ac:dyDescent="0.45">
      <c r="A430" s="1410" t="s">
        <v>503</v>
      </c>
      <c r="B430" s="1411"/>
      <c r="C430" s="1411"/>
      <c r="D430" s="1412"/>
      <c r="E430" s="429"/>
      <c r="F430" s="554">
        <v>2</v>
      </c>
      <c r="G430" s="437" t="e">
        <f ca="1">IF(F430=1,1,IF(F430=2,((' K3 Regie3'!O$23+' K3 Regie3'!O$24)/' K3 Regie3'!O$23),IF(F430&gt;2,((' K3 Regie3'!O$23+' K3 Regie3'!O$24+' K3 Regie3'!O$25)/' K3 Regie3'!O$23),"")))</f>
        <v>#VALUE!</v>
      </c>
      <c r="H430" s="432" t="e">
        <f ca="1">IF(F427*F430&gt;0,(E428*E429*G430),0)</f>
        <v>#VALUE!</v>
      </c>
      <c r="I430" s="909"/>
      <c r="J430" s="1339" t="str">
        <f>IF(AND(ISBLANK(F430),F427=1),"Kennzeichen setzen!","")</f>
        <v/>
      </c>
      <c r="K430" s="1340"/>
      <c r="L430" s="1103"/>
    </row>
    <row r="431" spans="1:12" ht="17.850000000000001" customHeight="1" x14ac:dyDescent="0.45">
      <c r="A431" s="1404" t="s">
        <v>501</v>
      </c>
      <c r="B431" s="1405"/>
      <c r="C431" s="1405"/>
      <c r="D431" s="1406"/>
      <c r="E431" s="426"/>
      <c r="F431" s="363">
        <v>0</v>
      </c>
      <c r="G431" s="434"/>
      <c r="H431" s="431"/>
      <c r="I431" s="908" t="str">
        <f>IF(F431&lt;&gt;0,"X","")</f>
        <v/>
      </c>
      <c r="J431" s="1339"/>
      <c r="K431" s="1340"/>
      <c r="L431" s="1103"/>
    </row>
    <row r="432" spans="1:12" ht="17.850000000000001" customHeight="1" x14ac:dyDescent="0.45">
      <c r="A432" s="397" t="s">
        <v>352</v>
      </c>
      <c r="B432" s="1407"/>
      <c r="C432" s="1407"/>
      <c r="D432" s="1407"/>
      <c r="E432" s="398">
        <f ca="1">IFERROR(VLOOKUP(B432,Stammdaten!A$50:C$54,3,FALSE),"")</f>
        <v>0</v>
      </c>
      <c r="F432" s="430"/>
      <c r="G432" s="436"/>
      <c r="H432" s="432"/>
      <c r="I432" s="909"/>
      <c r="J432" s="852"/>
      <c r="K432" s="853"/>
      <c r="L432" s="1103"/>
    </row>
    <row r="433" spans="1:12" ht="17.850000000000001" customHeight="1" x14ac:dyDescent="0.45">
      <c r="A433" s="1408" t="s">
        <v>353</v>
      </c>
      <c r="B433" s="1409"/>
      <c r="C433" s="1409"/>
      <c r="D433" s="1409"/>
      <c r="E433" s="399">
        <f ca="1">IFERROR(IF(VLOOKUP(B432,Stammdaten!A$50:C$54,2,FALSE)=0,1,(VLOOKUP(B432,Stammdaten!A$50:C$54,2,FALSE))),"")</f>
        <v>1</v>
      </c>
      <c r="F433" s="430"/>
      <c r="G433" s="435"/>
      <c r="H433" s="433"/>
      <c r="I433" s="909"/>
      <c r="J433" s="852"/>
      <c r="K433" s="853"/>
      <c r="L433" s="1103"/>
    </row>
    <row r="434" spans="1:12" ht="17.850000000000001" customHeight="1" x14ac:dyDescent="0.45">
      <c r="A434" s="1410" t="s">
        <v>503</v>
      </c>
      <c r="B434" s="1411"/>
      <c r="C434" s="1411"/>
      <c r="D434" s="1412"/>
      <c r="E434" s="429"/>
      <c r="F434" s="554">
        <v>2</v>
      </c>
      <c r="G434" s="437" t="e">
        <f ca="1">IF(F434=1,1,IF(F434=2,((' K3 Regie3'!O$23+' K3 Regie3'!O$24)/' K3 Regie3'!O$23),IF(F434&gt;2,((' K3 Regie3'!O$23+' K3 Regie3'!O$24+' K3 Regie3'!O$25)/' K3 Regie3'!O$23),"")))</f>
        <v>#VALUE!</v>
      </c>
      <c r="H434" s="432">
        <f>IF(F431*F434&gt;0,(E432*E433*G434),0)</f>
        <v>0</v>
      </c>
      <c r="I434" s="909"/>
      <c r="J434" s="1339" t="str">
        <f>IF(AND(ISBLANK(F434),F431=1),"Kennzeichen setzen!","")</f>
        <v/>
      </c>
      <c r="K434" s="1340"/>
      <c r="L434" s="1103"/>
    </row>
    <row r="435" spans="1:12" ht="17.850000000000001" customHeight="1" x14ac:dyDescent="0.45">
      <c r="A435" s="1404" t="s">
        <v>502</v>
      </c>
      <c r="B435" s="1405"/>
      <c r="C435" s="1405"/>
      <c r="D435" s="1406"/>
      <c r="E435" s="426"/>
      <c r="F435" s="194">
        <v>0</v>
      </c>
      <c r="G435" s="427"/>
      <c r="H435" s="428"/>
      <c r="I435" s="908" t="str">
        <f>IF(F435&lt;&gt;0,"X","")</f>
        <v/>
      </c>
      <c r="J435" s="1339"/>
      <c r="K435" s="1340"/>
      <c r="L435" s="1103"/>
    </row>
    <row r="436" spans="1:12" ht="17.850000000000001" customHeight="1" thickBot="1" x14ac:dyDescent="0.5">
      <c r="A436" s="439" t="s">
        <v>354</v>
      </c>
      <c r="B436" s="1416"/>
      <c r="C436" s="1416"/>
      <c r="D436" s="1416"/>
      <c r="E436" s="440">
        <f ca="1">IFERROR(VLOOKUP(B436,Stammdaten!A$56:C$60,2,FALSE),"")</f>
        <v>0</v>
      </c>
      <c r="F436" s="441" t="s">
        <v>351</v>
      </c>
      <c r="G436" s="442" t="e">
        <f ca="1">' K3 Regie3'!$O$21</f>
        <v>#VALUE!</v>
      </c>
      <c r="H436" s="443">
        <f>IF(F435=1,E436/G436,0)</f>
        <v>0</v>
      </c>
      <c r="I436" s="909"/>
      <c r="J436" s="852"/>
      <c r="K436" s="853"/>
      <c r="L436" s="1103"/>
    </row>
    <row r="437" spans="1:12" ht="17.850000000000001" customHeight="1" thickBot="1" x14ac:dyDescent="0.5">
      <c r="A437" s="633" t="s">
        <v>164</v>
      </c>
      <c r="B437" s="438"/>
      <c r="C437" s="438"/>
      <c r="D437" s="438"/>
      <c r="E437" s="414"/>
      <c r="F437" s="414"/>
      <c r="G437" s="414"/>
      <c r="H437" s="415" t="e">
        <f ca="1">SUM(H427:H436)</f>
        <v>#VALUE!</v>
      </c>
      <c r="I437" s="909"/>
      <c r="J437" s="67"/>
      <c r="K437" s="68"/>
      <c r="L437" s="1103"/>
    </row>
    <row r="438" spans="1:12" ht="17.850000000000001" customHeight="1" x14ac:dyDescent="0.45">
      <c r="A438" s="1410" t="s">
        <v>346</v>
      </c>
      <c r="B438" s="1411"/>
      <c r="C438" s="1411"/>
      <c r="D438" s="1412"/>
      <c r="E438" s="306">
        <f ca="1">$H$139</f>
        <v>0.87</v>
      </c>
      <c r="F438" s="400"/>
      <c r="G438" s="401"/>
      <c r="H438" s="376">
        <f t="shared" ref="H438:H443" ca="1" si="32">IF(ISBLANK(G438),E438,G438)</f>
        <v>0.87</v>
      </c>
      <c r="I438" s="908" t="str">
        <f ca="1">IF(OR(G438&lt;&gt;0,E438&lt;&gt;H438),"X","")</f>
        <v/>
      </c>
      <c r="J438" s="67"/>
      <c r="K438" s="68"/>
      <c r="L438" s="1103"/>
    </row>
    <row r="439" spans="1:12" ht="17.850000000000001" customHeight="1" x14ac:dyDescent="0.45">
      <c r="A439" s="1413" t="s">
        <v>355</v>
      </c>
      <c r="B439" s="1414"/>
      <c r="C439" s="1414"/>
      <c r="D439" s="1415"/>
      <c r="E439" s="210">
        <f ca="1">$G$139</f>
        <v>0.83</v>
      </c>
      <c r="F439" s="402"/>
      <c r="G439" s="327"/>
      <c r="H439" s="377">
        <f t="shared" ca="1" si="32"/>
        <v>0.83</v>
      </c>
      <c r="I439" s="908" t="str">
        <f t="shared" ref="I439:I443" ca="1" si="33">IF(OR(G439&lt;&gt;0,E439&lt;&gt;H439),"X","")</f>
        <v/>
      </c>
      <c r="J439" s="67"/>
      <c r="K439" s="68"/>
      <c r="L439" s="1103"/>
    </row>
    <row r="440" spans="1:12" ht="17.850000000000001" customHeight="1" x14ac:dyDescent="0.45">
      <c r="A440" s="1413" t="s">
        <v>165</v>
      </c>
      <c r="B440" s="1414"/>
      <c r="C440" s="1414"/>
      <c r="D440" s="1415"/>
      <c r="E440" s="403">
        <f ca="1">$H$180</f>
        <v>0.2994</v>
      </c>
      <c r="F440" s="402"/>
      <c r="G440" s="326"/>
      <c r="H440" s="404">
        <f t="shared" ca="1" si="32"/>
        <v>0.2994</v>
      </c>
      <c r="I440" s="908" t="str">
        <f t="shared" ca="1" si="33"/>
        <v/>
      </c>
      <c r="J440" s="67"/>
      <c r="K440" s="68"/>
      <c r="L440" s="1103"/>
    </row>
    <row r="441" spans="1:12" ht="17.850000000000001" customHeight="1" x14ac:dyDescent="0.45">
      <c r="A441" s="1413" t="s">
        <v>347</v>
      </c>
      <c r="B441" s="1414"/>
      <c r="C441" s="1414"/>
      <c r="D441" s="1415"/>
      <c r="E441" s="403">
        <f ca="1">$H$199</f>
        <v>0.7</v>
      </c>
      <c r="F441" s="402"/>
      <c r="G441" s="326"/>
      <c r="H441" s="404">
        <f t="shared" ca="1" si="32"/>
        <v>0.7</v>
      </c>
      <c r="I441" s="908" t="str">
        <f t="shared" ca="1" si="33"/>
        <v/>
      </c>
      <c r="J441" s="67"/>
      <c r="K441" s="68"/>
      <c r="L441" s="1103"/>
    </row>
    <row r="442" spans="1:12" ht="17.850000000000001" customHeight="1" x14ac:dyDescent="0.45">
      <c r="A442" s="1413" t="s">
        <v>166</v>
      </c>
      <c r="B442" s="1414"/>
      <c r="C442" s="1414"/>
      <c r="D442" s="1415"/>
      <c r="E442" s="403">
        <f ca="1">$F$212</f>
        <v>4.4999999999999997E-3</v>
      </c>
      <c r="F442" s="402"/>
      <c r="G442" s="326"/>
      <c r="H442" s="404">
        <f t="shared" ca="1" si="32"/>
        <v>4.4999999999999997E-3</v>
      </c>
      <c r="I442" s="908" t="str">
        <f t="shared" ca="1" si="33"/>
        <v/>
      </c>
      <c r="J442" s="67"/>
      <c r="K442" s="68"/>
      <c r="L442" s="1103"/>
    </row>
    <row r="443" spans="1:12" ht="17.850000000000001" customHeight="1" x14ac:dyDescent="0.45">
      <c r="A443" s="1413" t="s">
        <v>167</v>
      </c>
      <c r="B443" s="1414"/>
      <c r="C443" s="1414"/>
      <c r="D443" s="1415"/>
      <c r="E443" s="832">
        <f ca="1">$F$239</f>
        <v>0.13689999999999999</v>
      </c>
      <c r="F443" s="402"/>
      <c r="G443" s="828"/>
      <c r="H443" s="833">
        <f t="shared" ca="1" si="32"/>
        <v>0.13689999999999999</v>
      </c>
      <c r="I443" s="908" t="str">
        <f t="shared" ca="1" si="33"/>
        <v/>
      </c>
      <c r="J443" s="67"/>
      <c r="K443" s="68"/>
      <c r="L443" s="1103"/>
    </row>
    <row r="444" spans="1:12" ht="17.850000000000001" customHeight="1" x14ac:dyDescent="0.45">
      <c r="A444" s="1417" t="s">
        <v>136</v>
      </c>
      <c r="B444" s="1418"/>
      <c r="C444" s="1418"/>
      <c r="D444" s="1418"/>
      <c r="E444" s="1418"/>
      <c r="F444" s="1418"/>
      <c r="G444" s="1418"/>
      <c r="H444" s="1418"/>
      <c r="I444" s="909"/>
      <c r="J444" s="67"/>
      <c r="K444" s="68"/>
      <c r="L444" s="1103"/>
    </row>
    <row r="445" spans="1:12" ht="17.850000000000001" customHeight="1" x14ac:dyDescent="0.45">
      <c r="A445" s="1374" t="s">
        <v>160</v>
      </c>
      <c r="B445" s="1375"/>
      <c r="C445" s="1375"/>
      <c r="D445" s="1375"/>
      <c r="E445" s="444" t="str">
        <f>IF(OR(F$263&lt;&gt;SUM(F446:F448),G$263&lt;&gt;SUM(G446:G448)),"!","")</f>
        <v/>
      </c>
      <c r="F445" s="145" t="s">
        <v>86</v>
      </c>
      <c r="G445" s="145" t="s">
        <v>115</v>
      </c>
      <c r="H445" s="406"/>
      <c r="I445" s="909"/>
      <c r="J445" s="1371" t="str">
        <f>IF(E445="!","Warnung: Es sind nicht alle Umlagen ausgewählt!","")</f>
        <v/>
      </c>
      <c r="K445" s="1372"/>
      <c r="L445" s="1103"/>
    </row>
    <row r="446" spans="1:12" ht="17.850000000000001" customHeight="1" x14ac:dyDescent="0.45">
      <c r="A446" s="1402" t="s">
        <v>662</v>
      </c>
      <c r="B446" s="1403"/>
      <c r="C446" s="1403"/>
      <c r="D446" s="1403"/>
      <c r="E446" s="1403"/>
      <c r="F446" s="406" t="str">
        <f>IFERROR(VLOOKUP(A446,A$253:G$257,6,FALSE),"")</f>
        <v/>
      </c>
      <c r="G446" s="416" t="str">
        <f>IFERROR(VLOOKUP(A446,A$253:G$257,7,FALSE),"")</f>
        <v/>
      </c>
      <c r="H446" s="182"/>
      <c r="I446" s="909"/>
      <c r="J446" s="1371"/>
      <c r="K446" s="1372"/>
      <c r="L446" s="1103"/>
    </row>
    <row r="447" spans="1:12" ht="17.850000000000001" customHeight="1" x14ac:dyDescent="0.45">
      <c r="A447" s="1450" t="s">
        <v>129</v>
      </c>
      <c r="B447" s="1451"/>
      <c r="C447" s="1451"/>
      <c r="D447" s="1451"/>
      <c r="E447" s="1451"/>
      <c r="F447" s="182" t="str">
        <f>IFERROR(VLOOKUP(A447,A$253:G$257,6,FALSE),"")</f>
        <v/>
      </c>
      <c r="G447" s="413">
        <f>IFERROR(VLOOKUP(A447,A$253:G$257,7,FALSE),"")</f>
        <v>0</v>
      </c>
      <c r="H447" s="182"/>
      <c r="I447" s="909"/>
      <c r="J447" s="67"/>
      <c r="K447" s="68"/>
      <c r="L447" s="1103"/>
    </row>
    <row r="448" spans="1:12" ht="17.850000000000001" customHeight="1" x14ac:dyDescent="0.45">
      <c r="A448" s="1448" t="s">
        <v>663</v>
      </c>
      <c r="B448" s="1449"/>
      <c r="C448" s="1449"/>
      <c r="D448" s="1449"/>
      <c r="E448" s="1449"/>
      <c r="F448" s="178" t="str">
        <f>IFERROR(VLOOKUP(A448,A$253:G$257,6,FALSE),"")</f>
        <v/>
      </c>
      <c r="G448" s="409" t="str">
        <f>IFERROR(VLOOKUP(A448,A$253:G$257,7,FALSE),"")</f>
        <v/>
      </c>
      <c r="H448" s="178"/>
      <c r="I448" s="909"/>
      <c r="J448" s="67"/>
      <c r="K448" s="68"/>
      <c r="L448" s="1103"/>
    </row>
    <row r="449" spans="1:12" ht="17.850000000000001" customHeight="1" x14ac:dyDescent="0.45">
      <c r="A449" s="1267" t="s">
        <v>161</v>
      </c>
      <c r="B449" s="1268"/>
      <c r="C449" s="1268"/>
      <c r="D449" s="1268"/>
      <c r="E449" s="1268"/>
      <c r="F449" s="1268"/>
      <c r="G449" s="1269"/>
      <c r="H449" s="820" t="str">
        <f>G268</f>
        <v/>
      </c>
      <c r="I449" s="909"/>
      <c r="J449" s="67"/>
      <c r="K449" s="68"/>
      <c r="L449" s="1103"/>
    </row>
    <row r="450" spans="1:12" ht="17.850000000000001" customHeight="1" x14ac:dyDescent="0.45">
      <c r="A450" s="1374" t="s">
        <v>169</v>
      </c>
      <c r="B450" s="1375"/>
      <c r="C450" s="1375"/>
      <c r="D450" s="1375"/>
      <c r="E450" s="1375"/>
      <c r="F450" s="1375"/>
      <c r="G450" s="1375"/>
      <c r="H450" s="1375"/>
      <c r="I450" s="907"/>
      <c r="J450" s="67"/>
      <c r="K450" s="68"/>
      <c r="L450" s="1103"/>
    </row>
    <row r="451" spans="1:12" ht="17.850000000000001" customHeight="1" x14ac:dyDescent="0.45">
      <c r="A451" s="1467" t="s">
        <v>591</v>
      </c>
      <c r="B451" s="1468"/>
      <c r="C451" s="1468"/>
      <c r="D451" s="1474"/>
      <c r="E451" s="818">
        <f>IFERROR(VLOOKUP(A451,'K2 GZ'!H$21:L$26,5,FALSE),"&lt;--prüfen")</f>
        <v>0.22411</v>
      </c>
      <c r="F451" s="1851" t="str">
        <f>IF(OR(E451&lt;0.01,E451=""),"GZ prüfen","")</f>
        <v/>
      </c>
      <c r="G451" s="1852"/>
      <c r="H451" s="819">
        <f>E451</f>
        <v>0.22411</v>
      </c>
      <c r="I451" s="909"/>
      <c r="J451" s="67"/>
      <c r="K451" s="68"/>
      <c r="L451" s="1103"/>
    </row>
    <row r="452" spans="1:12" ht="17.850000000000001" customHeight="1" x14ac:dyDescent="0.45">
      <c r="A452" s="622" t="s">
        <v>130</v>
      </c>
      <c r="B452" s="623"/>
      <c r="C452" s="1865" t="str">
        <f>D420</f>
        <v>LG 2 Qualifizierter Facharbeiter</v>
      </c>
      <c r="D452" s="1865"/>
      <c r="E452" s="1865"/>
      <c r="F452" s="1023" t="s">
        <v>644</v>
      </c>
      <c r="G452" s="935" t="e">
        <f ca="1">H452/D405-1</f>
        <v>#VALUE!</v>
      </c>
      <c r="H452" s="624" t="e">
        <f ca="1">' K3 Regie3'!N$45</f>
        <v>#VALUE!</v>
      </c>
      <c r="I452" s="913"/>
      <c r="J452" s="67"/>
      <c r="K452" s="68"/>
      <c r="L452" s="1103"/>
    </row>
    <row r="453" spans="1:12" ht="17.850000000000001" customHeight="1" x14ac:dyDescent="0.45">
      <c r="A453" s="67"/>
      <c r="B453" s="68"/>
      <c r="C453" s="68"/>
      <c r="D453" s="68"/>
      <c r="E453" s="68"/>
      <c r="F453" s="68"/>
      <c r="G453" s="68"/>
      <c r="H453" s="68"/>
      <c r="I453" s="68"/>
      <c r="J453" s="67"/>
      <c r="K453" s="68"/>
      <c r="L453" s="1103"/>
    </row>
    <row r="454" spans="1:12" ht="17.850000000000001" customHeight="1" x14ac:dyDescent="0.65">
      <c r="A454" s="1399" t="s">
        <v>470</v>
      </c>
      <c r="B454" s="1400"/>
      <c r="C454" s="1400"/>
      <c r="D454" s="1400"/>
      <c r="E454" s="1400"/>
      <c r="F454" s="1400"/>
      <c r="G454" s="1400"/>
      <c r="H454" s="1401"/>
      <c r="I454" s="914"/>
      <c r="J454" s="67"/>
      <c r="K454" s="68"/>
      <c r="L454" s="1103"/>
    </row>
    <row r="455" spans="1:12" ht="17.850000000000001" customHeight="1" x14ac:dyDescent="0.45">
      <c r="A455" s="1382" t="str">
        <f>A$12</f>
        <v xml:space="preserve">Bezeichnung (Produktionsfaktor-Nr.): </v>
      </c>
      <c r="B455" s="1383"/>
      <c r="C455" s="1384"/>
      <c r="D455" s="1388" t="s">
        <v>666</v>
      </c>
      <c r="E455" s="1389"/>
      <c r="F455" s="1389"/>
      <c r="G455" s="1389"/>
      <c r="H455" s="1389"/>
      <c r="I455" s="915"/>
      <c r="J455" s="67"/>
      <c r="K455" s="68"/>
      <c r="L455" s="1103"/>
    </row>
    <row r="456" spans="1:12" ht="17.850000000000001" customHeight="1" x14ac:dyDescent="0.45">
      <c r="A456" s="1385"/>
      <c r="B456" s="1386"/>
      <c r="C456" s="1387"/>
      <c r="D456" s="1390"/>
      <c r="E456" s="1391"/>
      <c r="F456" s="1391"/>
      <c r="G456" s="1391"/>
      <c r="H456" s="1391"/>
      <c r="I456" s="915"/>
      <c r="J456" s="67"/>
      <c r="K456" s="68"/>
      <c r="L456" s="1103"/>
    </row>
    <row r="457" spans="1:12" ht="17.850000000000001" customHeight="1" x14ac:dyDescent="0.45">
      <c r="A457" s="1338" t="s">
        <v>235</v>
      </c>
      <c r="B457" s="1338"/>
      <c r="C457" s="1338"/>
      <c r="D457" s="1338"/>
      <c r="E457" s="107" t="s">
        <v>23</v>
      </c>
      <c r="F457" s="107" t="s">
        <v>83</v>
      </c>
      <c r="G457" s="73" t="s">
        <v>89</v>
      </c>
      <c r="H457" s="176" t="s">
        <v>90</v>
      </c>
      <c r="I457" s="915"/>
      <c r="J457" s="67"/>
      <c r="K457" s="68"/>
      <c r="L457" s="1103"/>
    </row>
    <row r="458" spans="1:12" ht="17.850000000000001" customHeight="1" thickBot="1" x14ac:dyDescent="0.5">
      <c r="A458" s="1392" t="s">
        <v>659</v>
      </c>
      <c r="B458" s="1393"/>
      <c r="C458" s="1394"/>
      <c r="D458" s="79" t="str">
        <f ca="1">IFERROR(VLOOKUP(A458,Stammdaten!A$7:D$33,4,FALSE),"&lt;-- Prüfen!")</f>
        <v>&lt;-- Prüfen!</v>
      </c>
      <c r="E458" s="120">
        <v>1</v>
      </c>
      <c r="F458" s="81">
        <v>1</v>
      </c>
      <c r="G458" s="93" t="str">
        <f ca="1">IFERROR(VLOOKUP(A458,Stammdaten!A$7:F$33,4,FALSE)*F458,"")</f>
        <v/>
      </c>
      <c r="H458" s="177" t="str">
        <f ca="1">IFERROR(VLOOKUP(A458,Stammdaten!A$7:F$33,6,FALSE)*F458,"")</f>
        <v/>
      </c>
      <c r="I458" s="915"/>
      <c r="J458" s="1395"/>
      <c r="K458" s="1396"/>
      <c r="L458" s="1373" t="str">
        <f ca="1">IF(AND(D458&gt;0,E458=0),"Anzahl / Anteil eingeben","")</f>
        <v/>
      </c>
    </row>
    <row r="459" spans="1:12" ht="17.850000000000001" customHeight="1" x14ac:dyDescent="0.45">
      <c r="A459" s="1379" t="s">
        <v>117</v>
      </c>
      <c r="B459" s="1380"/>
      <c r="C459" s="1380"/>
      <c r="D459" s="1381"/>
      <c r="E459" s="77">
        <f>E458</f>
        <v>1</v>
      </c>
      <c r="F459" s="78">
        <v>1</v>
      </c>
      <c r="G459" s="79">
        <f ca="1">IF(AND(_OK?="OK!",_OK_KV?="OK_KV!"),SUM(G458),ROUNDUP(G458,0))</f>
        <v>0</v>
      </c>
      <c r="H459" s="178">
        <f ca="1">SUM(H458:H458)</f>
        <v>0</v>
      </c>
      <c r="I459" s="916" t="str">
        <f ca="1">IF(OR(_OK?&lt;&gt;"OK!",_OK_KV?&lt;&gt;"OK_KV!"),"X","")</f>
        <v/>
      </c>
      <c r="J459" s="1395"/>
      <c r="K459" s="1396"/>
      <c r="L459" s="1373"/>
    </row>
    <row r="460" spans="1:12" ht="17.850000000000001" customHeight="1" x14ac:dyDescent="0.45">
      <c r="A460" s="1374" t="s">
        <v>336</v>
      </c>
      <c r="B460" s="1375"/>
      <c r="C460" s="1375"/>
      <c r="D460" s="1375"/>
      <c r="E460" s="1375"/>
      <c r="F460" s="1375"/>
      <c r="G460" s="1375"/>
      <c r="H460" s="1375"/>
      <c r="I460" s="915"/>
      <c r="J460" s="855"/>
      <c r="K460" s="856"/>
      <c r="L460" s="1103"/>
    </row>
    <row r="461" spans="1:12" ht="17.850000000000001" customHeight="1" thickBot="1" x14ac:dyDescent="0.5">
      <c r="A461" s="1392"/>
      <c r="B461" s="1393"/>
      <c r="C461" s="1394"/>
      <c r="D461" s="79">
        <f ca="1">IFERROR(VLOOKUP(A461,Stammdaten!A$7:D$33,4,FALSE),"&lt;-- Prüfen!")</f>
        <v>0</v>
      </c>
      <c r="E461" s="329"/>
      <c r="F461" s="81" t="str">
        <f>IF(A461&lt;&gt;"",E461/E462,"")</f>
        <v/>
      </c>
      <c r="G461" s="93" t="str">
        <f ca="1">IFERROR(VLOOKUP(A461,Stammdaten!A$7:F$33,4,FALSE)*F461,"")</f>
        <v/>
      </c>
      <c r="H461" s="177" t="str">
        <f ca="1">IFERROR(VLOOKUP(A461,Stammdaten!A$7:F$33,6,FALSE)*F461,"")</f>
        <v/>
      </c>
      <c r="I461" s="917" t="str">
        <f>IF(AND(E461&gt;0,A461=""),"Beschäftigungsgruppe wählen oder Anzahl = 0","")</f>
        <v/>
      </c>
      <c r="J461" s="1395" t="str">
        <f>IF(AND(E461&gt;0,A461=""),"Beschäftigungsgruppe auswählen oder Anzahl = 0 oder löschen!","")</f>
        <v/>
      </c>
      <c r="K461" s="1396"/>
      <c r="L461" s="1373" t="str">
        <f ca="1">IF(AND(D461&gt;0,E461=0),"Anzahl / Anteil eingeben","")</f>
        <v/>
      </c>
    </row>
    <row r="462" spans="1:12" ht="17.850000000000001" customHeight="1" x14ac:dyDescent="0.45">
      <c r="A462" s="601" t="s">
        <v>117</v>
      </c>
      <c r="B462" s="602"/>
      <c r="C462" s="602"/>
      <c r="D462" s="603"/>
      <c r="E462" s="121">
        <f>SUM(E461:E461)</f>
        <v>0</v>
      </c>
      <c r="F462" s="78">
        <f>SUM(F461:F461)</f>
        <v>0</v>
      </c>
      <c r="G462" s="79">
        <f ca="1">SUM(G461:G461)</f>
        <v>0</v>
      </c>
      <c r="H462" s="178">
        <f ca="1">SUM(H461:H461)</f>
        <v>0</v>
      </c>
      <c r="I462" s="915"/>
      <c r="J462" s="1395"/>
      <c r="K462" s="1396"/>
      <c r="L462" s="1373"/>
    </row>
    <row r="463" spans="1:12" ht="17.850000000000001" customHeight="1" x14ac:dyDescent="0.45">
      <c r="A463" s="109"/>
      <c r="B463" s="102"/>
      <c r="C463" s="102"/>
      <c r="D463" s="102"/>
      <c r="E463" s="102"/>
      <c r="F463" s="102"/>
      <c r="G463" s="418"/>
      <c r="H463" s="418"/>
      <c r="I463" s="918"/>
      <c r="J463" s="67"/>
      <c r="K463" s="68"/>
      <c r="L463" s="1103"/>
    </row>
    <row r="464" spans="1:12" ht="17.850000000000001" customHeight="1" x14ac:dyDescent="0.45">
      <c r="A464" s="1267" t="s">
        <v>208</v>
      </c>
      <c r="B464" s="1268"/>
      <c r="C464" s="1268"/>
      <c r="D464" s="1268"/>
      <c r="E464" s="1268"/>
      <c r="F464" s="1268"/>
      <c r="G464" s="1268"/>
      <c r="H464" s="363">
        <v>1</v>
      </c>
      <c r="I464" s="915"/>
      <c r="J464" s="1339" t="str">
        <f>IF(ISBLANK(H464),"Kennzeichen eingeben!","")</f>
        <v/>
      </c>
      <c r="K464" s="1340"/>
      <c r="L464" s="1103"/>
    </row>
    <row r="465" spans="1:12" ht="17.850000000000001" customHeight="1" thickBot="1" x14ac:dyDescent="0.5">
      <c r="A465" s="1427" t="s">
        <v>554</v>
      </c>
      <c r="B465" s="1428"/>
      <c r="C465" s="1428"/>
      <c r="D465" s="1428"/>
      <c r="E465" s="659" t="s">
        <v>96</v>
      </c>
      <c r="F465" s="149">
        <f>IF(H464=1,E459,E459-E462)</f>
        <v>1</v>
      </c>
      <c r="G465" s="660" t="s">
        <v>97</v>
      </c>
      <c r="H465" s="179">
        <f>E462</f>
        <v>0</v>
      </c>
      <c r="I465" s="915"/>
      <c r="J465" s="67"/>
      <c r="K465" s="68"/>
      <c r="L465" s="1103"/>
    </row>
    <row r="466" spans="1:12" ht="17.850000000000001" customHeight="1" thickBot="1" x14ac:dyDescent="0.5">
      <c r="A466" s="72"/>
      <c r="B466" s="107"/>
      <c r="C466" s="597"/>
      <c r="D466" s="107" t="s">
        <v>89</v>
      </c>
      <c r="E466" s="597" t="s">
        <v>90</v>
      </c>
      <c r="F466" s="479" t="s">
        <v>171</v>
      </c>
      <c r="G466" s="476" t="s">
        <v>108</v>
      </c>
      <c r="H466" s="477" t="s">
        <v>90</v>
      </c>
      <c r="I466" s="919"/>
      <c r="J466" s="67"/>
      <c r="K466" s="68"/>
      <c r="L466" s="1103"/>
    </row>
    <row r="467" spans="1:12" ht="17.850000000000001" customHeight="1" x14ac:dyDescent="0.45">
      <c r="A467" s="72" t="s">
        <v>92</v>
      </c>
      <c r="B467" s="107"/>
      <c r="C467" s="597"/>
      <c r="D467" s="122">
        <f ca="1">G459*F465</f>
        <v>0</v>
      </c>
      <c r="E467" s="147">
        <f ca="1">F465*H459</f>
        <v>0</v>
      </c>
      <c r="F467" s="478" t="s">
        <v>365</v>
      </c>
      <c r="G467" s="79">
        <f ca="1">D467</f>
        <v>0</v>
      </c>
      <c r="H467" s="475">
        <f ca="1">D469</f>
        <v>0</v>
      </c>
      <c r="I467" s="919"/>
      <c r="J467" s="67"/>
      <c r="K467" s="68"/>
      <c r="L467" s="1103"/>
    </row>
    <row r="468" spans="1:12" ht="17.850000000000001" customHeight="1" thickBot="1" x14ac:dyDescent="0.5">
      <c r="A468" s="125" t="s">
        <v>93</v>
      </c>
      <c r="B468" s="126"/>
      <c r="C468" s="127"/>
      <c r="D468" s="128">
        <f ca="1">H465*G462</f>
        <v>0</v>
      </c>
      <c r="E468" s="148">
        <f ca="1">H465*H462</f>
        <v>0</v>
      </c>
      <c r="F468" s="469" t="s">
        <v>364</v>
      </c>
      <c r="G468" s="93">
        <f ca="1">D468</f>
        <v>0</v>
      </c>
      <c r="H468" s="468">
        <f ca="1">E469</f>
        <v>0</v>
      </c>
      <c r="I468" s="919"/>
      <c r="J468" s="67"/>
      <c r="K468" s="68"/>
      <c r="L468" s="1103"/>
    </row>
    <row r="469" spans="1:12" ht="17.850000000000001" customHeight="1" x14ac:dyDescent="0.45">
      <c r="A469" s="201"/>
      <c r="B469" s="197"/>
      <c r="C469" s="202" t="s">
        <v>68</v>
      </c>
      <c r="D469" s="203">
        <f ca="1">SUM(D467:D468)</f>
        <v>0</v>
      </c>
      <c r="E469" s="204">
        <f ca="1">SUM(E467:E468)</f>
        <v>0</v>
      </c>
      <c r="F469" s="470" t="s">
        <v>109</v>
      </c>
      <c r="G469" s="198" t="e">
        <f ca="1">G468/G467</f>
        <v>#DIV/0!</v>
      </c>
      <c r="H469" s="466" t="e">
        <f ca="1">H468/H467</f>
        <v>#DIV/0!</v>
      </c>
      <c r="I469" s="915"/>
      <c r="J469" s="67"/>
      <c r="K469" s="68"/>
      <c r="L469" s="1103"/>
    </row>
    <row r="470" spans="1:12" ht="17.850000000000001" customHeight="1" thickBot="1" x14ac:dyDescent="0.5">
      <c r="A470" s="172"/>
      <c r="B470" s="195"/>
      <c r="C470" s="195" t="s">
        <v>234</v>
      </c>
      <c r="D470" s="205">
        <f ca="1">H$55</f>
        <v>0.1004</v>
      </c>
      <c r="E470" s="1397" t="s">
        <v>232</v>
      </c>
      <c r="F470" s="1397"/>
      <c r="G470" s="330"/>
      <c r="H470" s="364"/>
      <c r="I470" s="916" t="str">
        <f>IF(OR(G470&lt;&gt;0,H470&lt;&gt;0),"X","")</f>
        <v/>
      </c>
      <c r="J470" s="67"/>
      <c r="K470" s="68"/>
      <c r="L470" s="1103"/>
    </row>
    <row r="471" spans="1:12" ht="17.850000000000001" customHeight="1" x14ac:dyDescent="0.45">
      <c r="A471" s="201"/>
      <c r="B471" s="197"/>
      <c r="C471" s="102"/>
      <c r="D471" s="199"/>
      <c r="E471" s="1398" t="s">
        <v>233</v>
      </c>
      <c r="F471" s="1398"/>
      <c r="G471" s="198" t="e">
        <f ca="1">G469+G470</f>
        <v>#DIV/0!</v>
      </c>
      <c r="H471" s="365" t="e">
        <f ca="1">H469+H470</f>
        <v>#DIV/0!</v>
      </c>
      <c r="I471" s="915"/>
      <c r="J471" s="67"/>
      <c r="K471" s="68"/>
      <c r="L471" s="1103"/>
    </row>
    <row r="472" spans="1:12" ht="17.850000000000001" customHeight="1" x14ac:dyDescent="0.45">
      <c r="A472" s="129"/>
      <c r="B472" s="159"/>
      <c r="C472" s="605"/>
      <c r="D472" s="196"/>
      <c r="E472" s="140"/>
      <c r="F472" s="140"/>
      <c r="G472" s="200" t="s">
        <v>176</v>
      </c>
      <c r="H472" s="366" t="s">
        <v>177</v>
      </c>
      <c r="I472" s="915"/>
      <c r="J472" s="67"/>
      <c r="K472" s="68"/>
      <c r="L472" s="1103"/>
    </row>
    <row r="473" spans="1:12" ht="17.850000000000001" customHeight="1" x14ac:dyDescent="0.45">
      <c r="A473" s="625" t="s">
        <v>130</v>
      </c>
      <c r="B473" s="626"/>
      <c r="C473" s="626"/>
      <c r="D473" s="1878" t="str">
        <f>IF(A458=0,"Beschäfftigungsgruppe wählen!",A458)</f>
        <v>LG 5 Qualifizierter Arbeitnehmer</v>
      </c>
      <c r="E473" s="1878"/>
      <c r="F473" s="1878"/>
      <c r="G473" s="1879"/>
      <c r="H473" s="627" t="e">
        <f ca="1">' K3 Regie4'!N$45</f>
        <v>#VALUE!</v>
      </c>
      <c r="I473" s="915"/>
      <c r="J473" s="67"/>
      <c r="K473" s="68"/>
      <c r="L473" s="1103"/>
    </row>
    <row r="474" spans="1:12" ht="17.850000000000001" customHeight="1" x14ac:dyDescent="0.45">
      <c r="A474" s="1464"/>
      <c r="B474" s="1465"/>
      <c r="C474" s="1465"/>
      <c r="D474" s="1465"/>
      <c r="E474" s="1465"/>
      <c r="F474" s="1465"/>
      <c r="G474" s="1465"/>
      <c r="H474" s="1465"/>
      <c r="I474" s="915"/>
      <c r="J474" s="67"/>
      <c r="K474" s="68"/>
      <c r="L474" s="1103"/>
    </row>
    <row r="475" spans="1:12" ht="17.850000000000001" customHeight="1" x14ac:dyDescent="0.45">
      <c r="A475" s="1454" t="s">
        <v>236</v>
      </c>
      <c r="B475" s="1455"/>
      <c r="C475" s="1455"/>
      <c r="D475" s="1456"/>
      <c r="E475" s="1419" t="s">
        <v>162</v>
      </c>
      <c r="F475" s="1419" t="s">
        <v>228</v>
      </c>
      <c r="G475" s="1419" t="s">
        <v>231</v>
      </c>
      <c r="H475" s="1341" t="s">
        <v>163</v>
      </c>
      <c r="I475" s="920"/>
      <c r="J475" s="67"/>
      <c r="K475" s="68"/>
      <c r="L475" s="1103"/>
    </row>
    <row r="476" spans="1:12" ht="17.850000000000001" customHeight="1" x14ac:dyDescent="0.45">
      <c r="A476" s="1457"/>
      <c r="B476" s="1458"/>
      <c r="C476" s="1458"/>
      <c r="D476" s="1459"/>
      <c r="E476" s="1420"/>
      <c r="F476" s="1420"/>
      <c r="G476" s="1420"/>
      <c r="H476" s="1342"/>
      <c r="I476" s="920"/>
      <c r="J476" s="67"/>
      <c r="K476" s="68"/>
      <c r="L476" s="1103"/>
    </row>
    <row r="477" spans="1:12" ht="17.850000000000001" customHeight="1" x14ac:dyDescent="0.45">
      <c r="A477" s="1857"/>
      <c r="B477" s="1858"/>
      <c r="C477" s="1858"/>
      <c r="D477" s="1859"/>
      <c r="E477" s="1421"/>
      <c r="F477" s="1421"/>
      <c r="G477" s="1421"/>
      <c r="H477" s="1343"/>
      <c r="I477" s="915"/>
      <c r="J477" s="67"/>
      <c r="K477" s="68"/>
      <c r="L477" s="1103"/>
    </row>
    <row r="478" spans="1:12" ht="17.850000000000001" customHeight="1" x14ac:dyDescent="0.45">
      <c r="A478" s="1425" t="s">
        <v>339</v>
      </c>
      <c r="B478" s="1425"/>
      <c r="C478" s="1425"/>
      <c r="D478" s="1413"/>
      <c r="E478" s="403">
        <v>0</v>
      </c>
      <c r="F478" s="402"/>
      <c r="G478" s="326"/>
      <c r="H478" s="403">
        <f>IF(ISBLANK(G478),E478,G478)</f>
        <v>0</v>
      </c>
      <c r="I478" s="916" t="str">
        <f>IF(G478&lt;&gt;0,"X","")</f>
        <v/>
      </c>
      <c r="J478" s="67"/>
      <c r="K478" s="68"/>
      <c r="L478" s="1103"/>
    </row>
    <row r="479" spans="1:12" ht="17.850000000000001" customHeight="1" x14ac:dyDescent="0.45">
      <c r="A479" s="1344" t="s">
        <v>159</v>
      </c>
      <c r="B479" s="1345"/>
      <c r="C479" s="1345"/>
      <c r="D479" s="1345"/>
      <c r="E479" s="410">
        <v>1</v>
      </c>
      <c r="F479" s="396"/>
      <c r="G479" s="411"/>
      <c r="H479" s="412">
        <f t="shared" ref="H479" si="34">IF(F479=1,G479,E479)</f>
        <v>1</v>
      </c>
      <c r="I479" s="917"/>
      <c r="J479" s="67"/>
      <c r="K479" s="68"/>
      <c r="L479" s="1103"/>
    </row>
    <row r="480" spans="1:12" ht="17.850000000000001" customHeight="1" x14ac:dyDescent="0.45">
      <c r="A480" s="1404" t="s">
        <v>500</v>
      </c>
      <c r="B480" s="1405"/>
      <c r="C480" s="1405"/>
      <c r="D480" s="1406"/>
      <c r="E480" s="426"/>
      <c r="F480" s="363">
        <v>1</v>
      </c>
      <c r="G480" s="434"/>
      <c r="H480" s="431"/>
      <c r="I480" s="916" t="str">
        <f>IF(F480&lt;&gt;0,"X","")</f>
        <v>X</v>
      </c>
      <c r="J480" s="1339" t="str">
        <f>IF(F480+F484+F488&gt;1,"Zusätzlich mit Verrechnungsstd.?","")</f>
        <v>Zusätzlich mit Verrechnungsstd.?</v>
      </c>
      <c r="K480" s="1340"/>
      <c r="L480" s="1103"/>
    </row>
    <row r="481" spans="1:12" ht="17.850000000000001" customHeight="1" x14ac:dyDescent="0.45">
      <c r="A481" s="397" t="s">
        <v>128</v>
      </c>
      <c r="B481" s="1407" t="s">
        <v>664</v>
      </c>
      <c r="C481" s="1407"/>
      <c r="D481" s="1407"/>
      <c r="E481" s="398">
        <f ca="1">IFERROR(VLOOKUP(B481,Stammdaten!A$39:C$48,3,FALSE),"")</f>
        <v>0.5</v>
      </c>
      <c r="F481" s="430"/>
      <c r="G481" s="436"/>
      <c r="H481" s="432"/>
      <c r="I481" s="917"/>
      <c r="J481" s="1339" t="str">
        <f ca="1">IF(AND(F480=1,E481=0),"Arbeitszeitzuschlag auswählen!","")</f>
        <v/>
      </c>
      <c r="K481" s="1340"/>
      <c r="L481" s="1103"/>
    </row>
    <row r="482" spans="1:12" ht="17.850000000000001" customHeight="1" x14ac:dyDescent="0.45">
      <c r="A482" s="1408" t="s">
        <v>211</v>
      </c>
      <c r="B482" s="1409"/>
      <c r="C482" s="1409"/>
      <c r="D482" s="1409"/>
      <c r="E482" s="399">
        <f ca="1">IFERROR(IF(VLOOKUP(B481,Stammdaten!A$39:C$48,2,FALSE)=0,1,(VLOOKUP(B481,Stammdaten!A$39:C$48,2,FALSE))),"")</f>
        <v>1</v>
      </c>
      <c r="F482" s="430"/>
      <c r="G482" s="435"/>
      <c r="H482" s="433"/>
      <c r="I482" s="917"/>
      <c r="J482" s="67"/>
      <c r="K482" s="68"/>
      <c r="L482" s="1103"/>
    </row>
    <row r="483" spans="1:12" ht="17.850000000000001" customHeight="1" x14ac:dyDescent="0.45">
      <c r="A483" s="1410" t="s">
        <v>503</v>
      </c>
      <c r="B483" s="1411"/>
      <c r="C483" s="1411"/>
      <c r="D483" s="1412"/>
      <c r="E483" s="429"/>
      <c r="F483" s="554">
        <v>2</v>
      </c>
      <c r="G483" s="437" t="e">
        <f ca="1">IF(F483=1,1,IF(F483=2,((' K3 Regie4'!O$23+' K3 Regie4'!O$24)/' K3 Regie4'!O$23),IF(F483&gt;2,((' K3 Regie4'!O$23+' K3 Regie4'!O$24+' K3 Regie4'!O$25)/' K3 Regie4'!O$23),"")))</f>
        <v>#VALUE!</v>
      </c>
      <c r="H483" s="432" t="e">
        <f ca="1">IF(F480*F483&gt;0,(E481*E482*G483),0)</f>
        <v>#VALUE!</v>
      </c>
      <c r="I483" s="917"/>
      <c r="J483" s="1339" t="str">
        <f>IF(AND(ISBLANK(F483),F480=1),"Kennzeichen setzen!","")</f>
        <v/>
      </c>
      <c r="K483" s="1340"/>
      <c r="L483" s="1103"/>
    </row>
    <row r="484" spans="1:12" ht="17.850000000000001" customHeight="1" x14ac:dyDescent="0.45">
      <c r="A484" s="1404" t="s">
        <v>501</v>
      </c>
      <c r="B484" s="1405"/>
      <c r="C484" s="1405"/>
      <c r="D484" s="1406"/>
      <c r="E484" s="426"/>
      <c r="F484" s="363">
        <v>0</v>
      </c>
      <c r="G484" s="434"/>
      <c r="H484" s="431"/>
      <c r="I484" s="916" t="str">
        <f>IF(F484&lt;&gt;0,"X","")</f>
        <v/>
      </c>
      <c r="J484" s="1339"/>
      <c r="K484" s="1340"/>
      <c r="L484" s="1103"/>
    </row>
    <row r="485" spans="1:12" ht="17.850000000000001" customHeight="1" x14ac:dyDescent="0.45">
      <c r="A485" s="397" t="s">
        <v>352</v>
      </c>
      <c r="B485" s="1407"/>
      <c r="C485" s="1407"/>
      <c r="D485" s="1407"/>
      <c r="E485" s="398">
        <f ca="1">IFERROR(VLOOKUP(B485,Stammdaten!A$50:C$54,3,FALSE),"")</f>
        <v>0</v>
      </c>
      <c r="F485" s="430"/>
      <c r="G485" s="436"/>
      <c r="H485" s="432"/>
      <c r="I485" s="917"/>
      <c r="J485" s="852"/>
      <c r="K485" s="853"/>
      <c r="L485" s="1103"/>
    </row>
    <row r="486" spans="1:12" ht="17.850000000000001" customHeight="1" x14ac:dyDescent="0.45">
      <c r="A486" s="1408" t="s">
        <v>353</v>
      </c>
      <c r="B486" s="1409"/>
      <c r="C486" s="1409"/>
      <c r="D486" s="1409"/>
      <c r="E486" s="399">
        <f ca="1">IFERROR(IF(VLOOKUP(B485,Stammdaten!A$50:C$54,2,FALSE)=0,1,(VLOOKUP(B485,Stammdaten!A$50:C$54,2,FALSE))),"")</f>
        <v>1</v>
      </c>
      <c r="F486" s="430"/>
      <c r="G486" s="435"/>
      <c r="H486" s="433"/>
      <c r="I486" s="917"/>
      <c r="J486" s="852"/>
      <c r="K486" s="853"/>
      <c r="L486" s="1103"/>
    </row>
    <row r="487" spans="1:12" ht="17.850000000000001" customHeight="1" x14ac:dyDescent="0.45">
      <c r="A487" s="1410" t="s">
        <v>503</v>
      </c>
      <c r="B487" s="1411"/>
      <c r="C487" s="1411"/>
      <c r="D487" s="1412"/>
      <c r="E487" s="429"/>
      <c r="F487" s="554">
        <v>2</v>
      </c>
      <c r="G487" s="437" t="e">
        <f ca="1">IF(F487=1,1,IF(F487=2,((' K3 Regie4'!O$23+' K3 Regie4'!O$24)/' K3 Regie4'!O$23),IF(F487&gt;2,((' K3 Regie4'!O$23+' K3 Regie4'!O$24+' K3 Regie4'!O$25)/' K3 Regie4'!O$23),"")))</f>
        <v>#VALUE!</v>
      </c>
      <c r="H487" s="432">
        <f>IF(F484*F487&gt;0,(E485*E486*G487),0)</f>
        <v>0</v>
      </c>
      <c r="I487" s="917"/>
      <c r="J487" s="1339" t="str">
        <f>IF(AND(ISBLANK(F487),F484=1),"Kennzeichen setzen!","")</f>
        <v/>
      </c>
      <c r="K487" s="1340"/>
      <c r="L487" s="1103"/>
    </row>
    <row r="488" spans="1:12" ht="17.850000000000001" customHeight="1" x14ac:dyDescent="0.45">
      <c r="A488" s="1404" t="s">
        <v>502</v>
      </c>
      <c r="B488" s="1405"/>
      <c r="C488" s="1405"/>
      <c r="D488" s="1406"/>
      <c r="E488" s="426"/>
      <c r="F488" s="194">
        <v>1</v>
      </c>
      <c r="G488" s="427"/>
      <c r="H488" s="428"/>
      <c r="I488" s="916" t="str">
        <f>IF(F488&lt;&gt;0,"X","")</f>
        <v>X</v>
      </c>
      <c r="J488" s="1339"/>
      <c r="K488" s="1340"/>
      <c r="L488" s="1103"/>
    </row>
    <row r="489" spans="1:12" ht="17.850000000000001" customHeight="1" thickBot="1" x14ac:dyDescent="0.5">
      <c r="A489" s="439" t="s">
        <v>354</v>
      </c>
      <c r="B489" s="1416" t="s">
        <v>694</v>
      </c>
      <c r="C489" s="1416"/>
      <c r="D489" s="1416"/>
      <c r="E489" s="440" t="str">
        <f ca="1">IFERROR(VLOOKUP(B489,Stammdaten!A$56:C$60,2,FALSE),"")</f>
        <v/>
      </c>
      <c r="F489" s="441" t="s">
        <v>351</v>
      </c>
      <c r="G489" s="442" t="e">
        <f ca="1">' K3 Regie4'!$O$21</f>
        <v>#VALUE!</v>
      </c>
      <c r="H489" s="443" t="e">
        <f ca="1">IF(F488=1,E489/G489,0)</f>
        <v>#VALUE!</v>
      </c>
      <c r="I489" s="917"/>
      <c r="J489" s="852"/>
      <c r="K489" s="853"/>
      <c r="L489" s="1103"/>
    </row>
    <row r="490" spans="1:12" ht="17.850000000000001" customHeight="1" thickBot="1" x14ac:dyDescent="0.5">
      <c r="A490" s="633" t="s">
        <v>164</v>
      </c>
      <c r="B490" s="438"/>
      <c r="C490" s="438"/>
      <c r="D490" s="438"/>
      <c r="E490" s="414"/>
      <c r="F490" s="414"/>
      <c r="G490" s="414"/>
      <c r="H490" s="415" t="e">
        <f ca="1">SUM(H480:H489)</f>
        <v>#VALUE!</v>
      </c>
      <c r="I490" s="917"/>
      <c r="J490" s="67"/>
      <c r="K490" s="68"/>
      <c r="L490" s="1103"/>
    </row>
    <row r="491" spans="1:12" ht="17.850000000000001" customHeight="1" x14ac:dyDescent="0.45">
      <c r="A491" s="1410" t="s">
        <v>346</v>
      </c>
      <c r="B491" s="1411"/>
      <c r="C491" s="1411"/>
      <c r="D491" s="1412"/>
      <c r="E491" s="306">
        <f ca="1">$H$139</f>
        <v>0.87</v>
      </c>
      <c r="F491" s="400"/>
      <c r="G491" s="401"/>
      <c r="H491" s="376">
        <f t="shared" ref="H491:H496" ca="1" si="35">IF(ISBLANK(G491),E491,G491)</f>
        <v>0.87</v>
      </c>
      <c r="I491" s="916" t="str">
        <f ca="1">IF(OR(G491&lt;&gt;0,E491&lt;&gt;H491),"X","")</f>
        <v/>
      </c>
      <c r="J491" s="67"/>
      <c r="K491" s="68"/>
      <c r="L491" s="1103"/>
    </row>
    <row r="492" spans="1:12" ht="17.850000000000001" customHeight="1" x14ac:dyDescent="0.45">
      <c r="A492" s="1413" t="s">
        <v>355</v>
      </c>
      <c r="B492" s="1414"/>
      <c r="C492" s="1414"/>
      <c r="D492" s="1415"/>
      <c r="E492" s="210">
        <f ca="1">$G$139</f>
        <v>0.83</v>
      </c>
      <c r="F492" s="402"/>
      <c r="G492" s="327"/>
      <c r="H492" s="377">
        <f t="shared" ca="1" si="35"/>
        <v>0.83</v>
      </c>
      <c r="I492" s="916" t="str">
        <f t="shared" ref="I492:I496" ca="1" si="36">IF(OR(G492&lt;&gt;0,E492&lt;&gt;H492),"X","")</f>
        <v/>
      </c>
      <c r="J492" s="67"/>
      <c r="K492" s="68"/>
      <c r="L492" s="1103"/>
    </row>
    <row r="493" spans="1:12" ht="17.850000000000001" customHeight="1" x14ac:dyDescent="0.45">
      <c r="A493" s="1413" t="s">
        <v>165</v>
      </c>
      <c r="B493" s="1414"/>
      <c r="C493" s="1414"/>
      <c r="D493" s="1415"/>
      <c r="E493" s="403">
        <f ca="1">$H$180</f>
        <v>0.2994</v>
      </c>
      <c r="F493" s="402"/>
      <c r="G493" s="326"/>
      <c r="H493" s="404">
        <f t="shared" ca="1" si="35"/>
        <v>0.2994</v>
      </c>
      <c r="I493" s="916" t="str">
        <f t="shared" ca="1" si="36"/>
        <v/>
      </c>
      <c r="J493" s="67"/>
      <c r="K493" s="68"/>
      <c r="L493" s="1103"/>
    </row>
    <row r="494" spans="1:12" ht="17.850000000000001" customHeight="1" x14ac:dyDescent="0.45">
      <c r="A494" s="1413" t="s">
        <v>347</v>
      </c>
      <c r="B494" s="1414"/>
      <c r="C494" s="1414"/>
      <c r="D494" s="1415"/>
      <c r="E494" s="403">
        <f ca="1">$H$199</f>
        <v>0.7</v>
      </c>
      <c r="F494" s="402"/>
      <c r="G494" s="326"/>
      <c r="H494" s="404">
        <f t="shared" ca="1" si="35"/>
        <v>0.7</v>
      </c>
      <c r="I494" s="916" t="str">
        <f t="shared" ca="1" si="36"/>
        <v/>
      </c>
      <c r="J494" s="67"/>
      <c r="K494" s="68"/>
      <c r="L494" s="1103"/>
    </row>
    <row r="495" spans="1:12" ht="17.850000000000001" customHeight="1" x14ac:dyDescent="0.45">
      <c r="A495" s="1413" t="s">
        <v>166</v>
      </c>
      <c r="B495" s="1414"/>
      <c r="C495" s="1414"/>
      <c r="D495" s="1415"/>
      <c r="E495" s="403">
        <f ca="1">$F$212</f>
        <v>4.4999999999999997E-3</v>
      </c>
      <c r="F495" s="402"/>
      <c r="G495" s="326"/>
      <c r="H495" s="404">
        <f t="shared" ca="1" si="35"/>
        <v>4.4999999999999997E-3</v>
      </c>
      <c r="I495" s="916" t="str">
        <f t="shared" ca="1" si="36"/>
        <v/>
      </c>
      <c r="J495" s="67"/>
      <c r="K495" s="68"/>
      <c r="L495" s="1103"/>
    </row>
    <row r="496" spans="1:12" ht="17.850000000000001" customHeight="1" x14ac:dyDescent="0.45">
      <c r="A496" s="1413" t="s">
        <v>167</v>
      </c>
      <c r="B496" s="1414"/>
      <c r="C496" s="1414"/>
      <c r="D496" s="1415"/>
      <c r="E496" s="832">
        <f ca="1">$F$239</f>
        <v>0.13689999999999999</v>
      </c>
      <c r="F496" s="402"/>
      <c r="G496" s="828"/>
      <c r="H496" s="833">
        <f t="shared" ca="1" si="35"/>
        <v>0.13689999999999999</v>
      </c>
      <c r="I496" s="916" t="str">
        <f t="shared" ca="1" si="36"/>
        <v/>
      </c>
      <c r="J496" s="67"/>
      <c r="K496" s="68"/>
      <c r="L496" s="1103"/>
    </row>
    <row r="497" spans="1:12" ht="17.850000000000001" customHeight="1" x14ac:dyDescent="0.45">
      <c r="A497" s="1417" t="s">
        <v>136</v>
      </c>
      <c r="B497" s="1418"/>
      <c r="C497" s="1418"/>
      <c r="D497" s="1418"/>
      <c r="E497" s="1418"/>
      <c r="F497" s="1418"/>
      <c r="G497" s="1418"/>
      <c r="H497" s="1418"/>
      <c r="I497" s="917"/>
      <c r="J497" s="67"/>
      <c r="K497" s="68"/>
      <c r="L497" s="1103"/>
    </row>
    <row r="498" spans="1:12" ht="17.850000000000001" customHeight="1" x14ac:dyDescent="0.45">
      <c r="A498" s="1374" t="s">
        <v>160</v>
      </c>
      <c r="B498" s="1375"/>
      <c r="C498" s="1375"/>
      <c r="D498" s="1375"/>
      <c r="E498" s="444" t="str">
        <f>IF(OR(F$263&lt;&gt;SUM(F499:F501),G$263&lt;&gt;SUM(G499:G501)),"!","")</f>
        <v/>
      </c>
      <c r="F498" s="145" t="s">
        <v>86</v>
      </c>
      <c r="G498" s="145" t="s">
        <v>115</v>
      </c>
      <c r="H498" s="406"/>
      <c r="I498" s="917"/>
      <c r="J498" s="1371" t="str">
        <f>IF(E498="!","Warnung: Es sind nicht alle Umlagen ausgewählt!","")</f>
        <v/>
      </c>
      <c r="K498" s="1372"/>
      <c r="L498" s="1103"/>
    </row>
    <row r="499" spans="1:12" ht="17.850000000000001" customHeight="1" x14ac:dyDescent="0.45">
      <c r="A499" s="1402"/>
      <c r="B499" s="1403"/>
      <c r="C499" s="1403"/>
      <c r="D499" s="1403"/>
      <c r="E499" s="1403"/>
      <c r="F499" s="406" t="str">
        <f>IFERROR(VLOOKUP(A499,A$253:G$257,6,FALSE),"")</f>
        <v/>
      </c>
      <c r="G499" s="416" t="str">
        <f>IFERROR(VLOOKUP(A499,A$253:G$257,7,FALSE),"")</f>
        <v/>
      </c>
      <c r="H499" s="182"/>
      <c r="I499" s="917"/>
      <c r="J499" s="1371"/>
      <c r="K499" s="1372"/>
      <c r="L499" s="1103"/>
    </row>
    <row r="500" spans="1:12" ht="17.850000000000001" customHeight="1" x14ac:dyDescent="0.45">
      <c r="A500" s="1450"/>
      <c r="B500" s="1451"/>
      <c r="C500" s="1451"/>
      <c r="D500" s="1451"/>
      <c r="E500" s="1451"/>
      <c r="F500" s="182" t="str">
        <f>IFERROR(VLOOKUP(A500,A$253:G$257,6,FALSE),"")</f>
        <v/>
      </c>
      <c r="G500" s="413" t="str">
        <f>IFERROR(VLOOKUP(A500,A$253:G$257,7,FALSE),"")</f>
        <v/>
      </c>
      <c r="H500" s="182"/>
      <c r="I500" s="917"/>
      <c r="J500" s="67"/>
      <c r="K500" s="68"/>
      <c r="L500" s="1103"/>
    </row>
    <row r="501" spans="1:12" ht="17.850000000000001" customHeight="1" x14ac:dyDescent="0.45">
      <c r="A501" s="1448"/>
      <c r="B501" s="1449"/>
      <c r="C501" s="1449"/>
      <c r="D501" s="1449"/>
      <c r="E501" s="1449"/>
      <c r="F501" s="178" t="str">
        <f>IFERROR(VLOOKUP(A501,A$253:G$257,6,FALSE),"")</f>
        <v/>
      </c>
      <c r="G501" s="409" t="str">
        <f>IFERROR(VLOOKUP(A501,A$253:G$257,7,FALSE),"")</f>
        <v/>
      </c>
      <c r="H501" s="178"/>
      <c r="I501" s="917"/>
      <c r="J501" s="67"/>
      <c r="K501" s="68"/>
      <c r="L501" s="1103"/>
    </row>
    <row r="502" spans="1:12" ht="17.850000000000001" customHeight="1" x14ac:dyDescent="0.45">
      <c r="A502" s="1267" t="s">
        <v>161</v>
      </c>
      <c r="B502" s="1268"/>
      <c r="C502" s="1268"/>
      <c r="D502" s="1268"/>
      <c r="E502" s="1268"/>
      <c r="F502" s="1268"/>
      <c r="G502" s="1269"/>
      <c r="H502" s="820" t="str">
        <f>G268</f>
        <v/>
      </c>
      <c r="I502" s="917"/>
      <c r="J502" s="67"/>
      <c r="K502" s="68"/>
      <c r="L502" s="1103"/>
    </row>
    <row r="503" spans="1:12" ht="17.850000000000001" customHeight="1" x14ac:dyDescent="0.45">
      <c r="A503" s="1374" t="s">
        <v>169</v>
      </c>
      <c r="B503" s="1375"/>
      <c r="C503" s="1375"/>
      <c r="D503" s="1375"/>
      <c r="E503" s="1375"/>
      <c r="F503" s="1375"/>
      <c r="G503" s="1375"/>
      <c r="H503" s="1375"/>
      <c r="I503" s="915"/>
      <c r="J503" s="67"/>
      <c r="K503" s="68"/>
      <c r="L503" s="1103"/>
    </row>
    <row r="504" spans="1:12" ht="17.850000000000001" customHeight="1" x14ac:dyDescent="0.45">
      <c r="A504" s="1467" t="s">
        <v>591</v>
      </c>
      <c r="B504" s="1468"/>
      <c r="C504" s="1468"/>
      <c r="D504" s="1474"/>
      <c r="E504" s="818">
        <f>IFERROR(VLOOKUP(A504,'K2 GZ'!H$21:L$26,5,FALSE),"&lt;--prüfen")</f>
        <v>0.22411</v>
      </c>
      <c r="F504" s="1851" t="str">
        <f>IF(OR(E504&lt;0.01,E504=""),"GZ prüfen","")</f>
        <v/>
      </c>
      <c r="G504" s="1852"/>
      <c r="H504" s="819">
        <f>E504</f>
        <v>0.22411</v>
      </c>
      <c r="I504" s="917"/>
      <c r="J504" s="67"/>
      <c r="K504" s="68"/>
      <c r="L504" s="1103"/>
    </row>
    <row r="505" spans="1:12" ht="17.850000000000001" customHeight="1" x14ac:dyDescent="0.45">
      <c r="A505" s="625" t="s">
        <v>130</v>
      </c>
      <c r="B505" s="626"/>
      <c r="C505" s="1880" t="str">
        <f>D473</f>
        <v>LG 5 Qualifizierter Arbeitnehmer</v>
      </c>
      <c r="D505" s="1880"/>
      <c r="E505" s="1880"/>
      <c r="F505" s="1024" t="s">
        <v>644</v>
      </c>
      <c r="G505" s="998" t="e">
        <f ca="1">H505/D458-1</f>
        <v>#VALUE!</v>
      </c>
      <c r="H505" s="628" t="e">
        <f ca="1">' K3 Regie4'!N$45</f>
        <v>#VALUE!</v>
      </c>
      <c r="I505" s="921"/>
      <c r="J505" s="67"/>
      <c r="K505" s="68"/>
      <c r="L505" s="1103"/>
    </row>
    <row r="506" spans="1:12" ht="17.850000000000001" customHeight="1" x14ac:dyDescent="0.45">
      <c r="J506" s="67"/>
      <c r="K506" s="68"/>
      <c r="L506" s="1103"/>
    </row>
    <row r="507" spans="1:12" ht="17.850000000000001" customHeight="1" x14ac:dyDescent="0.65">
      <c r="A507" s="1872" t="s">
        <v>634</v>
      </c>
      <c r="B507" s="1873"/>
      <c r="C507" s="1873"/>
      <c r="D507" s="1873"/>
      <c r="E507" s="1873"/>
      <c r="F507" s="1873"/>
      <c r="G507" s="1873"/>
      <c r="H507" s="1874"/>
      <c r="I507" s="922"/>
      <c r="J507" s="67"/>
      <c r="K507" s="68"/>
      <c r="L507" s="1103"/>
    </row>
    <row r="508" spans="1:12" ht="17.850000000000001" customHeight="1" x14ac:dyDescent="0.45">
      <c r="A508" s="1382" t="str">
        <f>A$12</f>
        <v xml:space="preserve">Bezeichnung (Produktionsfaktor-Nr.): </v>
      </c>
      <c r="B508" s="1383"/>
      <c r="C508" s="1384"/>
      <c r="D508" s="1388" t="s">
        <v>661</v>
      </c>
      <c r="E508" s="1389"/>
      <c r="F508" s="1389"/>
      <c r="G508" s="1389"/>
      <c r="H508" s="1389"/>
      <c r="I508" s="923"/>
      <c r="J508" s="67"/>
      <c r="K508" s="68"/>
      <c r="L508" s="1103"/>
    </row>
    <row r="509" spans="1:12" ht="17.850000000000001" customHeight="1" x14ac:dyDescent="0.45">
      <c r="A509" s="1385"/>
      <c r="B509" s="1386"/>
      <c r="C509" s="1387"/>
      <c r="D509" s="1390"/>
      <c r="E509" s="1391"/>
      <c r="F509" s="1391"/>
      <c r="G509" s="1391"/>
      <c r="H509" s="1391"/>
      <c r="I509" s="923"/>
      <c r="J509" s="67"/>
      <c r="K509" s="68"/>
      <c r="L509" s="1103"/>
    </row>
    <row r="510" spans="1:12" ht="17.850000000000001" customHeight="1" x14ac:dyDescent="0.45">
      <c r="A510" s="1338" t="s">
        <v>235</v>
      </c>
      <c r="B510" s="1338"/>
      <c r="C510" s="1338"/>
      <c r="D510" s="1338"/>
      <c r="E510" s="107" t="s">
        <v>23</v>
      </c>
      <c r="F510" s="107"/>
      <c r="G510" s="73" t="s">
        <v>89</v>
      </c>
      <c r="H510" s="176" t="s">
        <v>90</v>
      </c>
      <c r="I510" s="923"/>
      <c r="J510" s="67"/>
      <c r="K510" s="68"/>
      <c r="L510" s="1103"/>
    </row>
    <row r="511" spans="1:12" ht="17.850000000000001" customHeight="1" thickBot="1" x14ac:dyDescent="0.5">
      <c r="A511" s="1392" t="s">
        <v>658</v>
      </c>
      <c r="B511" s="1393"/>
      <c r="C511" s="1394"/>
      <c r="D511" s="79" t="str">
        <f ca="1">IFERROR(VLOOKUP(A511,Stammdaten!A$7:D$33,4,FALSE),"&lt;-- Prüfen!")</f>
        <v>&lt;-- Prüfen!</v>
      </c>
      <c r="E511" s="76">
        <v>1</v>
      </c>
      <c r="F511" s="81">
        <f>IFERROR(E511/E$515,"")</f>
        <v>0.5</v>
      </c>
      <c r="G511" s="93" t="str">
        <f ca="1">IFERROR(VLOOKUP(A511,Stammdaten!A$7:F$33,4,FALSE)*E511,"")</f>
        <v/>
      </c>
      <c r="H511" s="177" t="str">
        <f ca="1">IFERROR(VLOOKUP(A511,Stammdaten!A$7:F$33,6,FALSE)*E511,"")</f>
        <v/>
      </c>
      <c r="I511" s="923"/>
      <c r="J511" s="1395" t="str">
        <f>IF(AND(A511="",E511&gt;0),"Anzahl ohne Beschäftigungsgruppe!","")</f>
        <v/>
      </c>
      <c r="K511" s="1396"/>
      <c r="L511" s="875" t="str">
        <f ca="1">IF(AND(D511&gt;0,E511=0),"Anzahl / Anteil eingeben","")</f>
        <v/>
      </c>
    </row>
    <row r="512" spans="1:12" ht="17.850000000000001" customHeight="1" thickBot="1" x14ac:dyDescent="0.5">
      <c r="A512" s="1392" t="s">
        <v>659</v>
      </c>
      <c r="B512" s="1393"/>
      <c r="C512" s="1394"/>
      <c r="D512" s="79" t="str">
        <f ca="1">IFERROR(VLOOKUP(A512,Stammdaten!A$7:D$33,4,FALSE),"&lt;-- Prüfen!")</f>
        <v>&lt;-- Prüfen!</v>
      </c>
      <c r="E512" s="76">
        <v>1</v>
      </c>
      <c r="F512" s="81">
        <f t="shared" ref="F512:F514" si="37">IFERROR(E512/E$515,"")</f>
        <v>0.5</v>
      </c>
      <c r="G512" s="93" t="str">
        <f ca="1">IFERROR(VLOOKUP(A512,Stammdaten!A$7:F$33,4,FALSE)*E512,"")</f>
        <v/>
      </c>
      <c r="H512" s="177" t="str">
        <f ca="1">IFERROR(VLOOKUP(A512,Stammdaten!A$7:F$33,6,FALSE)*E512,"")</f>
        <v/>
      </c>
      <c r="I512" s="923"/>
      <c r="J512" s="1395" t="str">
        <f t="shared" ref="J512:J514" si="38">IF(AND(A512="",E512&gt;0),"Anzahl ohne Beschäftigungsgruppe!","")</f>
        <v/>
      </c>
      <c r="K512" s="1396"/>
      <c r="L512" s="875" t="str">
        <f t="shared" ref="L512:L514" ca="1" si="39">IF(AND(D512&gt;0,E512=0),"Anzahl / Anteil eingeben","")</f>
        <v/>
      </c>
    </row>
    <row r="513" spans="1:12" ht="17.850000000000001" customHeight="1" thickBot="1" x14ac:dyDescent="0.5">
      <c r="A513" s="1392"/>
      <c r="B513" s="1393"/>
      <c r="C513" s="1394"/>
      <c r="D513" s="79">
        <f ca="1">IFERROR(VLOOKUP(A513,Stammdaten!A$7:D$33,4,FALSE),"&lt;-- Prüfen!")</f>
        <v>0</v>
      </c>
      <c r="E513" s="76"/>
      <c r="F513" s="81">
        <f t="shared" si="37"/>
        <v>0</v>
      </c>
      <c r="G513" s="93">
        <f ca="1">IFERROR(VLOOKUP(A513,Stammdaten!A$7:F$33,4,FALSE)*E513,"")</f>
        <v>0</v>
      </c>
      <c r="H513" s="177">
        <f ca="1">IFERROR(VLOOKUP(A513,Stammdaten!A$7:F$33,6,FALSE)*E513,"")</f>
        <v>0</v>
      </c>
      <c r="I513" s="923"/>
      <c r="J513" s="1395" t="str">
        <f t="shared" si="38"/>
        <v/>
      </c>
      <c r="K513" s="1396"/>
      <c r="L513" s="875" t="str">
        <f t="shared" ca="1" si="39"/>
        <v/>
      </c>
    </row>
    <row r="514" spans="1:12" ht="17.850000000000001" customHeight="1" thickBot="1" x14ac:dyDescent="0.5">
      <c r="A514" s="1392"/>
      <c r="B514" s="1393"/>
      <c r="C514" s="1394"/>
      <c r="D514" s="79">
        <f ca="1">IFERROR(VLOOKUP(A514,Stammdaten!A$7:D$33,4,FALSE),"&lt;-- Prüfen!")</f>
        <v>0</v>
      </c>
      <c r="E514" s="76"/>
      <c r="F514" s="81">
        <f t="shared" si="37"/>
        <v>0</v>
      </c>
      <c r="G514" s="93">
        <f ca="1">IFERROR(VLOOKUP(A514,Stammdaten!A$7:F$33,4,FALSE)*E514,"")</f>
        <v>0</v>
      </c>
      <c r="H514" s="177">
        <f ca="1">IFERROR(VLOOKUP(A514,Stammdaten!A$7:F$33,6,FALSE)*E514,"")</f>
        <v>0</v>
      </c>
      <c r="I514" s="923"/>
      <c r="J514" s="1395" t="str">
        <f t="shared" si="38"/>
        <v/>
      </c>
      <c r="K514" s="1396"/>
      <c r="L514" s="875" t="str">
        <f t="shared" ca="1" si="39"/>
        <v/>
      </c>
    </row>
    <row r="515" spans="1:12" ht="17.850000000000001" customHeight="1" x14ac:dyDescent="0.45">
      <c r="A515" s="1379" t="s">
        <v>117</v>
      </c>
      <c r="B515" s="1380"/>
      <c r="C515" s="1380"/>
      <c r="D515" s="1381"/>
      <c r="E515" s="77">
        <f>SUM(E511:E514)</f>
        <v>2</v>
      </c>
      <c r="F515" s="78"/>
      <c r="G515" s="79">
        <f ca="1">IF(AND(_OK?="OK!",_OK_KV?="OK_KV!"),SUM(G511:G514),ROUNDUP(G511,0))</f>
        <v>0</v>
      </c>
      <c r="H515" s="178">
        <f ca="1">SUM(H511:H514)</f>
        <v>0</v>
      </c>
      <c r="I515" s="924" t="str">
        <f ca="1">IF(OR(_OK?&lt;&gt;"OK!",_OK_KV?&lt;&gt;"OK_KV!"),"X","")</f>
        <v/>
      </c>
      <c r="J515" s="855"/>
      <c r="K515" s="856"/>
      <c r="L515" s="875"/>
    </row>
    <row r="516" spans="1:12" ht="17.850000000000001" customHeight="1" x14ac:dyDescent="0.45">
      <c r="A516" s="1374" t="s">
        <v>336</v>
      </c>
      <c r="B516" s="1375"/>
      <c r="C516" s="1375"/>
      <c r="D516" s="1375"/>
      <c r="E516" s="1375"/>
      <c r="F516" s="1375"/>
      <c r="G516" s="1375"/>
      <c r="H516" s="1375"/>
      <c r="I516" s="923"/>
      <c r="J516" s="855"/>
      <c r="K516" s="856"/>
      <c r="L516" s="1103"/>
    </row>
    <row r="517" spans="1:12" ht="17.850000000000001" customHeight="1" thickBot="1" x14ac:dyDescent="0.5">
      <c r="A517" s="1392"/>
      <c r="B517" s="1393"/>
      <c r="C517" s="1394"/>
      <c r="D517" s="79">
        <f ca="1">IFERROR(VLOOKUP(A517,Stammdaten!A$7:D$33,4,FALSE),"&lt;-- Prüfen!")</f>
        <v>0</v>
      </c>
      <c r="E517" s="329"/>
      <c r="F517" s="81" t="str">
        <f>IFERROR(IF(A517&lt;&gt;"",E517/E518,""),"")</f>
        <v/>
      </c>
      <c r="G517" s="93" t="str">
        <f ca="1">IFERROR(VLOOKUP(A517,Stammdaten!A$7:F$33,4,FALSE)*F517,"")</f>
        <v/>
      </c>
      <c r="H517" s="177" t="str">
        <f ca="1">IFERROR(VLOOKUP(A517,Stammdaten!A$7:F$33,6,FALSE)*F517,"")</f>
        <v/>
      </c>
      <c r="I517" s="925" t="str">
        <f>IF(AND(E517&gt;0,A517=""),"Beschäftigungsgruppe wählen oder Anzahl = 0","")</f>
        <v/>
      </c>
      <c r="J517" s="1395" t="str">
        <f>IF(AND(E517&gt;0,A517=""),"Beschäftigungsgruppe auswählen oder Anzahl = 0 oder löschen!","")</f>
        <v/>
      </c>
      <c r="K517" s="1396"/>
      <c r="L517" s="1373" t="str">
        <f ca="1">IF(AND(D517&gt;0,E517=0),"Anzahl / Anteil eingeben","")</f>
        <v/>
      </c>
    </row>
    <row r="518" spans="1:12" ht="17.850000000000001" customHeight="1" x14ac:dyDescent="0.45">
      <c r="A518" s="845" t="s">
        <v>117</v>
      </c>
      <c r="B518" s="846"/>
      <c r="C518" s="846"/>
      <c r="D518" s="847"/>
      <c r="E518" s="121">
        <f>SUM(E517:E517)</f>
        <v>0</v>
      </c>
      <c r="F518" s="78">
        <f>SUM(F517:F517)</f>
        <v>0</v>
      </c>
      <c r="G518" s="79">
        <f ca="1">SUM(G517:G517)</f>
        <v>0</v>
      </c>
      <c r="H518" s="178">
        <f ca="1">SUM(H517:H517)</f>
        <v>0</v>
      </c>
      <c r="I518" s="923"/>
      <c r="J518" s="1395"/>
      <c r="K518" s="1396"/>
      <c r="L518" s="1373"/>
    </row>
    <row r="519" spans="1:12" ht="17.850000000000001" customHeight="1" x14ac:dyDescent="0.45">
      <c r="A519" s="109"/>
      <c r="B519" s="848"/>
      <c r="C519" s="848"/>
      <c r="D519" s="848"/>
      <c r="E519" s="848"/>
      <c r="F519" s="848"/>
      <c r="G519" s="418"/>
      <c r="H519" s="418"/>
      <c r="I519" s="926"/>
      <c r="J519" s="67"/>
      <c r="K519" s="68"/>
      <c r="L519" s="1103"/>
    </row>
    <row r="520" spans="1:12" ht="17.850000000000001" customHeight="1" x14ac:dyDescent="0.45">
      <c r="A520" s="1267" t="s">
        <v>208</v>
      </c>
      <c r="B520" s="1268"/>
      <c r="C520" s="1268"/>
      <c r="D520" s="1268"/>
      <c r="E520" s="1268"/>
      <c r="F520" s="1268"/>
      <c r="G520" s="1268"/>
      <c r="H520" s="363">
        <v>1</v>
      </c>
      <c r="I520" s="923"/>
      <c r="J520" s="1339" t="str">
        <f>IF(ISBLANK(H520),"Kennzeichen eingeben!","")</f>
        <v/>
      </c>
      <c r="K520" s="1340"/>
      <c r="L520" s="1103"/>
    </row>
    <row r="521" spans="1:12" ht="17.850000000000001" customHeight="1" thickBot="1" x14ac:dyDescent="0.5">
      <c r="A521" s="1427" t="s">
        <v>554</v>
      </c>
      <c r="B521" s="1428"/>
      <c r="C521" s="1428"/>
      <c r="D521" s="1428"/>
      <c r="E521" s="659" t="s">
        <v>96</v>
      </c>
      <c r="F521" s="149">
        <f>IF(H520=1,E515,E515-E518)</f>
        <v>2</v>
      </c>
      <c r="G521" s="660" t="s">
        <v>97</v>
      </c>
      <c r="H521" s="179">
        <f>E518</f>
        <v>0</v>
      </c>
      <c r="I521" s="923"/>
      <c r="J521" s="67"/>
      <c r="K521" s="68"/>
      <c r="L521" s="1103"/>
    </row>
    <row r="522" spans="1:12" ht="17.850000000000001" customHeight="1" thickBot="1" x14ac:dyDescent="0.5">
      <c r="A522" s="72"/>
      <c r="B522" s="107"/>
      <c r="C522" s="844"/>
      <c r="D522" s="107" t="s">
        <v>89</v>
      </c>
      <c r="E522" s="844" t="s">
        <v>90</v>
      </c>
      <c r="F522" s="479" t="s">
        <v>171</v>
      </c>
      <c r="G522" s="476" t="s">
        <v>108</v>
      </c>
      <c r="H522" s="477" t="s">
        <v>90</v>
      </c>
      <c r="I522" s="927"/>
      <c r="J522" s="67"/>
      <c r="K522" s="68"/>
      <c r="L522" s="1103"/>
    </row>
    <row r="523" spans="1:12" ht="17.850000000000001" customHeight="1" x14ac:dyDescent="0.45">
      <c r="A523" s="72" t="s">
        <v>92</v>
      </c>
      <c r="B523" s="107"/>
      <c r="C523" s="844"/>
      <c r="D523" s="122">
        <f ca="1">G515/E515*F521</f>
        <v>0</v>
      </c>
      <c r="E523" s="147">
        <f ca="1">H515/E515*F521</f>
        <v>0</v>
      </c>
      <c r="F523" s="478" t="s">
        <v>365</v>
      </c>
      <c r="G523" s="79">
        <f ca="1">D523</f>
        <v>0</v>
      </c>
      <c r="H523" s="475">
        <f ca="1">D525</f>
        <v>0</v>
      </c>
      <c r="I523" s="927"/>
      <c r="J523" s="67"/>
      <c r="K523" s="68"/>
      <c r="L523" s="1103"/>
    </row>
    <row r="524" spans="1:12" ht="17.850000000000001" customHeight="1" thickBot="1" x14ac:dyDescent="0.5">
      <c r="A524" s="125" t="s">
        <v>93</v>
      </c>
      <c r="B524" s="126"/>
      <c r="C524" s="127"/>
      <c r="D524" s="128">
        <f ca="1">G518</f>
        <v>0</v>
      </c>
      <c r="E524" s="148">
        <f ca="1">H521*H518</f>
        <v>0</v>
      </c>
      <c r="F524" s="469" t="s">
        <v>364</v>
      </c>
      <c r="G524" s="93">
        <f ca="1">D524</f>
        <v>0</v>
      </c>
      <c r="H524" s="468">
        <f ca="1">E525</f>
        <v>0</v>
      </c>
      <c r="I524" s="927"/>
      <c r="J524" s="67"/>
      <c r="K524" s="68"/>
      <c r="L524" s="1103"/>
    </row>
    <row r="525" spans="1:12" ht="17.850000000000001" customHeight="1" x14ac:dyDescent="0.45">
      <c r="A525" s="201"/>
      <c r="B525" s="197"/>
      <c r="C525" s="202" t="s">
        <v>68</v>
      </c>
      <c r="D525" s="203">
        <f ca="1">SUM(D523:D524)</f>
        <v>0</v>
      </c>
      <c r="E525" s="204">
        <f ca="1">SUM(E523:E524)</f>
        <v>0</v>
      </c>
      <c r="F525" s="470" t="s">
        <v>109</v>
      </c>
      <c r="G525" s="198" t="e">
        <f ca="1">G524/G523</f>
        <v>#DIV/0!</v>
      </c>
      <c r="H525" s="466" t="e">
        <f ca="1">H524/H523</f>
        <v>#DIV/0!</v>
      </c>
      <c r="I525" s="923"/>
      <c r="J525" s="67"/>
      <c r="K525" s="68"/>
      <c r="L525" s="1103"/>
    </row>
    <row r="526" spans="1:12" ht="17.850000000000001" customHeight="1" thickBot="1" x14ac:dyDescent="0.5">
      <c r="A526" s="172"/>
      <c r="B526" s="195"/>
      <c r="C526" s="195" t="s">
        <v>234</v>
      </c>
      <c r="D526" s="205">
        <f ca="1">H$55</f>
        <v>0.1004</v>
      </c>
      <c r="E526" s="1397" t="s">
        <v>232</v>
      </c>
      <c r="F526" s="1397"/>
      <c r="G526" s="330"/>
      <c r="H526" s="364"/>
      <c r="I526" s="924" t="str">
        <f>IF(OR(G526&lt;&gt;0,H526&lt;&gt;0),"X","")</f>
        <v/>
      </c>
      <c r="J526" s="67"/>
      <c r="K526" s="68"/>
      <c r="L526" s="1103"/>
    </row>
    <row r="527" spans="1:12" ht="17.850000000000001" customHeight="1" x14ac:dyDescent="0.45">
      <c r="A527" s="201"/>
      <c r="B527" s="197"/>
      <c r="C527" s="848"/>
      <c r="D527" s="199"/>
      <c r="E527" s="1398" t="s">
        <v>233</v>
      </c>
      <c r="F527" s="1398"/>
      <c r="G527" s="198" t="e">
        <f ca="1">G525+G526</f>
        <v>#DIV/0!</v>
      </c>
      <c r="H527" s="365" t="e">
        <f ca="1">H525+H526</f>
        <v>#DIV/0!</v>
      </c>
      <c r="I527" s="923"/>
      <c r="J527" s="67"/>
      <c r="K527" s="68"/>
      <c r="L527" s="1103"/>
    </row>
    <row r="528" spans="1:12" ht="17.850000000000001" customHeight="1" x14ac:dyDescent="0.45">
      <c r="A528" s="129"/>
      <c r="B528" s="842"/>
      <c r="C528" s="843"/>
      <c r="D528" s="196"/>
      <c r="E528" s="140"/>
      <c r="F528" s="140"/>
      <c r="G528" s="200" t="s">
        <v>176</v>
      </c>
      <c r="H528" s="366" t="s">
        <v>177</v>
      </c>
      <c r="I528" s="923"/>
      <c r="J528" s="67"/>
      <c r="K528" s="68"/>
      <c r="L528" s="1103"/>
    </row>
    <row r="529" spans="1:12" ht="17.850000000000001" customHeight="1" x14ac:dyDescent="0.45">
      <c r="A529" s="868" t="s">
        <v>130</v>
      </c>
      <c r="B529" s="869"/>
      <c r="C529" s="869"/>
      <c r="D529" s="1871" t="s">
        <v>629</v>
      </c>
      <c r="E529" s="1871"/>
      <c r="F529" s="1871"/>
      <c r="G529" s="1875" t="e">
        <f ca="1">' K3 Regiepartie1'!M45</f>
        <v>#VALUE!</v>
      </c>
      <c r="H529" s="1876"/>
      <c r="I529" s="923"/>
      <c r="J529" s="67"/>
      <c r="K529" s="68"/>
      <c r="L529" s="1103"/>
    </row>
    <row r="530" spans="1:12" ht="17.850000000000001" customHeight="1" x14ac:dyDescent="0.45">
      <c r="A530" s="1464"/>
      <c r="B530" s="1465"/>
      <c r="C530" s="1465"/>
      <c r="D530" s="1465"/>
      <c r="E530" s="1465"/>
      <c r="F530" s="1465"/>
      <c r="G530" s="1465"/>
      <c r="H530" s="1465"/>
      <c r="I530" s="923"/>
      <c r="J530" s="67"/>
      <c r="K530" s="68"/>
      <c r="L530" s="1103"/>
    </row>
    <row r="531" spans="1:12" ht="17.850000000000001" customHeight="1" x14ac:dyDescent="0.45">
      <c r="A531" s="1454" t="s">
        <v>236</v>
      </c>
      <c r="B531" s="1455"/>
      <c r="C531" s="1455"/>
      <c r="D531" s="1456"/>
      <c r="E531" s="1419" t="s">
        <v>162</v>
      </c>
      <c r="F531" s="1419" t="s">
        <v>228</v>
      </c>
      <c r="G531" s="1419" t="s">
        <v>231</v>
      </c>
      <c r="H531" s="1341" t="s">
        <v>163</v>
      </c>
      <c r="I531" s="928"/>
      <c r="J531" s="67"/>
      <c r="K531" s="68"/>
      <c r="L531" s="1103"/>
    </row>
    <row r="532" spans="1:12" ht="17.850000000000001" customHeight="1" x14ac:dyDescent="0.45">
      <c r="A532" s="1457"/>
      <c r="B532" s="1458"/>
      <c r="C532" s="1458"/>
      <c r="D532" s="1459"/>
      <c r="E532" s="1420"/>
      <c r="F532" s="1420"/>
      <c r="G532" s="1420"/>
      <c r="H532" s="1342"/>
      <c r="I532" s="928"/>
      <c r="J532" s="67"/>
      <c r="K532" s="68"/>
      <c r="L532" s="1103"/>
    </row>
    <row r="533" spans="1:12" ht="17.850000000000001" customHeight="1" x14ac:dyDescent="0.45">
      <c r="A533" s="1857"/>
      <c r="B533" s="1858"/>
      <c r="C533" s="1858"/>
      <c r="D533" s="1859"/>
      <c r="E533" s="1421"/>
      <c r="F533" s="1421"/>
      <c r="G533" s="1421"/>
      <c r="H533" s="1343"/>
      <c r="I533" s="923"/>
      <c r="J533" s="67"/>
      <c r="K533" s="68"/>
      <c r="L533" s="1103"/>
    </row>
    <row r="534" spans="1:12" ht="17.850000000000001" customHeight="1" x14ac:dyDescent="0.45">
      <c r="A534" s="1425" t="s">
        <v>339</v>
      </c>
      <c r="B534" s="1425"/>
      <c r="C534" s="1425"/>
      <c r="D534" s="1413"/>
      <c r="E534" s="403">
        <v>0</v>
      </c>
      <c r="F534" s="402"/>
      <c r="G534" s="326"/>
      <c r="H534" s="403">
        <f>IF(ISBLANK(G534),E534,G534)</f>
        <v>0</v>
      </c>
      <c r="I534" s="924" t="str">
        <f>IF(G534&lt;&gt;0,"X","")</f>
        <v/>
      </c>
      <c r="J534" s="67"/>
      <c r="K534" s="68"/>
      <c r="L534" s="1103"/>
    </row>
    <row r="535" spans="1:12" ht="17.850000000000001" customHeight="1" x14ac:dyDescent="0.45">
      <c r="A535" s="1344" t="s">
        <v>159</v>
      </c>
      <c r="B535" s="1345"/>
      <c r="C535" s="1345"/>
      <c r="D535" s="1345"/>
      <c r="E535" s="410">
        <v>1</v>
      </c>
      <c r="F535" s="396"/>
      <c r="G535" s="411"/>
      <c r="H535" s="412">
        <f t="shared" ref="H535" si="40">IF(F535=1,G535,E535)</f>
        <v>1</v>
      </c>
      <c r="I535" s="925"/>
      <c r="J535" s="67"/>
      <c r="K535" s="68"/>
      <c r="L535" s="1103"/>
    </row>
    <row r="536" spans="1:12" ht="17.850000000000001" customHeight="1" x14ac:dyDescent="0.45">
      <c r="A536" s="1404" t="s">
        <v>500</v>
      </c>
      <c r="B536" s="1405"/>
      <c r="C536" s="1405"/>
      <c r="D536" s="1406"/>
      <c r="E536" s="426"/>
      <c r="F536" s="363">
        <v>1</v>
      </c>
      <c r="G536" s="434"/>
      <c r="H536" s="431"/>
      <c r="I536" s="924" t="str">
        <f>IF(F536&lt;&gt;0,"X","")</f>
        <v>X</v>
      </c>
      <c r="J536" s="1339" t="str">
        <f>IF(F536+F540+F544&gt;1,"Zusätzlich mit Verrechnungsstd.?","")</f>
        <v>Zusätzlich mit Verrechnungsstd.?</v>
      </c>
      <c r="K536" s="1340"/>
      <c r="L536" s="1103"/>
    </row>
    <row r="537" spans="1:12" ht="17.850000000000001" customHeight="1" x14ac:dyDescent="0.45">
      <c r="A537" s="397" t="s">
        <v>128</v>
      </c>
      <c r="B537" s="1407" t="s">
        <v>664</v>
      </c>
      <c r="C537" s="1407"/>
      <c r="D537" s="1407"/>
      <c r="E537" s="398">
        <f ca="1">IFERROR(VLOOKUP(B537,Stammdaten!A$39:C$48,3,FALSE),"")</f>
        <v>0.5</v>
      </c>
      <c r="F537" s="430"/>
      <c r="G537" s="436"/>
      <c r="H537" s="432"/>
      <c r="I537" s="925"/>
      <c r="J537" s="1339" t="str">
        <f ca="1">IF(AND(F536=1,E537=0),"Arbeitszeitzuschlag auswählen!","")</f>
        <v/>
      </c>
      <c r="K537" s="1340"/>
      <c r="L537" s="1103"/>
    </row>
    <row r="538" spans="1:12" ht="17.850000000000001" customHeight="1" x14ac:dyDescent="0.45">
      <c r="A538" s="1408" t="s">
        <v>211</v>
      </c>
      <c r="B538" s="1409"/>
      <c r="C538" s="1409"/>
      <c r="D538" s="1409"/>
      <c r="E538" s="399">
        <f ca="1">IFERROR(IF(VLOOKUP(B537,Stammdaten!A$39:C$48,2,FALSE)=0,1,(VLOOKUP(B537,Stammdaten!A$39:C$48,2,FALSE))),"")</f>
        <v>1</v>
      </c>
      <c r="F538" s="430"/>
      <c r="G538" s="435"/>
      <c r="H538" s="433"/>
      <c r="I538" s="925"/>
      <c r="J538" s="67"/>
      <c r="K538" s="68"/>
      <c r="L538" s="1103"/>
    </row>
    <row r="539" spans="1:12" ht="17.850000000000001" customHeight="1" x14ac:dyDescent="0.45">
      <c r="A539" s="1410" t="s">
        <v>503</v>
      </c>
      <c r="B539" s="1411"/>
      <c r="C539" s="1411"/>
      <c r="D539" s="1412"/>
      <c r="E539" s="429"/>
      <c r="F539" s="554">
        <v>2</v>
      </c>
      <c r="G539" s="437" t="e">
        <f ca="1">IF(F539=1,1,IF(F539=2,((' K3 Regiepartie1'!O$23+' K3 Regiepartie1'!O$24)/' K3 Regiepartie1'!O$23),IF(F539&gt;2,((' K3 Regiepartie1'!O$23+' K3 Regiepartie1'!O$24+' K3 Regiepartie1'!O$25)/' K3 Regiepartie1'!O$23),"")))</f>
        <v>#VALUE!</v>
      </c>
      <c r="H539" s="432" t="e">
        <f ca="1">IF(F536*F539&gt;0,(E537*E538*G539),0)</f>
        <v>#VALUE!</v>
      </c>
      <c r="I539" s="925"/>
      <c r="J539" s="1339" t="str">
        <f>IF(AND(ISBLANK(F539),F536=1),"Kennzeichen setzen!","")</f>
        <v/>
      </c>
      <c r="K539" s="1340"/>
      <c r="L539" s="1103"/>
    </row>
    <row r="540" spans="1:12" ht="17.850000000000001" customHeight="1" x14ac:dyDescent="0.45">
      <c r="A540" s="1404" t="s">
        <v>501</v>
      </c>
      <c r="B540" s="1405"/>
      <c r="C540" s="1405"/>
      <c r="D540" s="1406"/>
      <c r="E540" s="426"/>
      <c r="F540" s="363">
        <v>0</v>
      </c>
      <c r="G540" s="434"/>
      <c r="H540" s="431"/>
      <c r="I540" s="924" t="str">
        <f>IF(F540&lt;&gt;0,"X","")</f>
        <v/>
      </c>
      <c r="J540" s="1339"/>
      <c r="K540" s="1340"/>
      <c r="L540" s="1103"/>
    </row>
    <row r="541" spans="1:12" ht="17.850000000000001" customHeight="1" x14ac:dyDescent="0.45">
      <c r="A541" s="397" t="s">
        <v>352</v>
      </c>
      <c r="B541" s="1407" t="s">
        <v>692</v>
      </c>
      <c r="C541" s="1407"/>
      <c r="D541" s="1407"/>
      <c r="E541" s="398" t="str">
        <f ca="1">IFERROR(VLOOKUP(B541,Stammdaten!A$50:C$54,3,FALSE),"")</f>
        <v/>
      </c>
      <c r="F541" s="430"/>
      <c r="G541" s="436"/>
      <c r="H541" s="432"/>
      <c r="I541" s="925"/>
      <c r="J541" s="852"/>
      <c r="K541" s="853"/>
      <c r="L541" s="1103"/>
    </row>
    <row r="542" spans="1:12" ht="17.850000000000001" customHeight="1" x14ac:dyDescent="0.45">
      <c r="A542" s="1408" t="s">
        <v>353</v>
      </c>
      <c r="B542" s="1409"/>
      <c r="C542" s="1409"/>
      <c r="D542" s="1409"/>
      <c r="E542" s="399" t="str">
        <f ca="1">IFERROR(IF(VLOOKUP(B541,Stammdaten!A$50:C$54,2,FALSE)=0,1,(VLOOKUP(B541,Stammdaten!A$50:C$54,2,FALSE))),"")</f>
        <v/>
      </c>
      <c r="F542" s="430"/>
      <c r="G542" s="435"/>
      <c r="H542" s="433"/>
      <c r="I542" s="925"/>
      <c r="J542" s="852"/>
      <c r="K542" s="853"/>
      <c r="L542" s="1103"/>
    </row>
    <row r="543" spans="1:12" ht="17.850000000000001" customHeight="1" x14ac:dyDescent="0.45">
      <c r="A543" s="1410" t="s">
        <v>503</v>
      </c>
      <c r="B543" s="1411"/>
      <c r="C543" s="1411"/>
      <c r="D543" s="1412"/>
      <c r="E543" s="429"/>
      <c r="F543" s="554">
        <v>2</v>
      </c>
      <c r="G543" s="437" t="e">
        <f ca="1">IF(F543=1,1,IF(F543=2,((' K3 Regiepartie1'!O$23+' K3 Regiepartie1'!O$24)/' K3 Regiepartie1'!O$23),IF(F543&gt;2,((' K3 Regiepartie1'!O$23+' K3 Regiepartie1'!O$24+' K3 Regiepartie1'!O$25)/' K3 Regiepartie1'!O$23),"")))</f>
        <v>#VALUE!</v>
      </c>
      <c r="H543" s="432">
        <f>IF(F540*F543&gt;0,(E541*E542*G543),0)</f>
        <v>0</v>
      </c>
      <c r="I543" s="925"/>
      <c r="J543" s="1339" t="str">
        <f>IF(AND(ISBLANK(F543),F540=1),"Kennzeichen setzen!","")</f>
        <v/>
      </c>
      <c r="K543" s="1340"/>
      <c r="L543" s="1103"/>
    </row>
    <row r="544" spans="1:12" ht="17.850000000000001" customHeight="1" x14ac:dyDescent="0.45">
      <c r="A544" s="1404" t="s">
        <v>502</v>
      </c>
      <c r="B544" s="1405"/>
      <c r="C544" s="1405"/>
      <c r="D544" s="1406"/>
      <c r="E544" s="426"/>
      <c r="F544" s="194">
        <v>1</v>
      </c>
      <c r="G544" s="427"/>
      <c r="H544" s="428"/>
      <c r="I544" s="924" t="str">
        <f>IF(F544&lt;&gt;0,"X","")</f>
        <v>X</v>
      </c>
      <c r="J544" s="1339"/>
      <c r="K544" s="1340"/>
      <c r="L544" s="1103"/>
    </row>
    <row r="545" spans="1:12" ht="17.850000000000001" customHeight="1" thickBot="1" x14ac:dyDescent="0.5">
      <c r="A545" s="439" t="s">
        <v>354</v>
      </c>
      <c r="B545" s="1416" t="s">
        <v>693</v>
      </c>
      <c r="C545" s="1416"/>
      <c r="D545" s="1416"/>
      <c r="E545" s="440" t="str">
        <f ca="1">IFERROR(VLOOKUP(B545,Stammdaten!A$56:C$60,2,FALSE),"")</f>
        <v/>
      </c>
      <c r="F545" s="441" t="s">
        <v>351</v>
      </c>
      <c r="G545" s="442" t="e">
        <f ca="1">' K3 Regiepartie1'!$O$21</f>
        <v>#VALUE!</v>
      </c>
      <c r="H545" s="443" t="e">
        <f ca="1">IF(F544=1,E545/G545,0)</f>
        <v>#VALUE!</v>
      </c>
      <c r="I545" s="925"/>
      <c r="J545" s="852"/>
      <c r="K545" s="853"/>
      <c r="L545" s="1103"/>
    </row>
    <row r="546" spans="1:12" ht="17.850000000000001" customHeight="1" thickBot="1" x14ac:dyDescent="0.5">
      <c r="A546" s="633" t="s">
        <v>164</v>
      </c>
      <c r="B546" s="438"/>
      <c r="C546" s="438"/>
      <c r="D546" s="438"/>
      <c r="E546" s="414"/>
      <c r="F546" s="414"/>
      <c r="G546" s="414"/>
      <c r="H546" s="415" t="e">
        <f ca="1">SUM(H536:H545)</f>
        <v>#VALUE!</v>
      </c>
      <c r="I546" s="925"/>
      <c r="J546" s="67"/>
      <c r="K546" s="68"/>
      <c r="L546" s="1103"/>
    </row>
    <row r="547" spans="1:12" ht="17.850000000000001" customHeight="1" x14ac:dyDescent="0.45">
      <c r="A547" s="1410" t="s">
        <v>346</v>
      </c>
      <c r="B547" s="1411"/>
      <c r="C547" s="1411"/>
      <c r="D547" s="1412"/>
      <c r="E547" s="306">
        <f ca="1">$H$139</f>
        <v>0.87</v>
      </c>
      <c r="F547" s="400"/>
      <c r="G547" s="401"/>
      <c r="H547" s="376">
        <f t="shared" ref="H547:H552" ca="1" si="41">IF(ISBLANK(G547),E547,G547)</f>
        <v>0.87</v>
      </c>
      <c r="I547" s="924" t="str">
        <f ca="1">IF(OR(G547&lt;&gt;0,E547&lt;&gt;H547),"X","")</f>
        <v/>
      </c>
      <c r="J547" s="67"/>
      <c r="K547" s="68"/>
      <c r="L547" s="1103"/>
    </row>
    <row r="548" spans="1:12" ht="17.850000000000001" customHeight="1" x14ac:dyDescent="0.45">
      <c r="A548" s="1413" t="s">
        <v>355</v>
      </c>
      <c r="B548" s="1414"/>
      <c r="C548" s="1414"/>
      <c r="D548" s="1415"/>
      <c r="E548" s="210">
        <f ca="1">$G$139</f>
        <v>0.83</v>
      </c>
      <c r="F548" s="402"/>
      <c r="G548" s="327"/>
      <c r="H548" s="377">
        <f t="shared" ca="1" si="41"/>
        <v>0.83</v>
      </c>
      <c r="I548" s="924" t="str">
        <f t="shared" ref="I548:I552" ca="1" si="42">IF(OR(G548&lt;&gt;0,E548&lt;&gt;H548),"X","")</f>
        <v/>
      </c>
      <c r="J548" s="67"/>
      <c r="K548" s="68"/>
      <c r="L548" s="1103"/>
    </row>
    <row r="549" spans="1:12" ht="17.850000000000001" customHeight="1" x14ac:dyDescent="0.45">
      <c r="A549" s="1413" t="s">
        <v>165</v>
      </c>
      <c r="B549" s="1414"/>
      <c r="C549" s="1414"/>
      <c r="D549" s="1415"/>
      <c r="E549" s="403">
        <f ca="1">$H$180</f>
        <v>0.2994</v>
      </c>
      <c r="F549" s="402"/>
      <c r="G549" s="326"/>
      <c r="H549" s="404">
        <f t="shared" ca="1" si="41"/>
        <v>0.2994</v>
      </c>
      <c r="I549" s="924" t="str">
        <f t="shared" ca="1" si="42"/>
        <v/>
      </c>
      <c r="J549" s="67"/>
      <c r="K549" s="68"/>
      <c r="L549" s="1103"/>
    </row>
    <row r="550" spans="1:12" ht="17.850000000000001" customHeight="1" x14ac:dyDescent="0.45">
      <c r="A550" s="1413" t="s">
        <v>347</v>
      </c>
      <c r="B550" s="1414"/>
      <c r="C550" s="1414"/>
      <c r="D550" s="1415"/>
      <c r="E550" s="403">
        <f ca="1">$H$199</f>
        <v>0.7</v>
      </c>
      <c r="F550" s="402"/>
      <c r="G550" s="326"/>
      <c r="H550" s="404">
        <f t="shared" ca="1" si="41"/>
        <v>0.7</v>
      </c>
      <c r="I550" s="924" t="str">
        <f t="shared" ca="1" si="42"/>
        <v/>
      </c>
      <c r="J550" s="67"/>
      <c r="K550" s="68"/>
      <c r="L550" s="1103"/>
    </row>
    <row r="551" spans="1:12" ht="17.850000000000001" customHeight="1" x14ac:dyDescent="0.45">
      <c r="A551" s="1413" t="s">
        <v>166</v>
      </c>
      <c r="B551" s="1414"/>
      <c r="C551" s="1414"/>
      <c r="D551" s="1415"/>
      <c r="E551" s="403">
        <f ca="1">$F$212</f>
        <v>4.4999999999999997E-3</v>
      </c>
      <c r="F551" s="402"/>
      <c r="G551" s="326"/>
      <c r="H551" s="404">
        <f t="shared" ca="1" si="41"/>
        <v>4.4999999999999997E-3</v>
      </c>
      <c r="I551" s="924" t="str">
        <f t="shared" ca="1" si="42"/>
        <v/>
      </c>
      <c r="J551" s="67"/>
      <c r="K551" s="68"/>
      <c r="L551" s="1103"/>
    </row>
    <row r="552" spans="1:12" ht="17.850000000000001" customHeight="1" x14ac:dyDescent="0.45">
      <c r="A552" s="1413" t="s">
        <v>167</v>
      </c>
      <c r="B552" s="1414"/>
      <c r="C552" s="1414"/>
      <c r="D552" s="1415"/>
      <c r="E552" s="832">
        <f ca="1">$F$239</f>
        <v>0.13689999999999999</v>
      </c>
      <c r="F552" s="402"/>
      <c r="G552" s="828"/>
      <c r="H552" s="833">
        <f t="shared" ca="1" si="41"/>
        <v>0.13689999999999999</v>
      </c>
      <c r="I552" s="924" t="str">
        <f t="shared" ca="1" si="42"/>
        <v/>
      </c>
      <c r="J552" s="67"/>
      <c r="K552" s="68"/>
      <c r="L552" s="1103"/>
    </row>
    <row r="553" spans="1:12" ht="17.850000000000001" customHeight="1" x14ac:dyDescent="0.45">
      <c r="A553" s="1417" t="s">
        <v>136</v>
      </c>
      <c r="B553" s="1418"/>
      <c r="C553" s="1418"/>
      <c r="D553" s="1418"/>
      <c r="E553" s="1418"/>
      <c r="F553" s="1418"/>
      <c r="G553" s="1418"/>
      <c r="H553" s="1418"/>
      <c r="I553" s="925"/>
      <c r="J553" s="67"/>
      <c r="K553" s="68"/>
      <c r="L553" s="1103"/>
    </row>
    <row r="554" spans="1:12" ht="17.850000000000001" customHeight="1" x14ac:dyDescent="0.45">
      <c r="A554" s="1374" t="s">
        <v>160</v>
      </c>
      <c r="B554" s="1375"/>
      <c r="C554" s="1375"/>
      <c r="D554" s="1375"/>
      <c r="E554" s="444" t="str">
        <f>IF(OR(F$263&lt;&gt;SUM(F555:F557),G$263&lt;&gt;SUM(G555:G557)),"!","")</f>
        <v/>
      </c>
      <c r="F554" s="145" t="s">
        <v>86</v>
      </c>
      <c r="G554" s="145" t="s">
        <v>115</v>
      </c>
      <c r="H554" s="406"/>
      <c r="I554" s="925"/>
      <c r="J554" s="1371" t="str">
        <f>IF(E554="!","Warnung: Es sind nicht alle Umlagen ausgewählt!","")</f>
        <v/>
      </c>
      <c r="K554" s="1372"/>
      <c r="L554" s="1103"/>
    </row>
    <row r="555" spans="1:12" ht="17.850000000000001" customHeight="1" x14ac:dyDescent="0.45">
      <c r="A555" s="1402" t="s">
        <v>662</v>
      </c>
      <c r="B555" s="1403"/>
      <c r="C555" s="1403"/>
      <c r="D555" s="1403"/>
      <c r="E555" s="1403"/>
      <c r="F555" s="406" t="str">
        <f>IFERROR(VLOOKUP(A555,A$253:G$257,6,FALSE),"")</f>
        <v/>
      </c>
      <c r="G555" s="416" t="str">
        <f>IFERROR(VLOOKUP(A555,A$253:G$257,7,FALSE),"")</f>
        <v/>
      </c>
      <c r="H555" s="182"/>
      <c r="I555" s="925"/>
      <c r="J555" s="1371"/>
      <c r="K555" s="1372"/>
      <c r="L555" s="1103"/>
    </row>
    <row r="556" spans="1:12" ht="17.850000000000001" customHeight="1" x14ac:dyDescent="0.45">
      <c r="A556" s="1450" t="s">
        <v>129</v>
      </c>
      <c r="B556" s="1451"/>
      <c r="C556" s="1451"/>
      <c r="D556" s="1451"/>
      <c r="E556" s="1451"/>
      <c r="F556" s="182" t="str">
        <f>IFERROR(VLOOKUP(A556,A$253:G$257,6,FALSE),"")</f>
        <v/>
      </c>
      <c r="G556" s="413">
        <f>IFERROR(VLOOKUP(A556,A$253:G$257,7,FALSE),"")</f>
        <v>0</v>
      </c>
      <c r="H556" s="182"/>
      <c r="I556" s="925"/>
      <c r="J556" s="67"/>
      <c r="K556" s="68"/>
      <c r="L556" s="1103"/>
    </row>
    <row r="557" spans="1:12" ht="17.850000000000001" customHeight="1" x14ac:dyDescent="0.45">
      <c r="A557" s="1448" t="s">
        <v>663</v>
      </c>
      <c r="B557" s="1449"/>
      <c r="C557" s="1449"/>
      <c r="D557" s="1449"/>
      <c r="E557" s="1449"/>
      <c r="F557" s="178" t="str">
        <f>IFERROR(VLOOKUP(A557,A$253:G$257,6,FALSE),"")</f>
        <v/>
      </c>
      <c r="G557" s="409" t="str">
        <f>IFERROR(VLOOKUP(A557,A$253:G$257,7,FALSE),"")</f>
        <v/>
      </c>
      <c r="H557" s="178"/>
      <c r="I557" s="925"/>
      <c r="J557" s="67"/>
      <c r="K557" s="68"/>
      <c r="L557" s="1103"/>
    </row>
    <row r="558" spans="1:12" ht="17.850000000000001" customHeight="1" x14ac:dyDescent="0.45">
      <c r="A558" s="1267" t="s">
        <v>161</v>
      </c>
      <c r="B558" s="1268"/>
      <c r="C558" s="1268"/>
      <c r="D558" s="1268"/>
      <c r="E558" s="1268"/>
      <c r="F558" s="1268"/>
      <c r="G558" s="1269"/>
      <c r="H558" s="820" t="str">
        <f>$G$268</f>
        <v/>
      </c>
      <c r="I558" s="925"/>
      <c r="J558" s="67"/>
      <c r="K558" s="68"/>
      <c r="L558" s="1103"/>
    </row>
    <row r="559" spans="1:12" ht="17.850000000000001" customHeight="1" x14ac:dyDescent="0.45">
      <c r="A559" s="1374" t="s">
        <v>169</v>
      </c>
      <c r="B559" s="1375"/>
      <c r="C559" s="1375"/>
      <c r="D559" s="1375"/>
      <c r="E559" s="1375"/>
      <c r="F559" s="1375"/>
      <c r="G559" s="1375"/>
      <c r="H559" s="1375"/>
      <c r="I559" s="923"/>
      <c r="J559" s="67"/>
      <c r="K559" s="68"/>
      <c r="L559" s="1103"/>
    </row>
    <row r="560" spans="1:12" ht="17.850000000000001" customHeight="1" x14ac:dyDescent="0.45">
      <c r="A560" s="1467" t="s">
        <v>591</v>
      </c>
      <c r="B560" s="1468"/>
      <c r="C560" s="1468"/>
      <c r="D560" s="1474"/>
      <c r="E560" s="818">
        <f>IFERROR(VLOOKUP(A560,'K2 GZ'!H$21:L$26,5,FALSE),"&lt;--prüfen")</f>
        <v>0.22411</v>
      </c>
      <c r="F560" s="1851" t="str">
        <f>IF(OR(E560&lt;0.01,E560=""),"GZ prüfen","")</f>
        <v/>
      </c>
      <c r="G560" s="1852"/>
      <c r="H560" s="819">
        <f>E560</f>
        <v>0.22411</v>
      </c>
      <c r="I560" s="925"/>
      <c r="J560" s="67"/>
      <c r="K560" s="68"/>
      <c r="L560" s="1103"/>
    </row>
    <row r="561" spans="1:12" ht="17.850000000000001" customHeight="1" x14ac:dyDescent="0.45">
      <c r="A561" s="868" t="s">
        <v>130</v>
      </c>
      <c r="B561" s="869"/>
      <c r="C561" s="869"/>
      <c r="D561" s="1871" t="s">
        <v>629</v>
      </c>
      <c r="E561" s="1871"/>
      <c r="F561" s="1871"/>
      <c r="G561" s="1875" t="e">
        <f ca="1">' K3 Regiepartie1'!M45</f>
        <v>#VALUE!</v>
      </c>
      <c r="H561" s="1876"/>
      <c r="I561" s="929"/>
      <c r="J561" s="69"/>
      <c r="K561" s="70"/>
      <c r="L561" s="1121"/>
    </row>
    <row r="562" spans="1:12" ht="17.850000000000001" customHeight="1" x14ac:dyDescent="0.45">
      <c r="A562" s="1348"/>
      <c r="B562" s="1349"/>
      <c r="C562" s="1349"/>
      <c r="D562" s="1349"/>
      <c r="E562" s="1349"/>
      <c r="F562" s="1349"/>
      <c r="G562" s="1349"/>
      <c r="H562" s="1349"/>
      <c r="I562" s="1350"/>
    </row>
  </sheetData>
  <sheetProtection password="B984" sheet="1" formatColumns="0" selectLockedCells="1"/>
  <mergeCells count="696">
    <mergeCell ref="A502:G502"/>
    <mergeCell ref="A483:D483"/>
    <mergeCell ref="G475:G477"/>
    <mergeCell ref="H475:H477"/>
    <mergeCell ref="C505:E505"/>
    <mergeCell ref="J543:K543"/>
    <mergeCell ref="F475:F477"/>
    <mergeCell ref="J536:K536"/>
    <mergeCell ref="B537:D537"/>
    <mergeCell ref="J537:K537"/>
    <mergeCell ref="A539:D539"/>
    <mergeCell ref="J539:K539"/>
    <mergeCell ref="J540:K540"/>
    <mergeCell ref="A520:G520"/>
    <mergeCell ref="J520:K520"/>
    <mergeCell ref="A521:D521"/>
    <mergeCell ref="E526:F526"/>
    <mergeCell ref="E527:F527"/>
    <mergeCell ref="A510:D510"/>
    <mergeCell ref="A511:C511"/>
    <mergeCell ref="A516:H516"/>
    <mergeCell ref="A536:D536"/>
    <mergeCell ref="A538:D538"/>
    <mergeCell ref="A530:H530"/>
    <mergeCell ref="L319:L320"/>
    <mergeCell ref="L323:L324"/>
    <mergeCell ref="J511:K511"/>
    <mergeCell ref="J512:K512"/>
    <mergeCell ref="J513:K513"/>
    <mergeCell ref="J514:K514"/>
    <mergeCell ref="D529:F529"/>
    <mergeCell ref="G529:H529"/>
    <mergeCell ref="L517:L518"/>
    <mergeCell ref="J517:K518"/>
    <mergeCell ref="A498:D498"/>
    <mergeCell ref="A497:H497"/>
    <mergeCell ref="A482:D482"/>
    <mergeCell ref="A486:D486"/>
    <mergeCell ref="A487:D487"/>
    <mergeCell ref="A488:D488"/>
    <mergeCell ref="B489:D489"/>
    <mergeCell ref="D473:G473"/>
    <mergeCell ref="B481:D481"/>
    <mergeCell ref="A494:D494"/>
    <mergeCell ref="A496:D496"/>
    <mergeCell ref="A499:E499"/>
    <mergeCell ref="A500:E500"/>
    <mergeCell ref="A501:E501"/>
    <mergeCell ref="A534:D534"/>
    <mergeCell ref="A535:D535"/>
    <mergeCell ref="A540:D540"/>
    <mergeCell ref="J544:K544"/>
    <mergeCell ref="B545:D545"/>
    <mergeCell ref="A547:D547"/>
    <mergeCell ref="A548:D548"/>
    <mergeCell ref="A553:H553"/>
    <mergeCell ref="J554:K555"/>
    <mergeCell ref="A555:E555"/>
    <mergeCell ref="A542:D542"/>
    <mergeCell ref="B541:D541"/>
    <mergeCell ref="A543:D543"/>
    <mergeCell ref="A556:E556"/>
    <mergeCell ref="A558:G558"/>
    <mergeCell ref="A544:D544"/>
    <mergeCell ref="D561:F561"/>
    <mergeCell ref="A507:H507"/>
    <mergeCell ref="A508:C509"/>
    <mergeCell ref="D508:H509"/>
    <mergeCell ref="A531:D533"/>
    <mergeCell ref="E531:E533"/>
    <mergeCell ref="F531:F533"/>
    <mergeCell ref="G531:G533"/>
    <mergeCell ref="H531:H533"/>
    <mergeCell ref="A517:C517"/>
    <mergeCell ref="A557:E557"/>
    <mergeCell ref="A559:H559"/>
    <mergeCell ref="A560:D560"/>
    <mergeCell ref="F560:G560"/>
    <mergeCell ref="A549:D549"/>
    <mergeCell ref="A550:D550"/>
    <mergeCell ref="G561:H561"/>
    <mergeCell ref="A551:D551"/>
    <mergeCell ref="A552:D552"/>
    <mergeCell ref="A554:D554"/>
    <mergeCell ref="A515:D515"/>
    <mergeCell ref="A513:C513"/>
    <mergeCell ref="A512:C512"/>
    <mergeCell ref="A514:C514"/>
    <mergeCell ref="A445:D445"/>
    <mergeCell ref="A446:E446"/>
    <mergeCell ref="A447:E447"/>
    <mergeCell ref="A448:E448"/>
    <mergeCell ref="A478:D478"/>
    <mergeCell ref="A479:D479"/>
    <mergeCell ref="A503:H503"/>
    <mergeCell ref="A504:D504"/>
    <mergeCell ref="F504:G504"/>
    <mergeCell ref="A459:D459"/>
    <mergeCell ref="A460:H460"/>
    <mergeCell ref="A461:C461"/>
    <mergeCell ref="A464:G464"/>
    <mergeCell ref="A465:D465"/>
    <mergeCell ref="E471:F471"/>
    <mergeCell ref="A491:D491"/>
    <mergeCell ref="A492:D492"/>
    <mergeCell ref="A493:D493"/>
    <mergeCell ref="A495:D495"/>
    <mergeCell ref="A480:D480"/>
    <mergeCell ref="A484:D484"/>
    <mergeCell ref="A430:D430"/>
    <mergeCell ref="A431:D431"/>
    <mergeCell ref="A397:I399"/>
    <mergeCell ref="A383:D383"/>
    <mergeCell ref="A384:D384"/>
    <mergeCell ref="A474:H474"/>
    <mergeCell ref="A475:D477"/>
    <mergeCell ref="E475:E477"/>
    <mergeCell ref="A389:E389"/>
    <mergeCell ref="A391:G391"/>
    <mergeCell ref="A392:H392"/>
    <mergeCell ref="B432:D432"/>
    <mergeCell ref="A433:D433"/>
    <mergeCell ref="A401:H401"/>
    <mergeCell ref="A412:D412"/>
    <mergeCell ref="A425:D425"/>
    <mergeCell ref="D420:G420"/>
    <mergeCell ref="A421:H421"/>
    <mergeCell ref="A422:D424"/>
    <mergeCell ref="E422:E424"/>
    <mergeCell ref="F422:F424"/>
    <mergeCell ref="G422:G424"/>
    <mergeCell ref="B485:D485"/>
    <mergeCell ref="A458:C458"/>
    <mergeCell ref="A449:G449"/>
    <mergeCell ref="A450:H450"/>
    <mergeCell ref="A451:D451"/>
    <mergeCell ref="F451:G451"/>
    <mergeCell ref="C452:E452"/>
    <mergeCell ref="A434:D434"/>
    <mergeCell ref="A435:D435"/>
    <mergeCell ref="B436:D436"/>
    <mergeCell ref="A438:D438"/>
    <mergeCell ref="A439:D439"/>
    <mergeCell ref="A440:D440"/>
    <mergeCell ref="A441:D441"/>
    <mergeCell ref="A442:D442"/>
    <mergeCell ref="A443:D443"/>
    <mergeCell ref="A444:H444"/>
    <mergeCell ref="E470:F470"/>
    <mergeCell ref="A258:H258"/>
    <mergeCell ref="B317:D317"/>
    <mergeCell ref="A373:D373"/>
    <mergeCell ref="B374:D374"/>
    <mergeCell ref="A241:H241"/>
    <mergeCell ref="A250:E250"/>
    <mergeCell ref="D246:E246"/>
    <mergeCell ref="A242:H242"/>
    <mergeCell ref="A243:E243"/>
    <mergeCell ref="E268:F268"/>
    <mergeCell ref="A263:E263"/>
    <mergeCell ref="A319:D319"/>
    <mergeCell ref="A323:D323"/>
    <mergeCell ref="A338:G338"/>
    <mergeCell ref="A340:D340"/>
    <mergeCell ref="F340:G340"/>
    <mergeCell ref="A342:I342"/>
    <mergeCell ref="A223:D223"/>
    <mergeCell ref="A228:E228"/>
    <mergeCell ref="A393:D393"/>
    <mergeCell ref="F393:G393"/>
    <mergeCell ref="G364:G366"/>
    <mergeCell ref="H364:H366"/>
    <mergeCell ref="A390:E390"/>
    <mergeCell ref="A333:H333"/>
    <mergeCell ref="A396:I396"/>
    <mergeCell ref="E364:E366"/>
    <mergeCell ref="D309:G309"/>
    <mergeCell ref="A363:H363"/>
    <mergeCell ref="A320:D320"/>
    <mergeCell ref="B321:D321"/>
    <mergeCell ref="A332:D332"/>
    <mergeCell ref="A245:C245"/>
    <mergeCell ref="A244:B244"/>
    <mergeCell ref="A322:D322"/>
    <mergeCell ref="A364:D366"/>
    <mergeCell ref="G228:H229"/>
    <mergeCell ref="A229:E229"/>
    <mergeCell ref="A239:E239"/>
    <mergeCell ref="D245:E245"/>
    <mergeCell ref="A247:E247"/>
    <mergeCell ref="A201:E201"/>
    <mergeCell ref="A209:C209"/>
    <mergeCell ref="A221:D221"/>
    <mergeCell ref="A222:D222"/>
    <mergeCell ref="A230:D230"/>
    <mergeCell ref="A224:D224"/>
    <mergeCell ref="A225:D225"/>
    <mergeCell ref="J316:K316"/>
    <mergeCell ref="A316:D316"/>
    <mergeCell ref="G220:H220"/>
    <mergeCell ref="G226:H226"/>
    <mergeCell ref="B235:D235"/>
    <mergeCell ref="B236:D236"/>
    <mergeCell ref="B237:D237"/>
    <mergeCell ref="B238:D238"/>
    <mergeCell ref="G230:H230"/>
    <mergeCell ref="G236:H238"/>
    <mergeCell ref="G234:H234"/>
    <mergeCell ref="A233:D233"/>
    <mergeCell ref="A234:D234"/>
    <mergeCell ref="A315:D315"/>
    <mergeCell ref="A314:D314"/>
    <mergeCell ref="A231:D231"/>
    <mergeCell ref="A232:D232"/>
    <mergeCell ref="A218:E218"/>
    <mergeCell ref="A216:D216"/>
    <mergeCell ref="E216:F216"/>
    <mergeCell ref="A217:E217"/>
    <mergeCell ref="A215:H215"/>
    <mergeCell ref="A206:D206"/>
    <mergeCell ref="A214:H214"/>
    <mergeCell ref="G217:H218"/>
    <mergeCell ref="A205:D205"/>
    <mergeCell ref="A1:I1"/>
    <mergeCell ref="D7:G7"/>
    <mergeCell ref="D8:G8"/>
    <mergeCell ref="D9:G9"/>
    <mergeCell ref="H7:I9"/>
    <mergeCell ref="D108:D110"/>
    <mergeCell ref="H109:H110"/>
    <mergeCell ref="C127:C130"/>
    <mergeCell ref="E127:F129"/>
    <mergeCell ref="D127:D130"/>
    <mergeCell ref="G108:H108"/>
    <mergeCell ref="F108:F110"/>
    <mergeCell ref="G109:G110"/>
    <mergeCell ref="A68:B68"/>
    <mergeCell ref="H87:H88"/>
    <mergeCell ref="A32:D32"/>
    <mergeCell ref="A27:C27"/>
    <mergeCell ref="A28:C28"/>
    <mergeCell ref="A29:C29"/>
    <mergeCell ref="A30:C30"/>
    <mergeCell ref="E61:E62"/>
    <mergeCell ref="H127:H129"/>
    <mergeCell ref="A127:B128"/>
    <mergeCell ref="H5:I5"/>
    <mergeCell ref="A7:C9"/>
    <mergeCell ref="A12:C13"/>
    <mergeCell ref="G21:G22"/>
    <mergeCell ref="H21:H22"/>
    <mergeCell ref="F17:H17"/>
    <mergeCell ref="A16:E16"/>
    <mergeCell ref="F16:G16"/>
    <mergeCell ref="A21:C21"/>
    <mergeCell ref="D5:G5"/>
    <mergeCell ref="D10:G11"/>
    <mergeCell ref="D12:G13"/>
    <mergeCell ref="A20:H20"/>
    <mergeCell ref="D14:E14"/>
    <mergeCell ref="B15:C15"/>
    <mergeCell ref="B14:C14"/>
    <mergeCell ref="F14:G14"/>
    <mergeCell ref="A6:I6"/>
    <mergeCell ref="A18:B19"/>
    <mergeCell ref="A17:B17"/>
    <mergeCell ref="C17:D17"/>
    <mergeCell ref="E21:E22"/>
    <mergeCell ref="F21:F22"/>
    <mergeCell ref="A10:C11"/>
    <mergeCell ref="D139:F139"/>
    <mergeCell ref="A130:B130"/>
    <mergeCell ref="A136:C136"/>
    <mergeCell ref="A133:F133"/>
    <mergeCell ref="C134:F134"/>
    <mergeCell ref="A148:D148"/>
    <mergeCell ref="A146:D146"/>
    <mergeCell ref="A147:D147"/>
    <mergeCell ref="A142:H142"/>
    <mergeCell ref="A137:D137"/>
    <mergeCell ref="A138:F138"/>
    <mergeCell ref="A131:B131"/>
    <mergeCell ref="A132:B132"/>
    <mergeCell ref="A144:D144"/>
    <mergeCell ref="A143:H143"/>
    <mergeCell ref="A145:D145"/>
    <mergeCell ref="A219:D219"/>
    <mergeCell ref="A226:D226"/>
    <mergeCell ref="A211:D211"/>
    <mergeCell ref="E160:E162"/>
    <mergeCell ref="A171:B171"/>
    <mergeCell ref="F172:G172"/>
    <mergeCell ref="A176:H176"/>
    <mergeCell ref="A172:E172"/>
    <mergeCell ref="A178:G178"/>
    <mergeCell ref="A197:C197"/>
    <mergeCell ref="A182:H182"/>
    <mergeCell ref="A187:E187"/>
    <mergeCell ref="A184:F184"/>
    <mergeCell ref="A193:C193"/>
    <mergeCell ref="A194:C194"/>
    <mergeCell ref="A186:F186"/>
    <mergeCell ref="F191:G191"/>
    <mergeCell ref="F166:F168"/>
    <mergeCell ref="G166:G168"/>
    <mergeCell ref="A169:B169"/>
    <mergeCell ref="A195:C195"/>
    <mergeCell ref="A170:B170"/>
    <mergeCell ref="A196:C196"/>
    <mergeCell ref="A207:C207"/>
    <mergeCell ref="J169:K169"/>
    <mergeCell ref="H166:H168"/>
    <mergeCell ref="C166:C168"/>
    <mergeCell ref="J217:L218"/>
    <mergeCell ref="J228:L229"/>
    <mergeCell ref="A227:D227"/>
    <mergeCell ref="A220:D220"/>
    <mergeCell ref="J199:K200"/>
    <mergeCell ref="A200:H200"/>
    <mergeCell ref="J171:K171"/>
    <mergeCell ref="A202:E202"/>
    <mergeCell ref="A179:G179"/>
    <mergeCell ref="A180:G180"/>
    <mergeCell ref="D204:E204"/>
    <mergeCell ref="A204:C204"/>
    <mergeCell ref="A199:G199"/>
    <mergeCell ref="A203:E203"/>
    <mergeCell ref="J186:K186"/>
    <mergeCell ref="A177:H177"/>
    <mergeCell ref="A198:G198"/>
    <mergeCell ref="A188:B188"/>
    <mergeCell ref="A190:B190"/>
    <mergeCell ref="A173:B173"/>
    <mergeCell ref="D173:F173"/>
    <mergeCell ref="J165:K165"/>
    <mergeCell ref="A164:B164"/>
    <mergeCell ref="F160:F162"/>
    <mergeCell ref="A158:B158"/>
    <mergeCell ref="A156:B156"/>
    <mergeCell ref="A155:B155"/>
    <mergeCell ref="A157:B157"/>
    <mergeCell ref="A160:B162"/>
    <mergeCell ref="A163:B163"/>
    <mergeCell ref="D159:G159"/>
    <mergeCell ref="G160:G162"/>
    <mergeCell ref="J184:K184"/>
    <mergeCell ref="J187:K187"/>
    <mergeCell ref="H149:H151"/>
    <mergeCell ref="A166:B168"/>
    <mergeCell ref="D166:D168"/>
    <mergeCell ref="A165:B165"/>
    <mergeCell ref="C160:C162"/>
    <mergeCell ref="D149:D151"/>
    <mergeCell ref="E149:E152"/>
    <mergeCell ref="G149:G151"/>
    <mergeCell ref="A154:B154"/>
    <mergeCell ref="A159:B159"/>
    <mergeCell ref="A149:B151"/>
    <mergeCell ref="C149:C151"/>
    <mergeCell ref="F149:F151"/>
    <mergeCell ref="A152:B152"/>
    <mergeCell ref="A153:C153"/>
    <mergeCell ref="J154:K154"/>
    <mergeCell ref="J155:K155"/>
    <mergeCell ref="J156:K156"/>
    <mergeCell ref="J157:K157"/>
    <mergeCell ref="J158:K158"/>
    <mergeCell ref="J163:K163"/>
    <mergeCell ref="J164:K164"/>
    <mergeCell ref="J114:K114"/>
    <mergeCell ref="J115:K115"/>
    <mergeCell ref="J125:K125"/>
    <mergeCell ref="A105:C105"/>
    <mergeCell ref="A106:C106"/>
    <mergeCell ref="A113:C113"/>
    <mergeCell ref="J116:K116"/>
    <mergeCell ref="J121:K121"/>
    <mergeCell ref="J122:K122"/>
    <mergeCell ref="J123:K123"/>
    <mergeCell ref="J124:K124"/>
    <mergeCell ref="H119:H120"/>
    <mergeCell ref="G118:H118"/>
    <mergeCell ref="J106:K106"/>
    <mergeCell ref="G119:G120"/>
    <mergeCell ref="A121:C121"/>
    <mergeCell ref="A118:C120"/>
    <mergeCell ref="A125:C125"/>
    <mergeCell ref="J113:K113"/>
    <mergeCell ref="A111:C111"/>
    <mergeCell ref="A115:C115"/>
    <mergeCell ref="F118:F120"/>
    <mergeCell ref="J5:K16"/>
    <mergeCell ref="J18:K19"/>
    <mergeCell ref="J23:K23"/>
    <mergeCell ref="J24:K24"/>
    <mergeCell ref="J25:K25"/>
    <mergeCell ref="J26:K26"/>
    <mergeCell ref="J27:K27"/>
    <mergeCell ref="J28:K28"/>
    <mergeCell ref="J29:K29"/>
    <mergeCell ref="J20:L22"/>
    <mergeCell ref="L5:L16"/>
    <mergeCell ref="J83:K83"/>
    <mergeCell ref="J84:K84"/>
    <mergeCell ref="J32:L34"/>
    <mergeCell ref="J39:K39"/>
    <mergeCell ref="J35:K35"/>
    <mergeCell ref="J36:K36"/>
    <mergeCell ref="J111:K111"/>
    <mergeCell ref="J112:K112"/>
    <mergeCell ref="J82:K82"/>
    <mergeCell ref="J104:K104"/>
    <mergeCell ref="J86:K86"/>
    <mergeCell ref="J92:K92"/>
    <mergeCell ref="J72:K72"/>
    <mergeCell ref="J64:K64"/>
    <mergeCell ref="J65:K65"/>
    <mergeCell ref="J66:K66"/>
    <mergeCell ref="J67:K67"/>
    <mergeCell ref="J68:K68"/>
    <mergeCell ref="J69:K69"/>
    <mergeCell ref="J70:K70"/>
    <mergeCell ref="J37:K37"/>
    <mergeCell ref="L86:L88"/>
    <mergeCell ref="J105:K105"/>
    <mergeCell ref="H61:H62"/>
    <mergeCell ref="A59:H59"/>
    <mergeCell ref="A87:C88"/>
    <mergeCell ref="A99:H99"/>
    <mergeCell ref="A82:B82"/>
    <mergeCell ref="A83:B83"/>
    <mergeCell ref="A93:E93"/>
    <mergeCell ref="D87:E87"/>
    <mergeCell ref="D88:E88"/>
    <mergeCell ref="F79:F80"/>
    <mergeCell ref="G79:G80"/>
    <mergeCell ref="E60:F60"/>
    <mergeCell ref="C60:C62"/>
    <mergeCell ref="D60:D62"/>
    <mergeCell ref="A64:B64"/>
    <mergeCell ref="A69:B69"/>
    <mergeCell ref="E79:E80"/>
    <mergeCell ref="D74:E74"/>
    <mergeCell ref="A65:B65"/>
    <mergeCell ref="A66:B66"/>
    <mergeCell ref="A86:E86"/>
    <mergeCell ref="A71:D71"/>
    <mergeCell ref="A70:B70"/>
    <mergeCell ref="A85:D85"/>
    <mergeCell ref="J30:K30"/>
    <mergeCell ref="J31:K31"/>
    <mergeCell ref="G60:H60"/>
    <mergeCell ref="G78:H78"/>
    <mergeCell ref="H79:H80"/>
    <mergeCell ref="A72:E72"/>
    <mergeCell ref="A60:B63"/>
    <mergeCell ref="A67:B67"/>
    <mergeCell ref="A33:H33"/>
    <mergeCell ref="A53:B53"/>
    <mergeCell ref="A58:H58"/>
    <mergeCell ref="C54:F54"/>
    <mergeCell ref="A34:D34"/>
    <mergeCell ref="A42:D43"/>
    <mergeCell ref="E42:E43"/>
    <mergeCell ref="F42:F43"/>
    <mergeCell ref="H42:H43"/>
    <mergeCell ref="G42:G43"/>
    <mergeCell ref="A44:D44"/>
    <mergeCell ref="A46:D46"/>
    <mergeCell ref="C55:F55"/>
    <mergeCell ref="C78:C80"/>
    <mergeCell ref="D73:E73"/>
    <mergeCell ref="G61:G62"/>
    <mergeCell ref="A23:C23"/>
    <mergeCell ref="A24:C24"/>
    <mergeCell ref="A25:C25"/>
    <mergeCell ref="A26:C26"/>
    <mergeCell ref="A45:H45"/>
    <mergeCell ref="A37:C37"/>
    <mergeCell ref="A39:G39"/>
    <mergeCell ref="A41:H41"/>
    <mergeCell ref="A31:C31"/>
    <mergeCell ref="A36:D36"/>
    <mergeCell ref="A38:D38"/>
    <mergeCell ref="A48:H48"/>
    <mergeCell ref="F49:F50"/>
    <mergeCell ref="G49:G50"/>
    <mergeCell ref="H49:H50"/>
    <mergeCell ref="F61:F62"/>
    <mergeCell ref="A35:C35"/>
    <mergeCell ref="J189:K189"/>
    <mergeCell ref="J170:K170"/>
    <mergeCell ref="A189:E189"/>
    <mergeCell ref="F185:G185"/>
    <mergeCell ref="A185:B185"/>
    <mergeCell ref="A112:C112"/>
    <mergeCell ref="D101:D103"/>
    <mergeCell ref="D160:D162"/>
    <mergeCell ref="A114:C114"/>
    <mergeCell ref="A122:C122"/>
    <mergeCell ref="A126:F126"/>
    <mergeCell ref="D118:D120"/>
    <mergeCell ref="E118:E120"/>
    <mergeCell ref="A123:C123"/>
    <mergeCell ref="A124:C124"/>
    <mergeCell ref="A134:B134"/>
    <mergeCell ref="A135:D135"/>
    <mergeCell ref="A116:C116"/>
    <mergeCell ref="A129:B129"/>
    <mergeCell ref="A117:F117"/>
    <mergeCell ref="A100:H100"/>
    <mergeCell ref="H73:H74"/>
    <mergeCell ref="A96:G96"/>
    <mergeCell ref="E101:E103"/>
    <mergeCell ref="F101:F103"/>
    <mergeCell ref="E108:E110"/>
    <mergeCell ref="A92:D92"/>
    <mergeCell ref="A78:B81"/>
    <mergeCell ref="G73:G74"/>
    <mergeCell ref="D78:D80"/>
    <mergeCell ref="A91:E91"/>
    <mergeCell ref="A108:C110"/>
    <mergeCell ref="A107:F107"/>
    <mergeCell ref="A104:C104"/>
    <mergeCell ref="G101:H101"/>
    <mergeCell ref="G102:G103"/>
    <mergeCell ref="H102:H103"/>
    <mergeCell ref="A101:C103"/>
    <mergeCell ref="A84:B84"/>
    <mergeCell ref="D90:E90"/>
    <mergeCell ref="A90:C90"/>
    <mergeCell ref="G87:G88"/>
    <mergeCell ref="E78:F78"/>
    <mergeCell ref="L294:L295"/>
    <mergeCell ref="A311:D313"/>
    <mergeCell ref="E306:F306"/>
    <mergeCell ref="E307:F307"/>
    <mergeCell ref="E311:E313"/>
    <mergeCell ref="J300:K300"/>
    <mergeCell ref="A293:D293"/>
    <mergeCell ref="A300:G300"/>
    <mergeCell ref="A296:H296"/>
    <mergeCell ref="L297:L298"/>
    <mergeCell ref="A310:H310"/>
    <mergeCell ref="A297:C297"/>
    <mergeCell ref="A248:E248"/>
    <mergeCell ref="A249:E249"/>
    <mergeCell ref="A261:E261"/>
    <mergeCell ref="A280:I280"/>
    <mergeCell ref="H311:H313"/>
    <mergeCell ref="A295:D295"/>
    <mergeCell ref="C244:E244"/>
    <mergeCell ref="E267:F267"/>
    <mergeCell ref="A264:H264"/>
    <mergeCell ref="A271:H271"/>
    <mergeCell ref="A291:C292"/>
    <mergeCell ref="L350:L351"/>
    <mergeCell ref="L347:L348"/>
    <mergeCell ref="J350:K351"/>
    <mergeCell ref="A349:H349"/>
    <mergeCell ref="J347:K348"/>
    <mergeCell ref="A324:D324"/>
    <mergeCell ref="J324:K324"/>
    <mergeCell ref="B325:D325"/>
    <mergeCell ref="A334:D334"/>
    <mergeCell ref="A348:D348"/>
    <mergeCell ref="A327:D327"/>
    <mergeCell ref="A343:H343"/>
    <mergeCell ref="A344:C345"/>
    <mergeCell ref="D344:H345"/>
    <mergeCell ref="A339:H339"/>
    <mergeCell ref="A337:E337"/>
    <mergeCell ref="A328:D328"/>
    <mergeCell ref="A346:D346"/>
    <mergeCell ref="A347:C347"/>
    <mergeCell ref="A335:E335"/>
    <mergeCell ref="A336:E336"/>
    <mergeCell ref="A329:D329"/>
    <mergeCell ref="A330:D330"/>
    <mergeCell ref="A331:D331"/>
    <mergeCell ref="J260:K263"/>
    <mergeCell ref="A290:H290"/>
    <mergeCell ref="G311:G313"/>
    <mergeCell ref="F311:F313"/>
    <mergeCell ref="A294:C294"/>
    <mergeCell ref="A375:D375"/>
    <mergeCell ref="J369:K369"/>
    <mergeCell ref="J376:K376"/>
    <mergeCell ref="A367:D367"/>
    <mergeCell ref="D362:G362"/>
    <mergeCell ref="A354:D354"/>
    <mergeCell ref="E359:F359"/>
    <mergeCell ref="A371:D371"/>
    <mergeCell ref="A262:E262"/>
    <mergeCell ref="A285:I289"/>
    <mergeCell ref="J294:K295"/>
    <mergeCell ref="J297:K298"/>
    <mergeCell ref="D291:H292"/>
    <mergeCell ref="A281:I281"/>
    <mergeCell ref="A282:I284"/>
    <mergeCell ref="A260:E260"/>
    <mergeCell ref="A301:D301"/>
    <mergeCell ref="A266:F266"/>
    <mergeCell ref="G272:H272"/>
    <mergeCell ref="J317:K317"/>
    <mergeCell ref="A318:D318"/>
    <mergeCell ref="L408:L409"/>
    <mergeCell ref="J370:K370"/>
    <mergeCell ref="A369:D369"/>
    <mergeCell ref="J334:K335"/>
    <mergeCell ref="A380:D380"/>
    <mergeCell ref="A381:D381"/>
    <mergeCell ref="A382:D382"/>
    <mergeCell ref="A376:D376"/>
    <mergeCell ref="B378:D378"/>
    <mergeCell ref="A385:D385"/>
    <mergeCell ref="A386:H386"/>
    <mergeCell ref="J377:K377"/>
    <mergeCell ref="J372:K372"/>
    <mergeCell ref="J373:K373"/>
    <mergeCell ref="B370:D370"/>
    <mergeCell ref="E360:F360"/>
    <mergeCell ref="A353:G353"/>
    <mergeCell ref="A350:C350"/>
    <mergeCell ref="A368:D368"/>
    <mergeCell ref="F364:F366"/>
    <mergeCell ref="A377:D377"/>
    <mergeCell ref="A372:D372"/>
    <mergeCell ref="J319:K319"/>
    <mergeCell ref="J484:K484"/>
    <mergeCell ref="J487:K487"/>
    <mergeCell ref="J411:K411"/>
    <mergeCell ref="J427:K427"/>
    <mergeCell ref="J428:K428"/>
    <mergeCell ref="J430:K430"/>
    <mergeCell ref="J431:K431"/>
    <mergeCell ref="J434:K434"/>
    <mergeCell ref="J435:K435"/>
    <mergeCell ref="J445:K446"/>
    <mergeCell ref="J458:K459"/>
    <mergeCell ref="J483:K483"/>
    <mergeCell ref="J481:K481"/>
    <mergeCell ref="J480:K480"/>
    <mergeCell ref="J387:K388"/>
    <mergeCell ref="J320:K320"/>
    <mergeCell ref="J323:K323"/>
    <mergeCell ref="J461:K462"/>
    <mergeCell ref="J408:K409"/>
    <mergeCell ref="L461:L462"/>
    <mergeCell ref="J464:K464"/>
    <mergeCell ref="A387:D387"/>
    <mergeCell ref="C394:E394"/>
    <mergeCell ref="A395:I395"/>
    <mergeCell ref="A406:D406"/>
    <mergeCell ref="A402:C403"/>
    <mergeCell ref="D402:H403"/>
    <mergeCell ref="A404:D404"/>
    <mergeCell ref="A405:C405"/>
    <mergeCell ref="J405:K406"/>
    <mergeCell ref="A407:H407"/>
    <mergeCell ref="A408:C408"/>
    <mergeCell ref="A411:G411"/>
    <mergeCell ref="E417:F417"/>
    <mergeCell ref="E418:F418"/>
    <mergeCell ref="A454:H454"/>
    <mergeCell ref="A455:C456"/>
    <mergeCell ref="D455:H456"/>
    <mergeCell ref="A388:E388"/>
    <mergeCell ref="A427:D427"/>
    <mergeCell ref="B428:D428"/>
    <mergeCell ref="A429:D429"/>
    <mergeCell ref="L405:L406"/>
    <mergeCell ref="A77:E77"/>
    <mergeCell ref="A273:E273"/>
    <mergeCell ref="A274:C274"/>
    <mergeCell ref="A457:D457"/>
    <mergeCell ref="J353:K353"/>
    <mergeCell ref="H422:H424"/>
    <mergeCell ref="A426:D426"/>
    <mergeCell ref="A2:A3"/>
    <mergeCell ref="A562:I562"/>
    <mergeCell ref="J1:L4"/>
    <mergeCell ref="B2:C2"/>
    <mergeCell ref="G265:H265"/>
    <mergeCell ref="B3:C3"/>
    <mergeCell ref="B4:C4"/>
    <mergeCell ref="D2:E2"/>
    <mergeCell ref="D3:E3"/>
    <mergeCell ref="D4:E4"/>
    <mergeCell ref="C341:E341"/>
    <mergeCell ref="G274:H278"/>
    <mergeCell ref="A183:E183"/>
    <mergeCell ref="A246:C246"/>
    <mergeCell ref="J488:K488"/>
    <mergeCell ref="J498:K499"/>
    <mergeCell ref="L458:L459"/>
  </mergeCells>
  <conditionalFormatting sqref="H71:H72 G64:H70">
    <cfRule type="cellIs" dxfId="154" priority="131" operator="between">
      <formula>0</formula>
      <formula>0</formula>
    </cfRule>
  </conditionalFormatting>
  <conditionalFormatting sqref="G64:G70">
    <cfRule type="cellIs" dxfId="153" priority="130" operator="between">
      <formula>0</formula>
      <formula>0</formula>
    </cfRule>
  </conditionalFormatting>
  <conditionalFormatting sqref="G82:H84">
    <cfRule type="cellIs" dxfId="152" priority="129" operator="between">
      <formula>0</formula>
      <formula>0</formula>
    </cfRule>
  </conditionalFormatting>
  <conditionalFormatting sqref="E64:F70">
    <cfRule type="cellIs" dxfId="151" priority="128" operator="between">
      <formula>0</formula>
      <formula>0</formula>
    </cfRule>
  </conditionalFormatting>
  <conditionalFormatting sqref="E82:F84">
    <cfRule type="cellIs" dxfId="150" priority="127" operator="between">
      <formula>0</formula>
      <formula>0</formula>
    </cfRule>
  </conditionalFormatting>
  <conditionalFormatting sqref="F91:H93">
    <cfRule type="cellIs" dxfId="149" priority="126" operator="between">
      <formula>0</formula>
      <formula>0</formula>
    </cfRule>
  </conditionalFormatting>
  <conditionalFormatting sqref="F260:G262">
    <cfRule type="cellIs" dxfId="148" priority="125" operator="between">
      <formula>0</formula>
      <formula>0</formula>
    </cfRule>
  </conditionalFormatting>
  <conditionalFormatting sqref="F335:G337">
    <cfRule type="cellIs" dxfId="147" priority="124" operator="equal">
      <formula>0</formula>
    </cfRule>
  </conditionalFormatting>
  <conditionalFormatting sqref="F388:G390">
    <cfRule type="cellIs" dxfId="146" priority="123" operator="equal">
      <formula>0</formula>
    </cfRule>
  </conditionalFormatting>
  <conditionalFormatting sqref="H85:H86">
    <cfRule type="cellIs" dxfId="145" priority="122" operator="between">
      <formula>0</formula>
      <formula>0</formula>
    </cfRule>
  </conditionalFormatting>
  <conditionalFormatting sqref="F23:H31">
    <cfRule type="cellIs" dxfId="144" priority="119" operator="equal">
      <formula>0</formula>
    </cfRule>
  </conditionalFormatting>
  <conditionalFormatting sqref="G35:G37">
    <cfRule type="cellIs" dxfId="143" priority="117" operator="equal">
      <formula>0</formula>
    </cfRule>
  </conditionalFormatting>
  <conditionalFormatting sqref="H35:H37">
    <cfRule type="cellIs" dxfId="142" priority="116" operator="equal">
      <formula>0</formula>
    </cfRule>
  </conditionalFormatting>
  <conditionalFormatting sqref="G111:H116 G121:H125 E111:E116 E121:E125">
    <cfRule type="cellIs" dxfId="141" priority="115" operator="equal">
      <formula>0</formula>
    </cfRule>
  </conditionalFormatting>
  <conditionalFormatting sqref="F131 C132:E132">
    <cfRule type="cellIs" dxfId="140" priority="114" operator="equal">
      <formula>0</formula>
    </cfRule>
  </conditionalFormatting>
  <conditionalFormatting sqref="H131:H132">
    <cfRule type="cellIs" dxfId="139" priority="113" operator="equal">
      <formula>0</formula>
    </cfRule>
  </conditionalFormatting>
  <conditionalFormatting sqref="D169:D171">
    <cfRule type="cellIs" dxfId="138" priority="112" operator="equal">
      <formula>0</formula>
    </cfRule>
  </conditionalFormatting>
  <conditionalFormatting sqref="D23:D31">
    <cfRule type="cellIs" dxfId="137" priority="111" operator="equal">
      <formula>0</formula>
    </cfRule>
  </conditionalFormatting>
  <conditionalFormatting sqref="D35">
    <cfRule type="cellIs" dxfId="136" priority="106" operator="equal">
      <formula>0</formula>
    </cfRule>
  </conditionalFormatting>
  <conditionalFormatting sqref="D37">
    <cfRule type="cellIs" dxfId="135" priority="105" operator="equal">
      <formula>0</formula>
    </cfRule>
  </conditionalFormatting>
  <conditionalFormatting sqref="A185:E185">
    <cfRule type="expression" dxfId="134" priority="102">
      <formula>$G$184=$G$183</formula>
    </cfRule>
  </conditionalFormatting>
  <conditionalFormatting sqref="A188:E188">
    <cfRule type="expression" dxfId="133" priority="101">
      <formula>$G$187=$G$183</formula>
    </cfRule>
  </conditionalFormatting>
  <conditionalFormatting sqref="A190:E190">
    <cfRule type="expression" dxfId="132" priority="100">
      <formula>$G$189=$G$183</formula>
    </cfRule>
  </conditionalFormatting>
  <conditionalFormatting sqref="A258:H258">
    <cfRule type="expression" dxfId="131" priority="132">
      <formula>$J$260&lt;&gt;""</formula>
    </cfRule>
  </conditionalFormatting>
  <conditionalFormatting sqref="D294">
    <cfRule type="cellIs" dxfId="130" priority="98" operator="equal">
      <formula>0</formula>
    </cfRule>
  </conditionalFormatting>
  <conditionalFormatting sqref="D297">
    <cfRule type="cellIs" dxfId="129" priority="97" operator="equal">
      <formula>0</formula>
    </cfRule>
  </conditionalFormatting>
  <conditionalFormatting sqref="D347">
    <cfRule type="cellIs" dxfId="128" priority="96" operator="equal">
      <formula>0</formula>
    </cfRule>
  </conditionalFormatting>
  <conditionalFormatting sqref="D350">
    <cfRule type="cellIs" dxfId="127" priority="95" operator="equal">
      <formula>0</formula>
    </cfRule>
  </conditionalFormatting>
  <conditionalFormatting sqref="A316:D316">
    <cfRule type="expression" dxfId="126" priority="77">
      <formula>$F$316=1</formula>
    </cfRule>
  </conditionalFormatting>
  <conditionalFormatting sqref="A320:D320">
    <cfRule type="expression" dxfId="125" priority="76">
      <formula>$F$320=1</formula>
    </cfRule>
  </conditionalFormatting>
  <conditionalFormatting sqref="A324:D324">
    <cfRule type="expression" dxfId="124" priority="75">
      <formula>$F$324=1</formula>
    </cfRule>
  </conditionalFormatting>
  <conditionalFormatting sqref="H319">
    <cfRule type="expression" dxfId="123" priority="74">
      <formula>$H$319=0</formula>
    </cfRule>
  </conditionalFormatting>
  <conditionalFormatting sqref="H323">
    <cfRule type="expression" dxfId="122" priority="73">
      <formula>$H$323=0</formula>
    </cfRule>
  </conditionalFormatting>
  <conditionalFormatting sqref="H325">
    <cfRule type="expression" dxfId="121" priority="72">
      <formula>$H$325=0</formula>
    </cfRule>
  </conditionalFormatting>
  <conditionalFormatting sqref="H372">
    <cfRule type="expression" dxfId="120" priority="71">
      <formula>$H$372=0</formula>
    </cfRule>
  </conditionalFormatting>
  <conditionalFormatting sqref="H376">
    <cfRule type="expression" dxfId="119" priority="70">
      <formula>$H$376=0</formula>
    </cfRule>
  </conditionalFormatting>
  <conditionalFormatting sqref="H378">
    <cfRule type="expression" dxfId="118" priority="69">
      <formula>$H$378=0</formula>
    </cfRule>
  </conditionalFormatting>
  <conditionalFormatting sqref="A186:G186">
    <cfRule type="expression" dxfId="117" priority="67">
      <formula>$G$186="Inkorrekt!"</formula>
    </cfRule>
  </conditionalFormatting>
  <conditionalFormatting sqref="A387:D387">
    <cfRule type="expression" dxfId="116" priority="66">
      <formula>$E$387="!"</formula>
    </cfRule>
  </conditionalFormatting>
  <conditionalFormatting sqref="A334:D334">
    <cfRule type="expression" dxfId="115" priority="65">
      <formula>$E$334="!"</formula>
    </cfRule>
  </conditionalFormatting>
  <conditionalFormatting sqref="H5">
    <cfRule type="colorScale" priority="64">
      <colorScale>
        <cfvo type="num" val="0"/>
        <cfvo type="percentile" val="50"/>
        <cfvo type="num" val="100"/>
        <color rgb="FFC00000"/>
        <color rgb="FFFFC000"/>
        <color rgb="FFFFC000"/>
      </colorScale>
    </cfRule>
  </conditionalFormatting>
  <conditionalFormatting sqref="G32">
    <cfRule type="expression" dxfId="114" priority="62">
      <formula>OR(_OK?&lt;&gt;"OK!",_OK_KV?&lt;&gt;"OK_KV!")</formula>
    </cfRule>
  </conditionalFormatting>
  <conditionalFormatting sqref="F446:G448">
    <cfRule type="cellIs" dxfId="113" priority="61" operator="equal">
      <formula>0</formula>
    </cfRule>
  </conditionalFormatting>
  <conditionalFormatting sqref="D405">
    <cfRule type="cellIs" dxfId="112" priority="60" operator="equal">
      <formula>0</formula>
    </cfRule>
  </conditionalFormatting>
  <conditionalFormatting sqref="D408">
    <cfRule type="cellIs" dxfId="111" priority="59" operator="equal">
      <formula>0</formula>
    </cfRule>
  </conditionalFormatting>
  <conditionalFormatting sqref="H430">
    <cfRule type="expression" dxfId="110" priority="32">
      <formula>$H$430=0</formula>
    </cfRule>
  </conditionalFormatting>
  <conditionalFormatting sqref="H434">
    <cfRule type="expression" dxfId="109" priority="31">
      <formula>$H$434=0</formula>
    </cfRule>
  </conditionalFormatting>
  <conditionalFormatting sqref="H436">
    <cfRule type="expression" dxfId="108" priority="53">
      <formula>$H$436=0</formula>
    </cfRule>
  </conditionalFormatting>
  <conditionalFormatting sqref="A445:D445">
    <cfRule type="expression" dxfId="107" priority="52">
      <formula>$E$387="!"</formula>
    </cfRule>
  </conditionalFormatting>
  <conditionalFormatting sqref="F499:G501">
    <cfRule type="cellIs" dxfId="106" priority="51" operator="equal">
      <formula>0</formula>
    </cfRule>
  </conditionalFormatting>
  <conditionalFormatting sqref="D458">
    <cfRule type="cellIs" dxfId="105" priority="50" operator="equal">
      <formula>0</formula>
    </cfRule>
  </conditionalFormatting>
  <conditionalFormatting sqref="D461">
    <cfRule type="cellIs" dxfId="104" priority="49" operator="equal">
      <formula>0</formula>
    </cfRule>
  </conditionalFormatting>
  <conditionalFormatting sqref="H483">
    <cfRule type="expression" dxfId="103" priority="30">
      <formula>$H$483=0</formula>
    </cfRule>
  </conditionalFormatting>
  <conditionalFormatting sqref="H487">
    <cfRule type="expression" dxfId="102" priority="29">
      <formula>$H$487=0</formula>
    </cfRule>
  </conditionalFormatting>
  <conditionalFormatting sqref="H489">
    <cfRule type="expression" dxfId="101" priority="43">
      <formula>$H$489=0</formula>
    </cfRule>
  </conditionalFormatting>
  <conditionalFormatting sqref="A498:D498">
    <cfRule type="expression" dxfId="100" priority="42">
      <formula>$E$387="!"</formula>
    </cfRule>
  </conditionalFormatting>
  <conditionalFormatting sqref="A369:D369">
    <cfRule type="expression" dxfId="99" priority="41">
      <formula>$F$316=1</formula>
    </cfRule>
  </conditionalFormatting>
  <conditionalFormatting sqref="A427:D427">
    <cfRule type="expression" dxfId="98" priority="40">
      <formula>$F$316=1</formula>
    </cfRule>
  </conditionalFormatting>
  <conditionalFormatting sqref="A480:D480">
    <cfRule type="expression" dxfId="97" priority="39">
      <formula>$F$316=1</formula>
    </cfRule>
  </conditionalFormatting>
  <conditionalFormatting sqref="A373:D373">
    <cfRule type="expression" dxfId="96" priority="38">
      <formula>$F$320=1</formula>
    </cfRule>
  </conditionalFormatting>
  <conditionalFormatting sqref="A431:D431">
    <cfRule type="expression" dxfId="95" priority="37">
      <formula>$F$320=1</formula>
    </cfRule>
  </conditionalFormatting>
  <conditionalFormatting sqref="A484:D484">
    <cfRule type="expression" dxfId="94" priority="36">
      <formula>$F$320=1</formula>
    </cfRule>
  </conditionalFormatting>
  <conditionalFormatting sqref="A377:D377">
    <cfRule type="expression" dxfId="93" priority="35">
      <formula>$F$324=1</formula>
    </cfRule>
  </conditionalFormatting>
  <conditionalFormatting sqref="A435:D435">
    <cfRule type="expression" dxfId="92" priority="34">
      <formula>$F$324=1</formula>
    </cfRule>
  </conditionalFormatting>
  <conditionalFormatting sqref="A488:D488">
    <cfRule type="expression" dxfId="91" priority="33">
      <formula>$F$324=1</formula>
    </cfRule>
  </conditionalFormatting>
  <conditionalFormatting sqref="G295">
    <cfRule type="expression" dxfId="90" priority="28">
      <formula>OR(_OK?&lt;&gt;"OK!",_OK_KV?&lt;&gt;"OK_KV!")</formula>
    </cfRule>
  </conditionalFormatting>
  <conditionalFormatting sqref="G406">
    <cfRule type="expression" dxfId="89" priority="26">
      <formula>OR(_OK?&lt;&gt;"OK!",_OK_KV?&lt;&gt;"OK_KV!")</formula>
    </cfRule>
  </conditionalFormatting>
  <conditionalFormatting sqref="G348">
    <cfRule type="expression" dxfId="88" priority="25">
      <formula>OR(_OK?&lt;&gt;"OK!",_OK_KV?&lt;&gt;"OK_KV!")</formula>
    </cfRule>
  </conditionalFormatting>
  <conditionalFormatting sqref="G459">
    <cfRule type="expression" dxfId="87" priority="24">
      <formula>OR(_OK?&lt;&gt;"OK!",_OK_KV?&lt;&gt;"OK_KV!")</formula>
    </cfRule>
  </conditionalFormatting>
  <conditionalFormatting sqref="F35:F37">
    <cfRule type="cellIs" dxfId="86" priority="20" operator="equal">
      <formula>0</formula>
    </cfRule>
  </conditionalFormatting>
  <conditionalFormatting sqref="E40:F40">
    <cfRule type="expression" dxfId="85" priority="19">
      <formula>$F$40&lt;0.1</formula>
    </cfRule>
  </conditionalFormatting>
  <conditionalFormatting sqref="G220:H238">
    <cfRule type="expression" dxfId="84" priority="18">
      <formula>$H$219&lt;&gt;"Ja"</formula>
    </cfRule>
  </conditionalFormatting>
  <conditionalFormatting sqref="D22">
    <cfRule type="expression" dxfId="83" priority="17">
      <formula>(TODAY()-$D$22)&gt;365</formula>
    </cfRule>
  </conditionalFormatting>
  <conditionalFormatting sqref="G515">
    <cfRule type="expression" dxfId="82" priority="6">
      <formula>OR(_OK?&lt;&gt;"OK!",_OK_KV?&lt;&gt;"OK_KV!")</formula>
    </cfRule>
  </conditionalFormatting>
  <conditionalFormatting sqref="F555:G557">
    <cfRule type="cellIs" dxfId="81" priority="16" operator="equal">
      <formula>0</formula>
    </cfRule>
  </conditionalFormatting>
  <conditionalFormatting sqref="D511:D514">
    <cfRule type="cellIs" dxfId="80" priority="15" operator="equal">
      <formula>0</formula>
    </cfRule>
  </conditionalFormatting>
  <conditionalFormatting sqref="D517">
    <cfRule type="cellIs" dxfId="79" priority="14" operator="equal">
      <formula>0</formula>
    </cfRule>
  </conditionalFormatting>
  <conditionalFormatting sqref="H539">
    <cfRule type="expression" dxfId="78" priority="8">
      <formula>$H$539=0</formula>
    </cfRule>
  </conditionalFormatting>
  <conditionalFormatting sqref="H543">
    <cfRule type="expression" dxfId="77" priority="7">
      <formula>$H$543=0</formula>
    </cfRule>
  </conditionalFormatting>
  <conditionalFormatting sqref="H545">
    <cfRule type="expression" dxfId="76" priority="13">
      <formula>$H$545=0</formula>
    </cfRule>
  </conditionalFormatting>
  <conditionalFormatting sqref="A554:D554">
    <cfRule type="expression" dxfId="75" priority="12">
      <formula>$E$387="!"</formula>
    </cfRule>
  </conditionalFormatting>
  <conditionalFormatting sqref="A536:D536">
    <cfRule type="expression" dxfId="74" priority="11">
      <formula>$F$316=1</formula>
    </cfRule>
  </conditionalFormatting>
  <conditionalFormatting sqref="A540:D540">
    <cfRule type="expression" dxfId="73" priority="10">
      <formula>$F$320=1</formula>
    </cfRule>
  </conditionalFormatting>
  <conditionalFormatting sqref="A544:D544">
    <cfRule type="expression" dxfId="72" priority="9">
      <formula>$F$324=1</formula>
    </cfRule>
  </conditionalFormatting>
  <conditionalFormatting sqref="A82:H88 C78:H81">
    <cfRule type="expression" dxfId="71" priority="5">
      <formula>$G$77="Ja"</formula>
    </cfRule>
  </conditionalFormatting>
  <conditionalFormatting sqref="G222">
    <cfRule type="expression" dxfId="70" priority="4">
      <formula>$H$219&lt;&gt;"Ja"</formula>
    </cfRule>
  </conditionalFormatting>
  <conditionalFormatting sqref="G227">
    <cfRule type="expression" dxfId="69" priority="3">
      <formula>$H$219&lt;&gt;"Ja"</formula>
    </cfRule>
  </conditionalFormatting>
  <conditionalFormatting sqref="D8:G8">
    <cfRule type="expression" dxfId="68" priority="2">
      <formula>$D$8=0</formula>
    </cfRule>
  </conditionalFormatting>
  <conditionalFormatting sqref="D9:G9">
    <cfRule type="expression" dxfId="67" priority="1">
      <formula>$D$9=0</formula>
    </cfRule>
  </conditionalFormatting>
  <dataValidations count="61">
    <dataValidation type="decimal" allowBlank="1" showInputMessage="1" showErrorMessage="1" sqref="E347 E294 E405 E458" xr:uid="{00000000-0002-0000-0200-000000000000}">
      <formula1>0</formula1>
      <formula2>100</formula2>
    </dataValidation>
    <dataValidation type="list" allowBlank="1" showInputMessage="1" showErrorMessage="1" sqref="A517 A297 A294:C294 B36:D36 A347:C347 A35:A37 A350 A405:C405 A408 A458:C458 A461 A511:C514 A23:C31" xr:uid="{00000000-0002-0000-0200-000006000000}">
      <formula1>KVBezeichnung</formula1>
    </dataValidation>
    <dataValidation type="list" allowBlank="1" showInputMessage="1" showErrorMessage="1" sqref="B370:D370 A154:A158 B317:D317 B428:D428 B481:D481 B537:D537" xr:uid="{545840CD-1939-4802-83B9-5846E204AA66}">
      <formula1>MehrarbeitsStd</formula1>
    </dataValidation>
    <dataValidation type="list" allowBlank="1" showInputMessage="1" showErrorMessage="1" sqref="A163:A165 B374:D374 B321:D321 B432:D432 B485:D485 B541:D541" xr:uid="{1FD7147B-C2AD-4E34-965C-07EC9FD76378}">
      <formula1>AufzahlungsSTD</formula1>
    </dataValidation>
    <dataValidation type="list" allowBlank="1" showInputMessage="1" showErrorMessage="1" sqref="A64:B70 A82:B84" xr:uid="{3DBB0150-799E-4620-88BA-7CF51EC72686}">
      <formula1>ErschwernisZul</formula1>
    </dataValidation>
    <dataValidation type="list" allowBlank="1" showInputMessage="1" showErrorMessage="1" sqref="A111:C116" xr:uid="{401AB67D-3209-44B7-9953-E2FB4393A2AA}">
      <formula1>DienstreiseTAG</formula1>
    </dataValidation>
    <dataValidation type="list" allowBlank="1" showInputMessage="1" showErrorMessage="1" sqref="A121:C125" xr:uid="{14262165-D096-4EBE-AB8C-A853F8CED832}">
      <formula1>DienstreiseWOCHE</formula1>
    </dataValidation>
    <dataValidation type="decimal" errorStyle="warning" allowBlank="1" showInputMessage="1" showErrorMessage="1" error="Wollen Sie die Standardwerte wirklich in deiser Höhe anpassen?" sqref="H198" xr:uid="{1BE7FF02-A44A-4FEA-BFD7-029EAA5845D9}">
      <formula1>-0.05</formula1>
      <formula2>0.05</formula2>
    </dataValidation>
    <dataValidation type="list" allowBlank="1" showInputMessage="1" showErrorMessage="1" sqref="E267:F268 A340 A393 A451 A504 A560" xr:uid="{1B0681FF-E51E-4818-8069-5FBCD2666A29}">
      <formula1>K2GZWerte</formula1>
    </dataValidation>
    <dataValidation type="list" allowBlank="1" showInputMessage="1" showErrorMessage="1" sqref="A260:E262 A335:E337 A388:E390 A446:E448 A499:E501 A555:E557" xr:uid="{939FC73A-24B0-4165-A0BE-71331CDBD170}">
      <formula1>UmlagenK3spalteA</formula1>
    </dataValidation>
    <dataValidation type="whole" allowBlank="1" showInputMessage="1" showErrorMessage="1" error="Anpassung = 1; keine Anpassung = 0" sqref="F374:F375 F370:F371 F378:F385 F321:F322 F325:F332 F367:F368 F314:F315 F317:F318 F432:F433 F428:F429 F436:F443 F425:F426 F485:F486 F481:F482 F489:F496 F478:F479 F541:F542 F537:F538 F545:F552 F534:F535" xr:uid="{82E8D514-CDA5-4C12-88C5-380001F3FEC6}">
      <formula1>0</formula1>
      <formula2>1</formula2>
    </dataValidation>
    <dataValidation type="decimal" errorStyle="warning" allowBlank="1" showInputMessage="1" showErrorMessage="1" error="Umlage hoch! Bitte prüfen." sqref="E350 E297 E408 E461 E517" xr:uid="{724AB986-4204-4515-8964-DC07AA04D96C}">
      <formula1>0</formula1>
      <formula2>0.2</formula2>
    </dataValidation>
    <dataValidation type="decimal" errorStyle="warning" allowBlank="1" showInputMessage="1" showErrorMessage="1" error="Negativer Wert oder Wert über 5 % erscheint unplausibel. Bitte prüfen!" sqref="E219:E227 E230:E234" xr:uid="{5E92FF86-7EBB-4331-9672-1D24831368CC}">
      <formula1>0</formula1>
      <formula2>0.05</formula2>
    </dataValidation>
    <dataValidation type="list" allowBlank="1" showInputMessage="1" showErrorMessage="1" sqref="G184" xr:uid="{D4DFE011-D887-4824-B839-62D6D011821A}">
      <formula1>$F$183:$G$183</formula1>
    </dataValidation>
    <dataValidation allowBlank="1" showInputMessage="1" showErrorMessage="1" error="Entweder 2a ODER 2b auf KZ = 1 setz_x000a_en!" sqref="G186" xr:uid="{141D9EA7-9AF0-48CB-8CF9-E3199B4B12C7}"/>
    <dataValidation type="list" showInputMessage="1" showErrorMessage="1" sqref="G189 G187" xr:uid="{72F20281-6012-419E-A9B1-5EA0B7B159C2}">
      <formula1>$F$183:$G$183</formula1>
    </dataValidation>
    <dataValidation type="decimal" errorStyle="warning" allowBlank="1" showInputMessage="1" showErrorMessage="1" error="Wollen Sie den Standardwert wirklich erheblich anpassen?" sqref="E136" xr:uid="{B5D9C276-691F-4326-8CDB-57BEFB9E6F38}">
      <formula1>-D136*0.15-0.01</formula1>
      <formula2>D136*0.15+0.01</formula2>
    </dataValidation>
    <dataValidation type="decimal" errorStyle="warning" allowBlank="1" showInputMessage="1" showErrorMessage="1" error="Anzahl über 20? Wert erscheint hoch. Bitte die durchschnittliche kalkulierte projektbezogene Anzahl eintragen." sqref="E23:E31" xr:uid="{FFA1F29A-6FCA-4754-A917-692DABC96094}">
      <formula1>0</formula1>
      <formula2>20</formula2>
    </dataValidation>
    <dataValidation type="list" allowBlank="1" showInputMessage="1" showErrorMessage="1" sqref="A104:A106" xr:uid="{D30B3F77-1430-452B-BED0-8AD579EE830F}">
      <formula1>DienstreiseSTD</formula1>
    </dataValidation>
    <dataValidation type="list" allowBlank="1" showInputMessage="1" showErrorMessage="1" sqref="A169:A171 B378:D378 B325:D325 B436:D436 B489:D489 B545:D545" xr:uid="{86C0EC37-525A-4877-A0A3-2FF87194DE3A}">
      <formula1>AufzahlungsStdEURO</formula1>
    </dataValidation>
    <dataValidation allowBlank="1" showInputMessage="1" showErrorMessage="1" error="KZ = 0: der Erhöhungsfaktor gem KV wird verwendet._x000a_KZ = 1: der errechnete Erhöhungsfaktor wird verwendet." sqref="F169:G171" xr:uid="{5529BB77-6AD1-4066-ABFB-BC3B3D2C71A6}"/>
    <dataValidation type="list" allowBlank="1" showInputMessage="1" showErrorMessage="1" error="0 = Nein  / 1 = Ja" sqref="E92" xr:uid="{9BF7AEE4-9831-414F-8077-F327A2AD949A}">
      <formula1>$D$94:$E$94</formula1>
    </dataValidation>
    <dataValidation type="decimal" errorStyle="warning" allowBlank="1" showInputMessage="1" showErrorMessage="1" error="Wollen Sie die Standardwerte wirklich in dieser Höhe anpassen?" sqref="H179 H96" xr:uid="{E084E8C7-D03B-4A82-97F2-CBF5D6DDB91D}">
      <formula1>-0.01</formula1>
      <formula2>0.01</formula2>
    </dataValidation>
    <dataValidation type="decimal" errorStyle="warning" allowBlank="1" showInputMessage="1" showErrorMessage="1" error="Relativ hohe Anpassung! Wollen Sie das wirklich?" sqref="G359:H359 G306:H306 G417:H417 G470:H470 G526:H526" xr:uid="{B0953E5F-6A15-44FF-9920-E6F3FC10A330}">
      <formula1>-0.03</formula1>
      <formula2>0.03</formula2>
    </dataValidation>
    <dataValidation type="decimal" errorStyle="warning" allowBlank="1" showInputMessage="1" showErrorMessage="1" error="Wert außerhalb von 0% bis 100%!" sqref="C82:D84" xr:uid="{5FABEB2C-AC07-4174-8A8D-A459EBA51D30}">
      <formula1>0</formula1>
      <formula2>1</formula2>
    </dataValidation>
    <dataValidation type="decimal" errorStyle="warning" allowBlank="1" showInputMessage="1" showErrorMessage="1" error="Hinweis: Anpassung &gt; +/- 10 € pro Woche!!" sqref="E137:F137" xr:uid="{EDEDB990-785C-4327-AC60-93B89A3E498E}">
      <formula1>-10</formula1>
      <formula2>10</formula2>
    </dataValidation>
    <dataValidation type="decimal" errorStyle="warning" allowBlank="1" showInputMessage="1" showErrorMessage="1" error="Mehr als 10 Stunden?" sqref="C169:C171 C163:C165" xr:uid="{891CDEB7-5D3B-4EAE-AB77-E8E178897452}">
      <formula1>0</formula1>
      <formula2>10</formula2>
    </dataValidation>
    <dataValidation type="list" allowBlank="1" showInputMessage="1" showErrorMessage="1" error="Die Basis für die Aufzahlung richtet sich nach dem KollV bzw dem AZG. Sie können mit den Kennzeichen 1, 2, 3  oder 4 die Basis für die Aufzahlung bestimmen." sqref="E163:E165 E154:E158" xr:uid="{5F6CC2EE-39D0-406B-8B5A-1F5F680669ED}">
      <formula1>$N$7:$N$10</formula1>
    </dataValidation>
    <dataValidation type="list" allowBlank="1" showInputMessage="1" showErrorMessage="1" error="Kennzeichen muss 1 oder 2 sein (Leeres Feld ist wie KZ = 1)" sqref="F86 F72" xr:uid="{D18CD8B6-6A74-4903-9CD3-E38FAC626D37}">
      <formula1>$M$8:$M$9</formula1>
    </dataValidation>
    <dataValidation type="list" allowBlank="1" showInputMessage="1" showErrorMessage="1" sqref="C18" xr:uid="{5250C8CD-E659-464D-B840-F2F5C3A35DF3}">
      <formula1>$F$18:$G$18</formula1>
    </dataValidation>
    <dataValidation type="list" allowBlank="1" showInputMessage="1" showErrorMessage="1" sqref="C19" xr:uid="{6AA08971-D48D-409C-9241-98CACA9DC435}">
      <formula1>$F$19:$G$19</formula1>
    </dataValidation>
    <dataValidation type="date" errorStyle="warning" allowBlank="1" showInputMessage="1" showErrorMessage="1" error="Datum liegt in der Vergangenheit!" sqref="F14:G14" xr:uid="{962B263B-35BA-4275-B6AA-0B500B51D2E5}">
      <formula1>TODAY()</formula1>
      <formula2>73415</formula2>
    </dataValidation>
    <dataValidation type="list" showErrorMessage="1" error="KZ = 1: Unproduktives Personal ist zusätzlich zum produktiven P._x000a_KZ = 0: Unproduktives Personal ist Teil des zuvor angenommenen produktiven Personals." sqref="H39" xr:uid="{92DB0B3F-B030-4E38-B9B7-4F573BC8F299}">
      <formula1>$M$7:$M$8</formula1>
    </dataValidation>
    <dataValidation type="decimal" errorStyle="warning" allowBlank="1" showInputMessage="1" showErrorMessage="1" error="Wert erscheint in Bezug zum produktiveb Personal hoch!" sqref="E35:E37" xr:uid="{48ED1086-8E17-4CC7-B7C8-4B077728CA16}">
      <formula1>0</formula1>
      <formula2>E$32*0.15</formula2>
    </dataValidation>
    <dataValidation type="decimal" errorStyle="warning" allowBlank="1" showInputMessage="1" showErrorMessage="1" error="Wert erscheint hoch oder ist negativ!" sqref="F44" xr:uid="{55845E97-7BCB-4AE2-AB39-B90B1B76A67E}">
      <formula1>0</formula1>
      <formula2>0.25</formula2>
    </dataValidation>
    <dataValidation type="decimal" errorStyle="warning" allowBlank="1" showInputMessage="1" showErrorMessage="1" error="Relativ hohe Anpassung! Wollen Sie das wirklich?" sqref="G54:H54" xr:uid="{0FA89C53-9758-4DF4-9615-724E045BB7FA}">
      <formula1>-0.05</formula1>
      <formula2>0.05</formula2>
    </dataValidation>
    <dataValidation type="decimal" errorStyle="warning" allowBlank="1" showInputMessage="1" showErrorMessage="1" error="Wert größer als 100% (oder ein negativer Wert)!" sqref="C64:D70" xr:uid="{05EFA5F5-D0A5-4EE2-B760-20BD00F76330}">
      <formula1>0</formula1>
      <formula2>1</formula2>
    </dataValidation>
    <dataValidation type="decimal" errorStyle="warning" allowBlank="1" showInputMessage="1" showErrorMessage="1" error="Eingabe erscheint außerhalb eines plausiblen Bereiches!" sqref="F111:F116" xr:uid="{2FC759DC-69E8-4837-AAB0-F81020F03273}">
      <formula1>0.1</formula1>
      <formula2>7</formula2>
    </dataValidation>
    <dataValidation type="decimal" errorStyle="warning" allowBlank="1" showInputMessage="1" showErrorMessage="1" error="Wert über 100%! Bitte prüfen ob sinnvoll!" sqref="D111:D116" xr:uid="{678B9E33-1DB9-4782-9BFB-7B826FB38587}">
      <formula1>0</formula1>
      <formula2>1</formula2>
    </dataValidation>
    <dataValidation type="whole" errorStyle="information" operator="greaterThan" allowBlank="1" showInputMessage="1" showErrorMessage="1" error="Lizensierung läuft ab!" sqref="H5" xr:uid="{CDF936E2-FB35-4CBD-85B4-CC0AB9A5955C}">
      <formula1>10</formula1>
    </dataValidation>
    <dataValidation type="list" showInputMessage="1" showErrorMessage="1" error="Kennzeichen wählen (KZ = 1 oder 2); bei KZ = 0 erfolgt keine Berechnung." sqref="E131" xr:uid="{894B0F61-1856-434D-81E3-A2D3E2E77B47}">
      <formula1>$N$7:$N$8</formula1>
    </dataValidation>
    <dataValidation type="decimal" errorStyle="warning" allowBlank="1" showInputMessage="1" showErrorMessage="1" error="Mehr als 5 Stunden?" sqref="C154:C158" xr:uid="{1527BB8A-1110-47C4-90C3-9F9D476BEDA6}">
      <formula1>0</formula1>
      <formula2>5</formula2>
    </dataValidation>
    <dataValidation type="decimal" errorStyle="warning" allowBlank="1" showInputMessage="1" showErrorMessage="1" error="Wenn alle DPNK bereits unter E1 bereücksichtigt sind, erscheint der Wert seht hoch!" sqref="F202:F203" xr:uid="{7ED45538-A529-453D-BBD1-596BC5F07F73}">
      <formula1>0</formula1>
      <formula2>0.05</formula2>
    </dataValidation>
    <dataValidation type="decimal" errorStyle="warning" allowBlank="1" showInputMessage="1" showErrorMessage="1" error="Bitte kontrollieren (idR zw 0% und 100%)!_x000a_" sqref="D104:D106" xr:uid="{81AEBDEC-324B-44F4-9C78-B5F298226C4F}">
      <formula1>0</formula1>
      <formula2>1</formula2>
    </dataValidation>
    <dataValidation allowBlank="1" showInputMessage="1" showErrorMessage="1" error="Anpassung = 1; keine Anpassung = 0" sqref="F378 F325 F436 F489 F545" xr:uid="{D35BBB27-DCE2-4CCC-902D-B06D2C9AF834}"/>
    <dataValidation type="decimal" errorStyle="warning" allowBlank="1" showInputMessage="1" showErrorMessage="1" error="Außerhalb von 50% bis 100%! Plausibel?" sqref="D131" xr:uid="{A77CF1D9-1602-4920-9B6D-6230CF97E719}">
      <formula1>0.5</formula1>
      <formula2>1</formula2>
    </dataValidation>
    <dataValidation type="list" allowBlank="1" showInputMessage="1" showErrorMessage="1" sqref="F276 F278" xr:uid="{55C6FCF1-D935-43F8-884F-63CEE274FF28}">
      <formula1>$D$274:$E$274</formula1>
    </dataValidation>
    <dataValidation type="decimal" errorStyle="warning" allowBlank="1" showInputMessage="1" showErrorMessage="1" error="Negativer Wert oder Wert über 15 % erscheint unplausibel. Bitte prüfen!" sqref="F217 F228" xr:uid="{E8DEE830-5210-4B21-AE0D-209867C632B7}">
      <formula1>0</formula1>
      <formula2>0.15</formula2>
    </dataValidation>
    <dataValidation type="list" allowBlank="1" showInputMessage="1" showErrorMessage="1" sqref="F316 F320 F324 F488 F484 F480 F435 F431 F427 F377 F373 F369 F544 F540 F536" xr:uid="{F81DCBFF-9FFC-46E5-AF67-7111044329A6}">
      <formula1>$M$7:$M$8</formula1>
    </dataValidation>
    <dataValidation type="list" allowBlank="1" showInputMessage="1" showErrorMessage="1" error="Kennzeichen 1, 2, 3 oder 4_x000a_ möglich._x000a_Siehe oben Pkt D!" sqref="F319 F323 F372 F376 F430 F434 F483 F487 F539 F543" xr:uid="{AB6AD13E-AAB8-4768-9F50-0FCF93B4D3CB}">
      <formula1>$N$6:$N$10</formula1>
    </dataValidation>
    <dataValidation type="list" allowBlank="1" showInputMessage="1" showErrorMessage="1" error="Kennzeichen ist 1, 2, 3 oder 4. Erklärung siehe Punkt D." sqref="F487 F483 F434 F430 F376 F372 F323 F319 F543 F539" xr:uid="{99767A30-7D38-41BA-9A16-E5BFF299C3BA}">
      <formula1>$N$6:$N$10</formula1>
    </dataValidation>
    <dataValidation type="list" showErrorMessage="1" error="KZ = 1: Unproduktive Zeiten sind zusätzlich zu den produktiven._x000a_KZ = 0: Unproduktive Zeiten sind Teil der zuvor angenommenen produktiveb Zeiten." prompt="KZ = 1: Unproduktive Zeiten sind zusätzlich zu den produktiven._x000a_KZ = 0: Unproduktive Zeiten sind Teil der zuvor angenommenen produktiveb Zeiten." sqref="H300 H353 H411 H464 H520" xr:uid="{7E6D1595-48F6-4792-9621-7112152F15DE}">
      <formula1>$M$7:$M$8</formula1>
    </dataValidation>
    <dataValidation type="decimal" errorStyle="warning" operator="lessThan" allowBlank="1" showInputMessage="1" showErrorMessage="1" error="Eingabe von Mehr als 5 Tage pro Woche. Korrekt?" sqref="C131" xr:uid="{86ED9A2D-78EF-42C1-95C4-9E476F459ED2}">
      <formula1>6</formula1>
    </dataValidation>
    <dataValidation type="decimal" errorStyle="warning" allowBlank="1" showInputMessage="1" showErrorMessage="1" error="Den kalkulierten Wert um mehr als 10% verändern?" sqref="G173" xr:uid="{6229FB45-118C-4BD1-8129-EBE59D510CA5}">
      <formula1>-0.1*H173</formula1>
      <formula2>0.1*H173</formula2>
    </dataValidation>
    <dataValidation type="decimal" operator="greaterThan" allowBlank="1" showInputMessage="1" showErrorMessage="1" error="Zahl &gt; 0 eingeben!" sqref="G232:H232 G222:H222" xr:uid="{98B31C96-5D70-43F6-85B8-7D1700D136D6}">
      <formula1>0</formula1>
    </dataValidation>
    <dataValidation type="list" allowBlank="1" showInputMessage="1" showErrorMessage="1" error="Bitte auswählen!" sqref="H219" xr:uid="{1EEA8768-5B2D-46CE-8BEE-772D1CDD6EA4}">
      <formula1>$D$274:$E$274</formula1>
    </dataValidation>
    <dataValidation type="whole" errorStyle="warning" operator="greaterThanOrEqual" allowBlank="1" showInputMessage="1" showErrorMessage="1" error="Partie kann grundsätzlich nur aus ganzen &quot;Köpfen&quot; bestehen! " sqref="E511:E514" xr:uid="{7545D179-DE23-46B6-897E-B2D18B647FFE}">
      <formula1>0</formula1>
    </dataValidation>
    <dataValidation type="decimal" operator="greaterThanOrEqual" allowBlank="1" showInputMessage="1" showErrorMessage="1" error="Eingabe der Anzahl der Stunden pro Tag (Eingabe größer gleich 0)!" sqref="A131:B131" xr:uid="{66252FF7-3C0D-4ECB-8A68-2ABEFE12411F}">
      <formula1>0</formula1>
    </dataValidation>
    <dataValidation type="list" allowBlank="1" showInputMessage="1" showErrorMessage="1" error="Ja oder Nein auswählen!" sqref="F272:F273" xr:uid="{914C41E8-D998-450C-B310-0A323B39457F}">
      <formula1>"Ja,Nein"</formula1>
    </dataValidation>
    <dataValidation type="list" allowBlank="1" showInputMessage="1" showErrorMessage="1" error="Bitte Ja oder Nein auswählen. Individuelle Eingabe bei B2b nur bei &quot;Nein&quot; möglich." sqref="G77" xr:uid="{E3A9EAFC-4281-4B0C-8DB4-B105553E5DE7}">
      <formula1>"Ja, Nein"</formula1>
    </dataValidation>
    <dataValidation errorStyle="warning" allowBlank="1" showInputMessage="1" showErrorMessage="1" error="Negativer Wert oder Wert über 5 % erscheint unplausibel. Bitte prüfen!" sqref="E235:E238" xr:uid="{BC2A8F29-A900-473E-9301-BEEBF4D46A5E}"/>
  </dataValidations>
  <hyperlinks>
    <hyperlink ref="B2" location="Projekt!A23" display="A) Arbeitnehmer" xr:uid="{7B747ED8-2B91-4337-956B-CC74877A8901}"/>
    <hyperlink ref="G265" location="'K2 GZ'!A1" display="Zum K2-Blatt" xr:uid="{F1C78E38-D06A-460A-AEC4-6577F84D615C}"/>
    <hyperlink ref="F2" location="Projekt!D287" display="Regie1" xr:uid="{ADF6B570-956B-452C-BE8C-09B7EA4B5C26}"/>
    <hyperlink ref="B3" location="Projekt!A64" display="B) Erschwernisse" xr:uid="{D353AB1F-4CC5-48E7-B824-4484AD041C86}"/>
    <hyperlink ref="B4" location="Projekt!A102" display="C) Reisevergütungen" xr:uid="{EE30E8E4-16C9-4C36-8EF2-3E8EBD0A49D1}"/>
    <hyperlink ref="D2" location="Projekt!A152" display="D) Arbeitszeit" xr:uid="{6DE92D9A-2C09-49D3-934A-6788D4D2E947}"/>
    <hyperlink ref="D3" location="Projekt!H177" display="E) Personalnebenkosten" xr:uid="{9DA3F78E-5E6A-463E-9ADF-C37B0AC1C86C}"/>
    <hyperlink ref="D4" location="Projekt!A217" display="F) - H) Zurechnungen" xr:uid="{C5B68E78-775E-4988-A3E4-DDD5F8A1F63A}"/>
    <hyperlink ref="F3" location="Projekt!A343" display="Regie2" xr:uid="{DDC3B38D-ACBE-4FDF-A271-59F8D15903C3}"/>
    <hyperlink ref="F4" location="Projekt!A401" display="Regie3" xr:uid="{25BA7CE8-4FFD-4B32-9F3F-9D140F3B211A}"/>
    <hyperlink ref="G2" location="Projekt!A454" display="Regie4" xr:uid="{3200BA0A-DBA9-4A45-A65C-D6182FF59D8E}"/>
    <hyperlink ref="G3" location="Projekt!A507" display="R5-Partie" xr:uid="{DD031253-5D9A-4042-9DD8-39B72714A207}"/>
    <hyperlink ref="B2:C2" location="Projekt!A23" display="A) Arbeitnehmer...................................." xr:uid="{0C042428-E8A1-496B-812D-159398AE773A}"/>
    <hyperlink ref="B3:C3" location="Projekt!A64" display="B) Erschwernisse.................................." xr:uid="{9F976119-D89B-4540-AB60-CF56EE50A5BA}"/>
    <hyperlink ref="B4:C4" location="Projekt!A102" display="C) Reisevergütungen........................" xr:uid="{C238C38F-FAE1-4E24-8622-A6A3C28C8058}"/>
    <hyperlink ref="D2:E2" location="Projekt!A152" display="D) Arbeitszeit............................." xr:uid="{45162569-D2C3-4020-B00A-86B675793DAC}"/>
  </hyperlinks>
  <pageMargins left="0.7" right="0.7" top="0.78740157499999996" bottom="0.78740157499999996" header="0.3" footer="0.3"/>
  <pageSetup paperSize="9" orientation="portrait" r:id="rId1"/>
  <headerFooter>
    <oddFooter>&amp;L&amp;10K3-Detailberechnung
Seite: &amp;P von &amp;N&amp;R&amp;10&amp;F</oddFooter>
  </headerFooter>
  <rowBreaks count="18" manualBreakCount="18">
    <brk id="33" max="16383" man="1"/>
    <brk id="58" max="16383" man="1"/>
    <brk id="89" max="16383" man="1"/>
    <brk id="126" max="16383" man="1"/>
    <brk id="142" max="16383" man="1"/>
    <brk id="176" max="16383" man="1"/>
    <brk id="214" max="16383" man="1"/>
    <brk id="241" max="16383" man="1"/>
    <brk id="284" max="16383" man="1"/>
    <brk id="310" max="16383" man="1"/>
    <brk id="342" max="16383" man="1"/>
    <brk id="361" max="16383" man="1"/>
    <brk id="400" max="16383" man="1"/>
    <brk id="419" max="16383" man="1"/>
    <brk id="453" max="16383" man="1"/>
    <brk id="474" max="16383" man="1"/>
    <brk id="506" max="16383" man="1"/>
    <brk id="530" max="16383" man="1"/>
  </rowBreaks>
  <ignoredErrors>
    <ignoredError sqref="G254:G257 G260:G263 G267" unlockedFormula="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42D22-ADD6-468B-89FB-A8DEDC568E15}">
  <sheetPr>
    <tabColor rgb="FFFFFF99"/>
  </sheetPr>
  <dimension ref="A1:I89"/>
  <sheetViews>
    <sheetView showGridLines="0" topLeftCell="A64" workbookViewId="0">
      <selection activeCell="A79" sqref="A79:I89"/>
    </sheetView>
  </sheetViews>
  <sheetFormatPr baseColWidth="10" defaultRowHeight="15" x14ac:dyDescent="0.4"/>
  <cols>
    <col min="1" max="1" width="4.21875" customWidth="1"/>
    <col min="2" max="9" width="10.21875" customWidth="1"/>
  </cols>
  <sheetData>
    <row r="1" spans="1:9" ht="15.75" x14ac:dyDescent="0.5">
      <c r="A1" s="611" t="s">
        <v>466</v>
      </c>
      <c r="B1" s="239"/>
      <c r="C1" s="239"/>
      <c r="D1" s="239"/>
      <c r="E1" s="239"/>
      <c r="F1" s="239"/>
      <c r="G1" s="239"/>
      <c r="H1" s="239"/>
      <c r="I1" s="240"/>
    </row>
    <row r="2" spans="1:9" ht="15.75" x14ac:dyDescent="0.5">
      <c r="A2" s="612"/>
      <c r="B2" s="217"/>
      <c r="C2" s="217"/>
      <c r="D2" s="217"/>
      <c r="E2" s="217"/>
      <c r="F2" s="217"/>
      <c r="G2" s="217"/>
      <c r="H2" s="217"/>
      <c r="I2" s="218"/>
    </row>
    <row r="3" spans="1:9" ht="15.75" x14ac:dyDescent="0.5">
      <c r="A3" s="617" t="s">
        <v>469</v>
      </c>
      <c r="B3" s="618"/>
      <c r="C3" s="618"/>
      <c r="D3" s="217"/>
      <c r="E3" s="217"/>
      <c r="F3" s="217"/>
      <c r="G3" s="217"/>
      <c r="H3" s="217"/>
      <c r="I3" s="218"/>
    </row>
    <row r="4" spans="1:9" ht="15.75" x14ac:dyDescent="0.5">
      <c r="A4" s="612" t="s">
        <v>461</v>
      </c>
      <c r="B4" s="217"/>
      <c r="C4" s="217"/>
      <c r="D4" s="217"/>
      <c r="E4" s="217"/>
      <c r="F4" s="217"/>
      <c r="G4" s="217"/>
      <c r="H4" s="217"/>
      <c r="I4" s="218"/>
    </row>
    <row r="5" spans="1:9" ht="15.75" x14ac:dyDescent="0.5">
      <c r="A5" s="612" t="s">
        <v>463</v>
      </c>
      <c r="B5" s="217"/>
      <c r="C5" s="217"/>
      <c r="D5" s="217"/>
      <c r="E5" s="217"/>
      <c r="F5" s="217"/>
      <c r="G5" s="217"/>
      <c r="H5" s="217"/>
      <c r="I5" s="218"/>
    </row>
    <row r="6" spans="1:9" ht="15.75" x14ac:dyDescent="0.5">
      <c r="A6" s="612" t="s">
        <v>462</v>
      </c>
      <c r="B6" s="217"/>
      <c r="C6" s="217"/>
      <c r="D6" s="217"/>
      <c r="E6" s="217"/>
      <c r="F6" s="217"/>
      <c r="G6" s="217"/>
      <c r="H6" s="217"/>
      <c r="I6" s="218"/>
    </row>
    <row r="7" spans="1:9" ht="15.75" x14ac:dyDescent="0.5">
      <c r="A7" s="612" t="s">
        <v>464</v>
      </c>
      <c r="B7" s="217"/>
      <c r="C7" s="217"/>
      <c r="D7" s="217"/>
      <c r="E7" s="217"/>
      <c r="F7" s="217"/>
      <c r="G7" s="217"/>
      <c r="H7" s="217"/>
      <c r="I7" s="218"/>
    </row>
    <row r="8" spans="1:9" ht="15.75" x14ac:dyDescent="0.5">
      <c r="A8" s="612" t="s">
        <v>465</v>
      </c>
      <c r="B8" s="217"/>
      <c r="C8" s="217"/>
      <c r="D8" s="217"/>
      <c r="E8" s="217"/>
      <c r="F8" s="217"/>
      <c r="G8" s="217"/>
      <c r="H8" s="217"/>
      <c r="I8" s="218"/>
    </row>
    <row r="9" spans="1:9" ht="15.75" x14ac:dyDescent="0.5">
      <c r="A9" s="612"/>
      <c r="B9" s="217"/>
      <c r="C9" s="217"/>
      <c r="D9" s="217"/>
      <c r="E9" s="217"/>
      <c r="F9" s="217"/>
      <c r="G9" s="217"/>
      <c r="H9" s="217"/>
      <c r="I9" s="218"/>
    </row>
    <row r="10" spans="1:9" ht="15.75" x14ac:dyDescent="0.5">
      <c r="A10" s="617" t="s">
        <v>468</v>
      </c>
      <c r="B10" s="217"/>
      <c r="C10" s="217"/>
      <c r="D10" s="217"/>
      <c r="E10" s="217"/>
      <c r="F10" s="217"/>
      <c r="G10" s="217"/>
      <c r="H10" s="217"/>
      <c r="I10" s="218"/>
    </row>
    <row r="11" spans="1:9" ht="15.75" x14ac:dyDescent="0.5">
      <c r="A11" s="612"/>
      <c r="B11" s="217"/>
      <c r="C11" s="217"/>
      <c r="D11" s="217"/>
      <c r="E11" s="217"/>
      <c r="F11" s="217"/>
      <c r="G11" s="217"/>
      <c r="H11" s="217"/>
      <c r="I11" s="218"/>
    </row>
    <row r="12" spans="1:9" ht="15" customHeight="1" x14ac:dyDescent="0.5">
      <c r="A12" s="612"/>
      <c r="B12" s="1890" t="str">
        <f ca="1">_F1</f>
        <v/>
      </c>
      <c r="C12" s="1890"/>
      <c r="D12" s="1890"/>
      <c r="E12" s="1890"/>
      <c r="F12" s="1890"/>
      <c r="G12" s="1890"/>
      <c r="H12" s="1890"/>
      <c r="I12" s="1891"/>
    </row>
    <row r="13" spans="1:9" ht="15" customHeight="1" x14ac:dyDescent="0.4">
      <c r="A13" s="613"/>
      <c r="B13" s="1890" t="str">
        <f ca="1">_F2</f>
        <v/>
      </c>
      <c r="C13" s="1890"/>
      <c r="D13" s="1890"/>
      <c r="E13" s="1890"/>
      <c r="F13" s="1890"/>
      <c r="G13" s="1890"/>
      <c r="H13" s="1890"/>
      <c r="I13" s="1891"/>
    </row>
    <row r="14" spans="1:9" ht="15" customHeight="1" x14ac:dyDescent="0.4">
      <c r="A14" s="613"/>
      <c r="B14" s="1890" t="str">
        <f ca="1">_F3</f>
        <v/>
      </c>
      <c r="C14" s="1890"/>
      <c r="D14" s="1890"/>
      <c r="E14" s="1890"/>
      <c r="F14" s="1890"/>
      <c r="G14" s="1890"/>
      <c r="H14" s="1890"/>
      <c r="I14" s="1891"/>
    </row>
    <row r="15" spans="1:9" ht="15" customHeight="1" x14ac:dyDescent="0.4">
      <c r="A15" s="613"/>
      <c r="B15" s="1890" t="str">
        <f ca="1">_F4</f>
        <v/>
      </c>
      <c r="C15" s="1890"/>
      <c r="D15" s="1890"/>
      <c r="E15" s="1890"/>
      <c r="F15" s="1890"/>
      <c r="G15" s="1890"/>
      <c r="H15" s="1890"/>
      <c r="I15" s="1891"/>
    </row>
    <row r="16" spans="1:9" ht="15" customHeight="1" x14ac:dyDescent="0.4">
      <c r="A16" s="613"/>
      <c r="B16" s="1890" t="str">
        <f ca="1">_F5</f>
        <v/>
      </c>
      <c r="C16" s="1890"/>
      <c r="D16" s="1890"/>
      <c r="E16" s="1890"/>
      <c r="F16" s="1890"/>
      <c r="G16" s="1890"/>
      <c r="H16" s="1890"/>
      <c r="I16" s="1891"/>
    </row>
    <row r="17" spans="1:9" ht="15" customHeight="1" x14ac:dyDescent="0.4">
      <c r="A17" s="613"/>
      <c r="B17" s="1890" t="str">
        <f ca="1">_F6</f>
        <v/>
      </c>
      <c r="C17" s="1890"/>
      <c r="D17" s="1890"/>
      <c r="E17" s="1890"/>
      <c r="F17" s="1890"/>
      <c r="G17" s="1890"/>
      <c r="H17" s="1890"/>
      <c r="I17" s="1891"/>
    </row>
    <row r="18" spans="1:9" ht="15" customHeight="1" x14ac:dyDescent="0.4">
      <c r="A18" s="613"/>
      <c r="B18" s="1890" t="str">
        <f ca="1">_F7</f>
        <v/>
      </c>
      <c r="C18" s="1890"/>
      <c r="D18" s="1890"/>
      <c r="E18" s="1890"/>
      <c r="F18" s="1890"/>
      <c r="G18" s="1890"/>
      <c r="H18" s="1890"/>
      <c r="I18" s="1891"/>
    </row>
    <row r="19" spans="1:9" ht="15" customHeight="1" x14ac:dyDescent="0.4">
      <c r="A19" s="613"/>
      <c r="B19" s="1890" t="str">
        <f ca="1">_F16</f>
        <v/>
      </c>
      <c r="C19" s="1890"/>
      <c r="D19" s="1890"/>
      <c r="E19" s="1890"/>
      <c r="F19" s="1890"/>
      <c r="G19" s="1890"/>
      <c r="H19" s="1890"/>
      <c r="I19" s="1891"/>
    </row>
    <row r="20" spans="1:9" ht="15" customHeight="1" x14ac:dyDescent="0.4">
      <c r="A20" s="613"/>
      <c r="B20" s="1890" t="str">
        <f>_F8</f>
        <v/>
      </c>
      <c r="C20" s="1890"/>
      <c r="D20" s="1890"/>
      <c r="E20" s="1890"/>
      <c r="F20" s="1890"/>
      <c r="G20" s="1890"/>
      <c r="H20" s="1890"/>
      <c r="I20" s="1891"/>
    </row>
    <row r="21" spans="1:9" ht="15" customHeight="1" x14ac:dyDescent="0.4">
      <c r="A21" s="613"/>
      <c r="B21" s="1890" t="str">
        <f>_F9</f>
        <v/>
      </c>
      <c r="C21" s="1890"/>
      <c r="D21" s="1890"/>
      <c r="E21" s="1890"/>
      <c r="F21" s="1890"/>
      <c r="G21" s="1890"/>
      <c r="H21" s="1890"/>
      <c r="I21" s="1891"/>
    </row>
    <row r="22" spans="1:9" ht="15" customHeight="1" x14ac:dyDescent="0.4">
      <c r="A22" s="613"/>
      <c r="B22" s="1890" t="str">
        <f ca="1">_F10</f>
        <v/>
      </c>
      <c r="C22" s="1890"/>
      <c r="D22" s="1890"/>
      <c r="E22" s="1890"/>
      <c r="F22" s="1890"/>
      <c r="G22" s="1890"/>
      <c r="H22" s="1890"/>
      <c r="I22" s="1891"/>
    </row>
    <row r="23" spans="1:9" ht="15" customHeight="1" x14ac:dyDescent="0.4">
      <c r="A23" s="613"/>
      <c r="B23" s="1890" t="str">
        <f ca="1">_F11</f>
        <v/>
      </c>
      <c r="C23" s="1890"/>
      <c r="D23" s="1890"/>
      <c r="E23" s="1890"/>
      <c r="F23" s="1890"/>
      <c r="G23" s="1890"/>
      <c r="H23" s="1890"/>
      <c r="I23" s="1891"/>
    </row>
    <row r="24" spans="1:9" ht="15" customHeight="1" x14ac:dyDescent="0.5">
      <c r="A24" s="612"/>
      <c r="B24" s="1890" t="str">
        <f ca="1">_F12</f>
        <v/>
      </c>
      <c r="C24" s="1890"/>
      <c r="D24" s="1890"/>
      <c r="E24" s="1890"/>
      <c r="F24" s="1890"/>
      <c r="G24" s="1890"/>
      <c r="H24" s="1890"/>
      <c r="I24" s="1891"/>
    </row>
    <row r="25" spans="1:9" ht="15" customHeight="1" x14ac:dyDescent="0.5">
      <c r="A25" s="612"/>
      <c r="B25" s="1890" t="str">
        <f ca="1">_F13</f>
        <v/>
      </c>
      <c r="C25" s="1890"/>
      <c r="D25" s="1890"/>
      <c r="E25" s="1890"/>
      <c r="F25" s="1890"/>
      <c r="G25" s="1890"/>
      <c r="H25" s="1890"/>
      <c r="I25" s="1891"/>
    </row>
    <row r="26" spans="1:9" ht="15" customHeight="1" x14ac:dyDescent="0.5">
      <c r="A26" s="612"/>
      <c r="B26" s="1890" t="str">
        <f ca="1">_F14</f>
        <v/>
      </c>
      <c r="C26" s="1890"/>
      <c r="D26" s="1890"/>
      <c r="E26" s="1890"/>
      <c r="F26" s="1890"/>
      <c r="G26" s="1890"/>
      <c r="H26" s="1890"/>
      <c r="I26" s="1891"/>
    </row>
    <row r="27" spans="1:9" ht="15" customHeight="1" x14ac:dyDescent="0.5">
      <c r="A27" s="612"/>
      <c r="B27" s="1890" t="str">
        <f ca="1">_F15</f>
        <v/>
      </c>
      <c r="C27" s="1890"/>
      <c r="D27" s="1890"/>
      <c r="E27" s="1890"/>
      <c r="F27" s="1890"/>
      <c r="G27" s="1890"/>
      <c r="H27" s="1890"/>
      <c r="I27" s="1891"/>
    </row>
    <row r="28" spans="1:9" ht="15" customHeight="1" x14ac:dyDescent="0.5">
      <c r="A28" s="612"/>
      <c r="B28" s="217"/>
      <c r="C28" s="217"/>
      <c r="D28" s="217"/>
      <c r="E28" s="217"/>
      <c r="F28" s="217"/>
      <c r="G28" s="217"/>
      <c r="H28" s="217"/>
      <c r="I28" s="218"/>
    </row>
    <row r="29" spans="1:9" ht="15.75" x14ac:dyDescent="0.5">
      <c r="A29" s="614" t="s">
        <v>467</v>
      </c>
      <c r="B29" s="615"/>
      <c r="C29" s="615"/>
      <c r="D29" s="615"/>
      <c r="E29" s="615"/>
      <c r="F29" s="615"/>
      <c r="G29" s="615"/>
      <c r="H29" s="615"/>
      <c r="I29" s="616"/>
    </row>
    <row r="30" spans="1:9" ht="15.75" x14ac:dyDescent="0.5">
      <c r="A30" s="662"/>
      <c r="B30" s="653"/>
      <c r="C30" s="653"/>
      <c r="D30" s="653"/>
      <c r="E30" s="653"/>
      <c r="F30" s="653"/>
      <c r="G30" s="653"/>
      <c r="H30" s="653"/>
      <c r="I30" s="663"/>
    </row>
    <row r="31" spans="1:9" ht="31.5" customHeight="1" x14ac:dyDescent="0.4">
      <c r="A31" s="1906" t="s">
        <v>579</v>
      </c>
      <c r="B31" s="1907"/>
      <c r="C31" s="1907"/>
      <c r="D31" s="1908"/>
      <c r="E31" s="1895" t="s">
        <v>567</v>
      </c>
      <c r="F31" s="1896"/>
      <c r="G31" s="1897" t="s">
        <v>568</v>
      </c>
      <c r="H31" s="1898"/>
      <c r="I31" s="737" t="s">
        <v>68</v>
      </c>
    </row>
    <row r="32" spans="1:9" ht="15.75" x14ac:dyDescent="0.5">
      <c r="A32" s="661"/>
      <c r="B32" s="654"/>
      <c r="C32" s="654"/>
      <c r="D32" s="654"/>
      <c r="E32" s="1123" t="s">
        <v>89</v>
      </c>
      <c r="F32" s="1124" t="s">
        <v>90</v>
      </c>
      <c r="G32" s="1125" t="s">
        <v>89</v>
      </c>
      <c r="H32" s="1126" t="s">
        <v>90</v>
      </c>
      <c r="I32" s="738"/>
    </row>
    <row r="33" spans="1:9" ht="15.4" x14ac:dyDescent="0.45">
      <c r="A33" s="690" t="s">
        <v>565</v>
      </c>
      <c r="B33" s="666"/>
      <c r="C33" s="666"/>
      <c r="D33" s="720"/>
      <c r="E33" s="723">
        <f ca="1">Projekt!D50</f>
        <v>45.83</v>
      </c>
      <c r="F33" s="724">
        <f ca="1">Projekt!E50</f>
        <v>4.5999999999999996</v>
      </c>
      <c r="G33" s="731"/>
      <c r="H33" s="732"/>
      <c r="I33" s="739">
        <f ca="1">SUM(E33:H33)</f>
        <v>50.43</v>
      </c>
    </row>
    <row r="34" spans="1:9" ht="15.4" x14ac:dyDescent="0.45">
      <c r="A34" s="690" t="s">
        <v>566</v>
      </c>
      <c r="B34" s="666"/>
      <c r="C34" s="666"/>
      <c r="D34" s="720"/>
      <c r="E34" s="723"/>
      <c r="F34" s="724"/>
      <c r="G34" s="731">
        <f ca="1">Projekt!D52</f>
        <v>2.67</v>
      </c>
      <c r="H34" s="732">
        <f ca="1">Projekt!E52</f>
        <v>0.27</v>
      </c>
      <c r="I34" s="739">
        <f ca="1">SUM(E34:H34)</f>
        <v>2.94</v>
      </c>
    </row>
    <row r="35" spans="1:9" ht="15.4" x14ac:dyDescent="0.45">
      <c r="A35" s="721" t="s">
        <v>558</v>
      </c>
      <c r="B35" s="666"/>
      <c r="C35" s="666"/>
      <c r="D35" s="720"/>
      <c r="E35" s="726">
        <f ca="1">Projekt!D51</f>
        <v>0</v>
      </c>
      <c r="F35" s="724">
        <f ca="1">Projekt!E51</f>
        <v>0</v>
      </c>
      <c r="G35" s="731"/>
      <c r="H35" s="732"/>
      <c r="I35" s="739">
        <f t="shared" ref="I35:I46" ca="1" si="0">SUM(E35:H35)</f>
        <v>0</v>
      </c>
    </row>
    <row r="36" spans="1:9" ht="15.4" x14ac:dyDescent="0.45">
      <c r="A36" s="690" t="s">
        <v>555</v>
      </c>
      <c r="B36" s="666"/>
      <c r="C36" s="720"/>
      <c r="D36" s="691">
        <f ca="1">Projekt!H97+Projekt!H173</f>
        <v>6.3899999999999998E-2</v>
      </c>
      <c r="E36" s="723">
        <f ca="1">D36*E33+D36*E35</f>
        <v>2.93</v>
      </c>
      <c r="F36" s="724"/>
      <c r="G36" s="731">
        <f ca="1">D36*G34</f>
        <v>0.17</v>
      </c>
      <c r="H36" s="732"/>
      <c r="I36" s="739">
        <f t="shared" ca="1" si="0"/>
        <v>3.1</v>
      </c>
    </row>
    <row r="37" spans="1:9" ht="15.4" x14ac:dyDescent="0.45">
      <c r="A37" s="722" t="s">
        <v>556</v>
      </c>
      <c r="B37" s="667"/>
      <c r="C37" s="667"/>
      <c r="D37" s="668">
        <f ca="1">' K3 PP'!O27/' K3 PP'!O23</f>
        <v>6.8199999999999997E-2</v>
      </c>
      <c r="E37" s="727">
        <f ca="1">D37*E33+D37*E35</f>
        <v>3.13</v>
      </c>
      <c r="F37" s="728"/>
      <c r="G37" s="733">
        <f ca="1">D37*G34</f>
        <v>0.18</v>
      </c>
      <c r="H37" s="734"/>
      <c r="I37" s="740">
        <f t="shared" ca="1" si="0"/>
        <v>3.31</v>
      </c>
    </row>
    <row r="38" spans="1:9" ht="15.4" x14ac:dyDescent="0.45">
      <c r="A38" s="721" t="s">
        <v>569</v>
      </c>
      <c r="B38" s="666"/>
      <c r="C38" s="666"/>
      <c r="D38" s="691"/>
      <c r="E38" s="723">
        <f ca="1">SUM(E33:E37)</f>
        <v>51.89</v>
      </c>
      <c r="F38" s="725">
        <f ca="1">SUM(F33:F37)</f>
        <v>4.5999999999999996</v>
      </c>
      <c r="G38" s="731">
        <f ca="1">SUM(G33:G37)</f>
        <v>3.02</v>
      </c>
      <c r="H38" s="732">
        <f ca="1">SUM(H33:H37)</f>
        <v>0.27</v>
      </c>
      <c r="I38" s="739">
        <f t="shared" ca="1" si="0"/>
        <v>59.78</v>
      </c>
    </row>
    <row r="39" spans="1:9" ht="15.4" x14ac:dyDescent="0.45">
      <c r="A39" s="721" t="s">
        <v>570</v>
      </c>
      <c r="B39" s="666"/>
      <c r="C39" s="666"/>
      <c r="D39" s="691"/>
      <c r="E39" s="723">
        <f ca="1">E38+F38</f>
        <v>56.49</v>
      </c>
      <c r="F39" s="725"/>
      <c r="G39" s="731">
        <f ca="1">G38+H38</f>
        <v>3.29</v>
      </c>
      <c r="H39" s="732"/>
      <c r="I39" s="739"/>
    </row>
    <row r="40" spans="1:9" ht="15.4" x14ac:dyDescent="0.45">
      <c r="A40" s="690" t="s">
        <v>557</v>
      </c>
      <c r="B40" s="666"/>
      <c r="C40" s="666"/>
      <c r="D40" s="691">
        <f ca="1">' K3 PP'!O29/' K3 PP'!O23</f>
        <v>6.5000000000000002E-2</v>
      </c>
      <c r="E40" s="723">
        <f ca="1">D40*E33+D40*E35</f>
        <v>2.98</v>
      </c>
      <c r="F40" s="725"/>
      <c r="G40" s="731">
        <f ca="1">D40*G34</f>
        <v>0.17</v>
      </c>
      <c r="H40" s="732"/>
      <c r="I40" s="739">
        <f t="shared" ca="1" si="0"/>
        <v>3.15</v>
      </c>
    </row>
    <row r="41" spans="1:9" ht="15.4" x14ac:dyDescent="0.45">
      <c r="A41" s="722" t="s">
        <v>559</v>
      </c>
      <c r="B41" s="667"/>
      <c r="C41" s="667"/>
      <c r="D41" s="668">
        <f ca="1">Projekt!H180+Projekt!H199+Projekt!F212</f>
        <v>1.0039</v>
      </c>
      <c r="E41" s="727">
        <f ca="1">D41*E39</f>
        <v>56.71</v>
      </c>
      <c r="F41" s="728"/>
      <c r="G41" s="733">
        <f ca="1">D41*G39</f>
        <v>3.3</v>
      </c>
      <c r="H41" s="734"/>
      <c r="I41" s="739">
        <f t="shared" ca="1" si="0"/>
        <v>60.01</v>
      </c>
    </row>
    <row r="42" spans="1:9" ht="15.4" x14ac:dyDescent="0.45">
      <c r="A42" s="687" t="s">
        <v>560</v>
      </c>
      <c r="B42" s="688"/>
      <c r="C42" s="688"/>
      <c r="D42" s="689"/>
      <c r="E42" s="729">
        <f ca="1">SUM(E39:E41)</f>
        <v>116.18</v>
      </c>
      <c r="F42" s="730"/>
      <c r="G42" s="735">
        <f ca="1">SUM(G39:G41)</f>
        <v>6.76</v>
      </c>
      <c r="H42" s="736"/>
      <c r="I42" s="741">
        <f t="shared" ca="1" si="0"/>
        <v>122.94</v>
      </c>
    </row>
    <row r="43" spans="1:9" ht="15.4" x14ac:dyDescent="0.45">
      <c r="A43" s="744" t="s">
        <v>59</v>
      </c>
      <c r="B43" s="745"/>
      <c r="C43" s="745"/>
      <c r="D43" s="746">
        <f ca="1">Projekt!F239</f>
        <v>0.13689999999999999</v>
      </c>
      <c r="E43" s="747">
        <f ca="1">D43*E42</f>
        <v>15.91</v>
      </c>
      <c r="F43" s="748"/>
      <c r="G43" s="747">
        <f ca="1">D43*G42</f>
        <v>0.93</v>
      </c>
      <c r="H43" s="749"/>
      <c r="I43" s="742">
        <f t="shared" ca="1" si="0"/>
        <v>16.84</v>
      </c>
    </row>
    <row r="44" spans="1:9" ht="15.4" x14ac:dyDescent="0.45">
      <c r="A44" s="750" t="s">
        <v>109</v>
      </c>
      <c r="B44" s="751"/>
      <c r="C44" s="751"/>
      <c r="D44" s="752">
        <f ca="1">IFERROR(' K3 PP'!M39/' K3 PP'!O33,0)</f>
        <v>0</v>
      </c>
      <c r="E44" s="753">
        <f ca="1">D44*E42</f>
        <v>0</v>
      </c>
      <c r="F44" s="754"/>
      <c r="G44" s="753">
        <f ca="1">D44*G42</f>
        <v>0</v>
      </c>
      <c r="H44" s="755"/>
      <c r="I44" s="742">
        <f t="shared" ca="1" si="0"/>
        <v>0</v>
      </c>
    </row>
    <row r="45" spans="1:9" ht="15.4" x14ac:dyDescent="0.45">
      <c r="A45" s="756" t="s">
        <v>561</v>
      </c>
      <c r="B45" s="757"/>
      <c r="C45" s="757"/>
      <c r="D45" s="758">
        <f>Projekt!G267</f>
        <v>0.22409999999999999</v>
      </c>
      <c r="E45" s="759">
        <f ca="1">D45*(E42+E43)</f>
        <v>29.6</v>
      </c>
      <c r="F45" s="760"/>
      <c r="G45" s="759">
        <f ca="1">D45*(G42+G43)</f>
        <v>1.72</v>
      </c>
      <c r="H45" s="761"/>
      <c r="I45" s="742">
        <f t="shared" ca="1" si="0"/>
        <v>31.32</v>
      </c>
    </row>
    <row r="46" spans="1:9" ht="15.4" x14ac:dyDescent="0.45">
      <c r="A46" s="756" t="s">
        <v>562</v>
      </c>
      <c r="B46" s="757"/>
      <c r="C46" s="757"/>
      <c r="D46" s="758" t="str">
        <f>Projekt!G268</f>
        <v/>
      </c>
      <c r="E46" s="759">
        <f ca="1">IFERROR(D46*E44,0)</f>
        <v>0</v>
      </c>
      <c r="F46" s="760"/>
      <c r="G46" s="759">
        <f ca="1">IFERROR(D46*G44,0)</f>
        <v>0</v>
      </c>
      <c r="H46" s="761"/>
      <c r="I46" s="743">
        <f t="shared" ca="1" si="0"/>
        <v>0</v>
      </c>
    </row>
    <row r="47" spans="1:9" ht="15.4" x14ac:dyDescent="0.45">
      <c r="A47" s="692" t="s">
        <v>68</v>
      </c>
      <c r="B47" s="693"/>
      <c r="C47" s="693"/>
      <c r="D47" s="693"/>
      <c r="E47" s="698">
        <f ca="1">SUM(E42:E46)</f>
        <v>161.69</v>
      </c>
      <c r="F47" s="699"/>
      <c r="G47" s="698">
        <f ca="1">SUM(G42:G46)</f>
        <v>9.41</v>
      </c>
      <c r="H47" s="699"/>
      <c r="I47" s="742">
        <f ca="1">SUM(I42:I46)</f>
        <v>171.1</v>
      </c>
    </row>
    <row r="48" spans="1:9" ht="15.75" x14ac:dyDescent="0.5">
      <c r="A48" s="692" t="s">
        <v>563</v>
      </c>
      <c r="B48" s="693"/>
      <c r="C48" s="693"/>
      <c r="D48" s="693"/>
      <c r="E48" s="694">
        <f ca="1">E47+G47</f>
        <v>171.1</v>
      </c>
      <c r="F48" s="694"/>
      <c r="G48" s="694"/>
      <c r="H48" s="694"/>
      <c r="I48" s="695"/>
    </row>
    <row r="49" spans="1:9" ht="15.4" x14ac:dyDescent="0.45">
      <c r="A49" s="692" t="s">
        <v>564</v>
      </c>
      <c r="B49" s="693"/>
      <c r="C49" s="693"/>
      <c r="D49" s="696">
        <f>Projekt!E44</f>
        <v>3.8</v>
      </c>
      <c r="E49" s="694">
        <f ca="1">E48/D49</f>
        <v>45.03</v>
      </c>
      <c r="F49" s="1899" t="s">
        <v>574</v>
      </c>
      <c r="G49" s="1899"/>
      <c r="H49" s="1899"/>
      <c r="I49" s="697">
        <f ca="1">' K3 PP'!Q45</f>
        <v>45</v>
      </c>
    </row>
    <row r="50" spans="1:9" ht="15.75" x14ac:dyDescent="0.5">
      <c r="A50" s="662"/>
      <c r="B50" s="653"/>
      <c r="C50" s="653"/>
      <c r="D50" s="664"/>
      <c r="E50" s="665"/>
      <c r="F50" s="653"/>
      <c r="G50" s="665"/>
      <c r="H50" s="653"/>
      <c r="I50" s="663"/>
    </row>
    <row r="51" spans="1:9" ht="15.75" x14ac:dyDescent="0.5">
      <c r="A51" s="671" t="s">
        <v>578</v>
      </c>
      <c r="B51" s="672"/>
      <c r="C51" s="672"/>
      <c r="D51" s="673"/>
      <c r="E51" s="674"/>
      <c r="F51" s="675"/>
      <c r="G51" s="1900" t="s">
        <v>575</v>
      </c>
      <c r="H51" s="1903" t="s">
        <v>580</v>
      </c>
      <c r="I51" s="663"/>
    </row>
    <row r="52" spans="1:9" ht="15.75" x14ac:dyDescent="0.5">
      <c r="A52" s="661"/>
      <c r="B52" s="653"/>
      <c r="C52" s="653"/>
      <c r="D52" s="664"/>
      <c r="E52" s="31"/>
      <c r="F52" s="676"/>
      <c r="G52" s="1901"/>
      <c r="H52" s="1904"/>
      <c r="I52" s="663"/>
    </row>
    <row r="53" spans="1:9" ht="15.75" x14ac:dyDescent="0.5">
      <c r="A53" s="661"/>
      <c r="B53" s="653"/>
      <c r="C53" s="653"/>
      <c r="D53" s="664"/>
      <c r="E53" s="31"/>
      <c r="F53" s="676"/>
      <c r="G53" s="1901"/>
      <c r="H53" s="1904"/>
      <c r="I53" s="663"/>
    </row>
    <row r="54" spans="1:9" ht="15.75" x14ac:dyDescent="0.5">
      <c r="A54" s="614"/>
      <c r="B54" s="615"/>
      <c r="C54" s="615"/>
      <c r="D54" s="677"/>
      <c r="E54" s="678"/>
      <c r="F54" s="679"/>
      <c r="G54" s="1902"/>
      <c r="H54" s="1905"/>
      <c r="I54" s="663"/>
    </row>
    <row r="55" spans="1:9" ht="15.75" x14ac:dyDescent="0.5">
      <c r="A55" s="671" t="s">
        <v>576</v>
      </c>
      <c r="B55" s="715"/>
      <c r="C55" s="715"/>
      <c r="D55" s="716"/>
      <c r="E55" s="717">
        <f ca="1">G55/G$55</f>
        <v>1</v>
      </c>
      <c r="F55" s="717">
        <f ca="1">E55</f>
        <v>1</v>
      </c>
      <c r="G55" s="718">
        <f ca="1">E33</f>
        <v>45.83</v>
      </c>
      <c r="H55" s="719">
        <f ca="1">G55/D$49</f>
        <v>12.06</v>
      </c>
      <c r="I55" s="663"/>
    </row>
    <row r="56" spans="1:9" ht="15.75" x14ac:dyDescent="0.5">
      <c r="A56" s="682" t="s">
        <v>577</v>
      </c>
      <c r="B56" s="654"/>
      <c r="C56" s="654"/>
      <c r="D56" s="31"/>
      <c r="E56" s="680">
        <f t="shared" ref="E56:E62" ca="1" si="1">G56/G$55</f>
        <v>0.29759999999999998</v>
      </c>
      <c r="F56" s="680">
        <f ca="1">E56+F55</f>
        <v>1.2976000000000001</v>
      </c>
      <c r="G56" s="669">
        <f ca="1">E42-E41-E33</f>
        <v>13.64</v>
      </c>
      <c r="H56" s="683">
        <f ca="1">G56/D$49</f>
        <v>3.59</v>
      </c>
      <c r="I56" s="663"/>
    </row>
    <row r="57" spans="1:9" ht="15.75" x14ac:dyDescent="0.5">
      <c r="A57" s="682" t="s">
        <v>559</v>
      </c>
      <c r="B57" s="654"/>
      <c r="C57" s="654"/>
      <c r="D57" s="31"/>
      <c r="E57" s="680">
        <f t="shared" ca="1" si="1"/>
        <v>1.2374000000000001</v>
      </c>
      <c r="F57" s="680">
        <f t="shared" ref="F57:F61" ca="1" si="2">E57+F56</f>
        <v>2.5350000000000001</v>
      </c>
      <c r="G57" s="669">
        <f ca="1">E41</f>
        <v>56.71</v>
      </c>
      <c r="H57" s="683">
        <f t="shared" ref="H57:H62" ca="1" si="3">G57/D$49</f>
        <v>14.92</v>
      </c>
      <c r="I57" s="663"/>
    </row>
    <row r="58" spans="1:9" ht="15.75" x14ac:dyDescent="0.5">
      <c r="A58" s="682" t="s">
        <v>218</v>
      </c>
      <c r="B58" s="654"/>
      <c r="C58" s="654"/>
      <c r="D58" s="664"/>
      <c r="E58" s="680">
        <f t="shared" ca="1" si="1"/>
        <v>0.14749999999999999</v>
      </c>
      <c r="F58" s="680">
        <f t="shared" ca="1" si="2"/>
        <v>2.6825000000000001</v>
      </c>
      <c r="G58" s="669">
        <f ca="1">G42</f>
        <v>6.76</v>
      </c>
      <c r="H58" s="683">
        <f t="shared" ca="1" si="3"/>
        <v>1.78</v>
      </c>
      <c r="I58" s="663"/>
    </row>
    <row r="59" spans="1:9" ht="15.75" x14ac:dyDescent="0.5">
      <c r="A59" s="682" t="s">
        <v>571</v>
      </c>
      <c r="B59" s="654"/>
      <c r="C59" s="654"/>
      <c r="D59" s="664"/>
      <c r="E59" s="680">
        <f t="shared" ca="1" si="1"/>
        <v>0.3674</v>
      </c>
      <c r="F59" s="680">
        <f t="shared" ca="1" si="2"/>
        <v>3.0499000000000001</v>
      </c>
      <c r="G59" s="669">
        <f ca="1">E43+G43</f>
        <v>16.84</v>
      </c>
      <c r="H59" s="683">
        <f t="shared" ca="1" si="3"/>
        <v>4.43</v>
      </c>
      <c r="I59" s="663"/>
    </row>
    <row r="60" spans="1:9" ht="15.75" x14ac:dyDescent="0.5">
      <c r="A60" s="682" t="s">
        <v>572</v>
      </c>
      <c r="B60" s="654"/>
      <c r="C60" s="654"/>
      <c r="D60" s="664"/>
      <c r="E60" s="680">
        <f t="shared" ca="1" si="1"/>
        <v>0</v>
      </c>
      <c r="F60" s="680">
        <f t="shared" ca="1" si="2"/>
        <v>3.0499000000000001</v>
      </c>
      <c r="G60" s="669">
        <f ca="1">E44+G44</f>
        <v>0</v>
      </c>
      <c r="H60" s="683">
        <f t="shared" ca="1" si="3"/>
        <v>0</v>
      </c>
      <c r="I60" s="663"/>
    </row>
    <row r="61" spans="1:9" ht="15.75" x14ac:dyDescent="0.5">
      <c r="A61" s="684" t="s">
        <v>573</v>
      </c>
      <c r="B61" s="615"/>
      <c r="C61" s="615"/>
      <c r="D61" s="677"/>
      <c r="E61" s="681">
        <f t="shared" ca="1" si="1"/>
        <v>0.68340000000000001</v>
      </c>
      <c r="F61" s="681">
        <f t="shared" ca="1" si="2"/>
        <v>3.7332999999999998</v>
      </c>
      <c r="G61" s="670">
        <f ca="1">E45+G45+E46+G46</f>
        <v>31.32</v>
      </c>
      <c r="H61" s="685">
        <f t="shared" ca="1" si="3"/>
        <v>8.24</v>
      </c>
      <c r="I61" s="663"/>
    </row>
    <row r="62" spans="1:9" ht="15.75" x14ac:dyDescent="0.5">
      <c r="A62" s="684" t="s">
        <v>68</v>
      </c>
      <c r="B62" s="678"/>
      <c r="C62" s="615"/>
      <c r="D62" s="615"/>
      <c r="E62" s="681">
        <f t="shared" ca="1" si="1"/>
        <v>3.7334000000000001</v>
      </c>
      <c r="F62" s="686"/>
      <c r="G62" s="670">
        <f ca="1">SUM(G55:G61)</f>
        <v>171.1</v>
      </c>
      <c r="H62" s="685">
        <f t="shared" ca="1" si="3"/>
        <v>45.03</v>
      </c>
      <c r="I62" s="663"/>
    </row>
    <row r="63" spans="1:9" ht="15.75" x14ac:dyDescent="0.5">
      <c r="A63" s="662"/>
      <c r="B63" s="653"/>
      <c r="C63" s="653"/>
      <c r="D63" s="653"/>
      <c r="E63" s="653"/>
      <c r="G63" s="653"/>
      <c r="H63" s="653"/>
      <c r="I63" s="663"/>
    </row>
    <row r="64" spans="1:9" ht="15.75" x14ac:dyDescent="0.5">
      <c r="A64" s="662"/>
      <c r="B64" s="654"/>
      <c r="C64" s="654"/>
      <c r="D64" s="654"/>
      <c r="E64" s="654"/>
      <c r="G64" s="654"/>
      <c r="H64" s="654"/>
      <c r="I64" s="663"/>
    </row>
    <row r="65" spans="1:9" ht="15.75" x14ac:dyDescent="0.5">
      <c r="A65" s="662"/>
      <c r="B65" s="654"/>
      <c r="C65" s="654"/>
      <c r="D65" s="654"/>
      <c r="E65" s="654"/>
      <c r="G65" s="654"/>
      <c r="H65" s="654"/>
      <c r="I65" s="663"/>
    </row>
    <row r="66" spans="1:9" ht="15.75" x14ac:dyDescent="0.5">
      <c r="A66" s="662"/>
      <c r="B66" s="654"/>
      <c r="C66" s="654"/>
      <c r="D66" s="654"/>
      <c r="E66" s="654"/>
      <c r="G66" s="654"/>
      <c r="H66" s="654"/>
      <c r="I66" s="663"/>
    </row>
    <row r="67" spans="1:9" ht="15.75" x14ac:dyDescent="0.5">
      <c r="A67" s="662"/>
      <c r="B67" s="654"/>
      <c r="C67" s="654"/>
      <c r="D67" s="654"/>
      <c r="E67" s="654"/>
      <c r="G67" s="654"/>
      <c r="H67" s="654"/>
      <c r="I67" s="663"/>
    </row>
    <row r="68" spans="1:9" ht="15.75" x14ac:dyDescent="0.5">
      <c r="A68" s="662"/>
      <c r="B68" s="654"/>
      <c r="C68" s="654"/>
      <c r="D68" s="654"/>
      <c r="E68" s="654"/>
      <c r="G68" s="654"/>
      <c r="H68" s="654"/>
      <c r="I68" s="663"/>
    </row>
    <row r="69" spans="1:9" ht="15.75" x14ac:dyDescent="0.5">
      <c r="A69" s="662"/>
      <c r="B69" s="654"/>
      <c r="C69" s="654"/>
      <c r="D69" s="654"/>
      <c r="E69" s="654"/>
      <c r="G69" s="654"/>
      <c r="H69" s="654"/>
      <c r="I69" s="663"/>
    </row>
    <row r="70" spans="1:9" ht="15.75" x14ac:dyDescent="0.5">
      <c r="A70" s="662"/>
      <c r="B70" s="654"/>
      <c r="C70" s="654"/>
      <c r="D70" s="654"/>
      <c r="E70" s="654"/>
      <c r="G70" s="654"/>
      <c r="H70" s="654"/>
      <c r="I70" s="663"/>
    </row>
    <row r="71" spans="1:9" ht="15.75" x14ac:dyDescent="0.5">
      <c r="A71" s="662"/>
      <c r="B71" s="654"/>
      <c r="C71" s="654"/>
      <c r="D71" s="654"/>
      <c r="E71" s="654"/>
      <c r="G71" s="654"/>
      <c r="H71" s="654"/>
      <c r="I71" s="663"/>
    </row>
    <row r="72" spans="1:9" ht="15.75" x14ac:dyDescent="0.5">
      <c r="A72" s="662"/>
      <c r="B72" s="654"/>
      <c r="C72" s="654"/>
      <c r="D72" s="654"/>
      <c r="E72" s="654"/>
      <c r="G72" s="654"/>
      <c r="H72" s="654"/>
      <c r="I72" s="663"/>
    </row>
    <row r="73" spans="1:9" ht="15.75" x14ac:dyDescent="0.5">
      <c r="A73" s="662"/>
      <c r="B73" s="654"/>
      <c r="C73" s="654"/>
      <c r="D73" s="654"/>
      <c r="E73" s="654"/>
      <c r="G73" s="654"/>
      <c r="H73" s="654"/>
      <c r="I73" s="663"/>
    </row>
    <row r="74" spans="1:9" ht="15.75" x14ac:dyDescent="0.5">
      <c r="A74" s="662"/>
      <c r="B74" s="654"/>
      <c r="C74" s="654"/>
      <c r="D74" s="654"/>
      <c r="E74" s="654"/>
      <c r="G74" s="654"/>
      <c r="H74" s="654"/>
      <c r="I74" s="663"/>
    </row>
    <row r="75" spans="1:9" ht="15.75" x14ac:dyDescent="0.5">
      <c r="A75" s="662"/>
      <c r="B75" s="654"/>
      <c r="C75" s="654"/>
      <c r="D75" s="654"/>
      <c r="E75" s="654"/>
      <c r="G75" s="654"/>
      <c r="H75" s="654"/>
      <c r="I75" s="663"/>
    </row>
    <row r="76" spans="1:9" ht="15.75" x14ac:dyDescent="0.5">
      <c r="A76" s="662"/>
      <c r="B76" s="654"/>
      <c r="C76" s="654"/>
      <c r="D76" s="654"/>
      <c r="E76" s="654"/>
      <c r="G76" s="654"/>
      <c r="H76" s="654"/>
      <c r="I76" s="663"/>
    </row>
    <row r="77" spans="1:9" ht="15.75" x14ac:dyDescent="0.5">
      <c r="A77" s="662"/>
      <c r="B77" s="654"/>
      <c r="C77" s="654"/>
      <c r="D77" s="654"/>
      <c r="E77" s="654"/>
      <c r="G77" s="654"/>
      <c r="H77" s="654"/>
      <c r="I77" s="663"/>
    </row>
    <row r="78" spans="1:9" ht="15" customHeight="1" x14ac:dyDescent="0.4">
      <c r="A78" s="1892" t="s">
        <v>476</v>
      </c>
      <c r="B78" s="1893"/>
      <c r="C78" s="1893"/>
      <c r="D78" s="1893"/>
      <c r="E78" s="1893"/>
      <c r="F78" s="1893"/>
      <c r="G78" s="1893"/>
      <c r="H78" s="1893"/>
      <c r="I78" s="1894"/>
    </row>
    <row r="79" spans="1:9" x14ac:dyDescent="0.4">
      <c r="A79" s="1881" t="s">
        <v>475</v>
      </c>
      <c r="B79" s="1882"/>
      <c r="C79" s="1882"/>
      <c r="D79" s="1882"/>
      <c r="E79" s="1882"/>
      <c r="F79" s="1882"/>
      <c r="G79" s="1882"/>
      <c r="H79" s="1882"/>
      <c r="I79" s="1883"/>
    </row>
    <row r="80" spans="1:9" x14ac:dyDescent="0.4">
      <c r="A80" s="1884"/>
      <c r="B80" s="1885"/>
      <c r="C80" s="1885"/>
      <c r="D80" s="1885"/>
      <c r="E80" s="1885"/>
      <c r="F80" s="1885"/>
      <c r="G80" s="1885"/>
      <c r="H80" s="1885"/>
      <c r="I80" s="1886"/>
    </row>
    <row r="81" spans="1:9" x14ac:dyDescent="0.4">
      <c r="A81" s="1884"/>
      <c r="B81" s="1885"/>
      <c r="C81" s="1885"/>
      <c r="D81" s="1885"/>
      <c r="E81" s="1885"/>
      <c r="F81" s="1885"/>
      <c r="G81" s="1885"/>
      <c r="H81" s="1885"/>
      <c r="I81" s="1886"/>
    </row>
    <row r="82" spans="1:9" x14ac:dyDescent="0.4">
      <c r="A82" s="1884"/>
      <c r="B82" s="1885"/>
      <c r="C82" s="1885"/>
      <c r="D82" s="1885"/>
      <c r="E82" s="1885"/>
      <c r="F82" s="1885"/>
      <c r="G82" s="1885"/>
      <c r="H82" s="1885"/>
      <c r="I82" s="1886"/>
    </row>
    <row r="83" spans="1:9" x14ac:dyDescent="0.4">
      <c r="A83" s="1884"/>
      <c r="B83" s="1885"/>
      <c r="C83" s="1885"/>
      <c r="D83" s="1885"/>
      <c r="E83" s="1885"/>
      <c r="F83" s="1885"/>
      <c r="G83" s="1885"/>
      <c r="H83" s="1885"/>
      <c r="I83" s="1886"/>
    </row>
    <row r="84" spans="1:9" x14ac:dyDescent="0.4">
      <c r="A84" s="1884"/>
      <c r="B84" s="1885"/>
      <c r="C84" s="1885"/>
      <c r="D84" s="1885"/>
      <c r="E84" s="1885"/>
      <c r="F84" s="1885"/>
      <c r="G84" s="1885"/>
      <c r="H84" s="1885"/>
      <c r="I84" s="1886"/>
    </row>
    <row r="85" spans="1:9" x14ac:dyDescent="0.4">
      <c r="A85" s="1884"/>
      <c r="B85" s="1885"/>
      <c r="C85" s="1885"/>
      <c r="D85" s="1885"/>
      <c r="E85" s="1885"/>
      <c r="F85" s="1885"/>
      <c r="G85" s="1885"/>
      <c r="H85" s="1885"/>
      <c r="I85" s="1886"/>
    </row>
    <row r="86" spans="1:9" x14ac:dyDescent="0.4">
      <c r="A86" s="1884"/>
      <c r="B86" s="1885"/>
      <c r="C86" s="1885"/>
      <c r="D86" s="1885"/>
      <c r="E86" s="1885"/>
      <c r="F86" s="1885"/>
      <c r="G86" s="1885"/>
      <c r="H86" s="1885"/>
      <c r="I86" s="1886"/>
    </row>
    <row r="87" spans="1:9" x14ac:dyDescent="0.4">
      <c r="A87" s="1884"/>
      <c r="B87" s="1885"/>
      <c r="C87" s="1885"/>
      <c r="D87" s="1885"/>
      <c r="E87" s="1885"/>
      <c r="F87" s="1885"/>
      <c r="G87" s="1885"/>
      <c r="H87" s="1885"/>
      <c r="I87" s="1886"/>
    </row>
    <row r="88" spans="1:9" x14ac:dyDescent="0.4">
      <c r="A88" s="1884"/>
      <c r="B88" s="1885"/>
      <c r="C88" s="1885"/>
      <c r="D88" s="1885"/>
      <c r="E88" s="1885"/>
      <c r="F88" s="1885"/>
      <c r="G88" s="1885"/>
      <c r="H88" s="1885"/>
      <c r="I88" s="1886"/>
    </row>
    <row r="89" spans="1:9" x14ac:dyDescent="0.4">
      <c r="A89" s="1887"/>
      <c r="B89" s="1888"/>
      <c r="C89" s="1888"/>
      <c r="D89" s="1888"/>
      <c r="E89" s="1888"/>
      <c r="F89" s="1888"/>
      <c r="G89" s="1888"/>
      <c r="H89" s="1888"/>
      <c r="I89" s="1889"/>
    </row>
  </sheetData>
  <sheetProtection password="B984" sheet="1" formatColumns="0" selectLockedCells="1"/>
  <mergeCells count="24">
    <mergeCell ref="B23:I23"/>
    <mergeCell ref="B12:I12"/>
    <mergeCell ref="B13:I13"/>
    <mergeCell ref="B14:I14"/>
    <mergeCell ref="B15:I15"/>
    <mergeCell ref="B16:I16"/>
    <mergeCell ref="B17:I17"/>
    <mergeCell ref="B18:I18"/>
    <mergeCell ref="B19:I19"/>
    <mergeCell ref="B20:I20"/>
    <mergeCell ref="B21:I21"/>
    <mergeCell ref="B22:I22"/>
    <mergeCell ref="A79:I89"/>
    <mergeCell ref="B24:I24"/>
    <mergeCell ref="B25:I25"/>
    <mergeCell ref="B26:I26"/>
    <mergeCell ref="B27:I27"/>
    <mergeCell ref="A78:I78"/>
    <mergeCell ref="E31:F31"/>
    <mergeCell ref="G31:H31"/>
    <mergeCell ref="F49:H49"/>
    <mergeCell ref="G51:G54"/>
    <mergeCell ref="H51:H54"/>
    <mergeCell ref="A31:D31"/>
  </mergeCells>
  <conditionalFormatting sqref="E55:E62">
    <cfRule type="dataBar" priority="2">
      <dataBar>
        <cfvo type="min"/>
        <cfvo type="max"/>
        <color rgb="FFFFB628"/>
      </dataBar>
      <extLst>
        <ext xmlns:x14="http://schemas.microsoft.com/office/spreadsheetml/2009/9/main" uri="{B025F937-C7B1-47D3-B67F-A62EFF666E3E}">
          <x14:id>{FD0640FF-B27E-4627-B3FE-8C2CC34875FB}</x14:id>
        </ext>
      </extLst>
    </cfRule>
  </conditionalFormatting>
  <conditionalFormatting sqref="F55:F62">
    <cfRule type="dataBar" priority="1">
      <dataBar>
        <cfvo type="min"/>
        <cfvo type="max"/>
        <color rgb="FFFFB628"/>
      </dataBar>
      <extLst>
        <ext xmlns:x14="http://schemas.microsoft.com/office/spreadsheetml/2009/9/main" uri="{B025F937-C7B1-47D3-B67F-A62EFF666E3E}">
          <x14:id>{17F4A327-40B4-43FC-8456-AD865277F3B1}</x14:id>
        </ext>
      </extLst>
    </cfRule>
  </conditionalFormatting>
  <pageMargins left="0.7" right="0.7" top="0.78740157499999996" bottom="0.78740157499999996"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FD0640FF-B27E-4627-B3FE-8C2CC34875FB}">
            <x14:dataBar minLength="0" maxLength="100" border="1" negativeBarBorderColorSameAsPositive="0">
              <x14:cfvo type="autoMin"/>
              <x14:cfvo type="autoMax"/>
              <x14:borderColor rgb="FFFFB628"/>
              <x14:negativeFillColor rgb="FFFF0000"/>
              <x14:negativeBorderColor rgb="FFFF0000"/>
              <x14:axisColor rgb="FF000000"/>
            </x14:dataBar>
          </x14:cfRule>
          <xm:sqref>E55:E62</xm:sqref>
        </x14:conditionalFormatting>
        <x14:conditionalFormatting xmlns:xm="http://schemas.microsoft.com/office/excel/2006/main">
          <x14:cfRule type="dataBar" id="{17F4A327-40B4-43FC-8456-AD865277F3B1}">
            <x14:dataBar minLength="0" maxLength="100" border="1" negativeBarBorderColorSameAsPositive="0">
              <x14:cfvo type="autoMin"/>
              <x14:cfvo type="autoMax"/>
              <x14:borderColor rgb="FFFFB628"/>
              <x14:negativeFillColor rgb="FFFF0000"/>
              <x14:negativeBorderColor rgb="FFFF0000"/>
              <x14:axisColor rgb="FF000000"/>
            </x14:dataBar>
          </x14:cfRule>
          <xm:sqref>F55:F62</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A1:N27"/>
  <sheetViews>
    <sheetView showGridLines="0" topLeftCell="A5" zoomScaleNormal="100" workbookViewId="0">
      <selection activeCell="E5" sqref="E5:F5"/>
    </sheetView>
  </sheetViews>
  <sheetFormatPr baseColWidth="10" defaultColWidth="10.6640625" defaultRowHeight="13.15" x14ac:dyDescent="0.4"/>
  <cols>
    <col min="1" max="1" width="2.21875" style="21" customWidth="1"/>
    <col min="2" max="4" width="6.88671875" style="21" customWidth="1"/>
    <col min="5" max="6" width="6.109375" style="21" customWidth="1"/>
    <col min="7" max="7" width="6.6640625" style="21" customWidth="1"/>
    <col min="8" max="9" width="6.109375" style="21" customWidth="1"/>
    <col min="10" max="10" width="6.6640625" style="21" customWidth="1"/>
    <col min="11" max="11" width="6.109375" style="21" customWidth="1"/>
    <col min="12" max="12" width="7.5" style="21" customWidth="1"/>
    <col min="13" max="13" width="3.88671875" style="21" customWidth="1"/>
    <col min="14" max="16384" width="10.6640625" style="21"/>
  </cols>
  <sheetData>
    <row r="1" spans="1:14" ht="18" x14ac:dyDescent="0.55000000000000004">
      <c r="A1" s="16" t="s">
        <v>118</v>
      </c>
      <c r="B1" s="32"/>
      <c r="C1" s="32"/>
      <c r="D1" s="32"/>
      <c r="E1" s="20" t="s">
        <v>32</v>
      </c>
      <c r="F1" s="1975" t="str">
        <f>Projekt!D10</f>
        <v>Musterprojekt Malerhandbuch 2022</v>
      </c>
      <c r="G1" s="1976"/>
      <c r="H1" s="1976"/>
      <c r="I1" s="1976"/>
      <c r="J1" s="1976"/>
      <c r="K1" s="1976"/>
      <c r="L1" s="1976"/>
    </row>
    <row r="2" spans="1:14" ht="17.45" customHeight="1" x14ac:dyDescent="0.4">
      <c r="A2" s="1964" t="str">
        <f ca="1">Projekt!D7</f>
        <v>Malerhandbuch 2022</v>
      </c>
      <c r="B2" s="1965"/>
      <c r="C2" s="1965"/>
      <c r="D2" s="1965"/>
      <c r="E2" s="1966"/>
      <c r="F2" s="1975"/>
      <c r="G2" s="1976"/>
      <c r="H2" s="1976"/>
      <c r="I2" s="1977"/>
      <c r="J2" s="1977"/>
      <c r="K2" s="1977"/>
      <c r="L2" s="1977"/>
    </row>
    <row r="3" spans="1:14" ht="17.45" customHeight="1" x14ac:dyDescent="0.4">
      <c r="A3" s="1967" t="str">
        <f>IF(Projekt!D8&lt;&gt;0,Projekt!D8,"")</f>
        <v>Musterkalkulation</v>
      </c>
      <c r="B3" s="1968"/>
      <c r="C3" s="1968"/>
      <c r="D3" s="1968"/>
      <c r="E3" s="1969"/>
      <c r="F3" s="18" t="s">
        <v>266</v>
      </c>
      <c r="G3" s="1921" t="str">
        <f>Projekt!B14</f>
        <v>Gz-Uxx</v>
      </c>
      <c r="H3" s="1922"/>
      <c r="I3" s="1924" t="s">
        <v>1</v>
      </c>
      <c r="J3" s="1925"/>
      <c r="K3" s="1911">
        <f>Projekt!F14</f>
        <v>44686</v>
      </c>
      <c r="L3" s="1912"/>
    </row>
    <row r="4" spans="1:14" ht="17.45" customHeight="1" thickBot="1" x14ac:dyDescent="0.45">
      <c r="A4" s="1970" t="str">
        <f>IF(Projekt!D9&lt;&gt;0,Projekt!D9,"")</f>
        <v/>
      </c>
      <c r="B4" s="1971"/>
      <c r="C4" s="1971"/>
      <c r="D4" s="1971"/>
      <c r="E4" s="1972"/>
      <c r="F4" s="19" t="s">
        <v>267</v>
      </c>
      <c r="G4" s="1978" t="str">
        <f>Projekt!B15</f>
        <v>AG-NNN</v>
      </c>
      <c r="H4" s="1978"/>
      <c r="I4" s="1923" t="s">
        <v>119</v>
      </c>
      <c r="J4" s="1923"/>
      <c r="K4" s="1923"/>
      <c r="L4" s="1923"/>
    </row>
    <row r="5" spans="1:14" ht="22.9" customHeight="1" x14ac:dyDescent="0.4">
      <c r="A5" s="1917"/>
      <c r="B5" s="1913" t="s">
        <v>71</v>
      </c>
      <c r="C5" s="1919"/>
      <c r="D5" s="1913" t="s">
        <v>389</v>
      </c>
      <c r="E5" s="1973" t="s">
        <v>641</v>
      </c>
      <c r="F5" s="1974"/>
      <c r="G5" s="1917" t="s">
        <v>121</v>
      </c>
      <c r="H5" s="1913" t="s">
        <v>122</v>
      </c>
      <c r="I5" s="1919"/>
      <c r="J5" s="1917" t="s">
        <v>73</v>
      </c>
      <c r="K5" s="1913" t="s">
        <v>74</v>
      </c>
      <c r="L5" s="1919"/>
    </row>
    <row r="6" spans="1:14" ht="36.4" customHeight="1" x14ac:dyDescent="0.4">
      <c r="A6" s="1917"/>
      <c r="B6" s="1914"/>
      <c r="C6" s="1920"/>
      <c r="D6" s="1914"/>
      <c r="E6" s="1915" t="s">
        <v>587</v>
      </c>
      <c r="F6" s="1916"/>
      <c r="G6" s="1918"/>
      <c r="H6" s="1914"/>
      <c r="I6" s="1920"/>
      <c r="J6" s="1918"/>
      <c r="K6" s="1914"/>
      <c r="L6" s="1920"/>
    </row>
    <row r="7" spans="1:14" ht="13.15" customHeight="1" x14ac:dyDescent="0.4">
      <c r="A7" s="1917"/>
      <c r="B7" s="1940"/>
      <c r="C7" s="1963"/>
      <c r="D7" s="1942" t="s">
        <v>124</v>
      </c>
      <c r="E7" s="1942" t="s">
        <v>272</v>
      </c>
      <c r="F7" s="17" t="s">
        <v>78</v>
      </c>
      <c r="G7" s="17" t="s">
        <v>78</v>
      </c>
      <c r="H7" s="1942" t="s">
        <v>275</v>
      </c>
      <c r="I7" s="17" t="s">
        <v>78</v>
      </c>
      <c r="J7" s="17" t="s">
        <v>78</v>
      </c>
      <c r="K7" s="1942" t="s">
        <v>278</v>
      </c>
      <c r="L7" s="17" t="s">
        <v>78</v>
      </c>
    </row>
    <row r="8" spans="1:14" x14ac:dyDescent="0.4">
      <c r="A8" s="1918"/>
      <c r="B8" s="1914"/>
      <c r="C8" s="1920"/>
      <c r="D8" s="1943"/>
      <c r="E8" s="1943"/>
      <c r="F8" s="24" t="s">
        <v>273</v>
      </c>
      <c r="G8" s="24" t="s">
        <v>274</v>
      </c>
      <c r="H8" s="1943"/>
      <c r="I8" s="24" t="s">
        <v>276</v>
      </c>
      <c r="J8" s="24" t="s">
        <v>277</v>
      </c>
      <c r="K8" s="1943"/>
      <c r="L8" s="24" t="s">
        <v>279</v>
      </c>
    </row>
    <row r="9" spans="1:14" ht="13.5" thickBot="1" x14ac:dyDescent="0.45">
      <c r="A9" s="505" t="s">
        <v>10</v>
      </c>
      <c r="B9" s="1979" t="s">
        <v>11</v>
      </c>
      <c r="C9" s="1979"/>
      <c r="D9" s="505" t="s">
        <v>271</v>
      </c>
      <c r="E9" s="505" t="s">
        <v>12</v>
      </c>
      <c r="F9" s="505" t="s">
        <v>13</v>
      </c>
      <c r="G9" s="505" t="s">
        <v>14</v>
      </c>
      <c r="H9" s="505" t="s">
        <v>15</v>
      </c>
      <c r="I9" s="505" t="s">
        <v>16</v>
      </c>
      <c r="J9" s="505" t="s">
        <v>0</v>
      </c>
      <c r="K9" s="505" t="s">
        <v>17</v>
      </c>
      <c r="L9" s="505" t="s">
        <v>18</v>
      </c>
    </row>
    <row r="10" spans="1:14" ht="24" customHeight="1" x14ac:dyDescent="0.4">
      <c r="A10" s="25">
        <v>1</v>
      </c>
      <c r="B10" s="1941" t="s">
        <v>591</v>
      </c>
      <c r="C10" s="1941"/>
      <c r="D10" s="26">
        <v>1</v>
      </c>
      <c r="E10" s="804">
        <f>'K2a Z f ...'!K23</f>
        <v>0</v>
      </c>
      <c r="F10" s="801">
        <f>E10*D10</f>
        <v>0</v>
      </c>
      <c r="G10" s="801">
        <f>F10+D10</f>
        <v>1</v>
      </c>
      <c r="H10" s="805">
        <v>0.12</v>
      </c>
      <c r="I10" s="801">
        <f>G10*H10</f>
        <v>0.12</v>
      </c>
      <c r="J10" s="801">
        <f>I10+G10</f>
        <v>1.1200000000000001</v>
      </c>
      <c r="K10" s="805">
        <v>1.2E-2</v>
      </c>
      <c r="L10" s="801">
        <f>J10*K10</f>
        <v>1.3440000000000001E-2</v>
      </c>
    </row>
    <row r="11" spans="1:14" ht="24" customHeight="1" x14ac:dyDescent="0.4">
      <c r="A11" s="22">
        <v>2</v>
      </c>
      <c r="B11" s="1941"/>
      <c r="C11" s="1941"/>
      <c r="D11" s="23">
        <v>1</v>
      </c>
      <c r="E11" s="804">
        <f>'K2a Z f ...'!K24</f>
        <v>0</v>
      </c>
      <c r="F11" s="801">
        <f>E11*D11</f>
        <v>0</v>
      </c>
      <c r="G11" s="801">
        <f>F11+D11</f>
        <v>1</v>
      </c>
      <c r="H11" s="805"/>
      <c r="I11" s="801">
        <f>G11*H11</f>
        <v>0</v>
      </c>
      <c r="J11" s="801">
        <f>I11+G11</f>
        <v>1</v>
      </c>
      <c r="K11" s="805"/>
      <c r="L11" s="801">
        <f>J11*K11</f>
        <v>0</v>
      </c>
    </row>
    <row r="12" spans="1:14" ht="24" customHeight="1" x14ac:dyDescent="0.4">
      <c r="A12" s="22">
        <v>3</v>
      </c>
      <c r="B12" s="1941"/>
      <c r="C12" s="1941"/>
      <c r="D12" s="23">
        <v>1</v>
      </c>
      <c r="E12" s="804">
        <f>'K2a Z f ...'!K25</f>
        <v>0</v>
      </c>
      <c r="F12" s="801">
        <f t="shared" ref="F12:F15" si="0">E12*D12</f>
        <v>0</v>
      </c>
      <c r="G12" s="801">
        <f t="shared" ref="G12:G15" si="1">F12+D12</f>
        <v>1</v>
      </c>
      <c r="H12" s="805"/>
      <c r="I12" s="801">
        <f t="shared" ref="I12:I15" si="2">G12*H12</f>
        <v>0</v>
      </c>
      <c r="J12" s="801">
        <f t="shared" ref="J12:J15" si="3">I12+G12</f>
        <v>1</v>
      </c>
      <c r="K12" s="805"/>
      <c r="L12" s="801">
        <f t="shared" ref="L12:L15" si="4">J12*K12</f>
        <v>0</v>
      </c>
    </row>
    <row r="13" spans="1:14" ht="24" customHeight="1" x14ac:dyDescent="0.4">
      <c r="A13" s="22">
        <v>4</v>
      </c>
      <c r="B13" s="1941"/>
      <c r="C13" s="1941"/>
      <c r="D13" s="23">
        <v>1</v>
      </c>
      <c r="E13" s="804">
        <f>'K2a Z f ...'!K26</f>
        <v>0</v>
      </c>
      <c r="F13" s="801">
        <f t="shared" si="0"/>
        <v>0</v>
      </c>
      <c r="G13" s="801">
        <f t="shared" si="1"/>
        <v>1</v>
      </c>
      <c r="H13" s="805"/>
      <c r="I13" s="801">
        <f t="shared" si="2"/>
        <v>0</v>
      </c>
      <c r="J13" s="801">
        <f t="shared" si="3"/>
        <v>1</v>
      </c>
      <c r="K13" s="805"/>
      <c r="L13" s="801">
        <f t="shared" si="4"/>
        <v>0</v>
      </c>
    </row>
    <row r="14" spans="1:14" ht="24" customHeight="1" x14ac:dyDescent="0.4">
      <c r="A14" s="22">
        <v>5</v>
      </c>
      <c r="B14" s="1941"/>
      <c r="C14" s="1941"/>
      <c r="D14" s="23">
        <v>1</v>
      </c>
      <c r="E14" s="804">
        <f>'K2a Z f ...'!K27</f>
        <v>0</v>
      </c>
      <c r="F14" s="801">
        <f t="shared" si="0"/>
        <v>0</v>
      </c>
      <c r="G14" s="801">
        <f t="shared" si="1"/>
        <v>1</v>
      </c>
      <c r="H14" s="805"/>
      <c r="I14" s="801">
        <f t="shared" si="2"/>
        <v>0</v>
      </c>
      <c r="J14" s="801">
        <f t="shared" si="3"/>
        <v>1</v>
      </c>
      <c r="K14" s="805"/>
      <c r="L14" s="801">
        <f t="shared" si="4"/>
        <v>0</v>
      </c>
    </row>
    <row r="15" spans="1:14" ht="24" customHeight="1" thickBot="1" x14ac:dyDescent="0.45">
      <c r="A15" s="22">
        <v>6</v>
      </c>
      <c r="B15" s="1941"/>
      <c r="C15" s="1941"/>
      <c r="D15" s="23">
        <v>1</v>
      </c>
      <c r="E15" s="804">
        <f>'K2a Z f ...'!K28</f>
        <v>0</v>
      </c>
      <c r="F15" s="801">
        <f t="shared" si="0"/>
        <v>0</v>
      </c>
      <c r="G15" s="801">
        <f t="shared" si="1"/>
        <v>1</v>
      </c>
      <c r="H15" s="806"/>
      <c r="I15" s="802">
        <f t="shared" si="2"/>
        <v>0</v>
      </c>
      <c r="J15" s="802">
        <f t="shared" si="3"/>
        <v>1</v>
      </c>
      <c r="K15" s="806"/>
      <c r="L15" s="802">
        <f t="shared" si="4"/>
        <v>0</v>
      </c>
    </row>
    <row r="16" spans="1:14" ht="34.5" customHeight="1" x14ac:dyDescent="0.4">
      <c r="A16" s="1961"/>
      <c r="B16" s="1961" t="s">
        <v>75</v>
      </c>
      <c r="C16" s="1940" t="s">
        <v>76</v>
      </c>
      <c r="D16" s="1963"/>
      <c r="E16" s="1940" t="s">
        <v>77</v>
      </c>
      <c r="F16" s="1963"/>
      <c r="G16" s="1940" t="s">
        <v>123</v>
      </c>
      <c r="H16" s="1930" t="s">
        <v>120</v>
      </c>
      <c r="I16" s="1931"/>
      <c r="J16" s="1931"/>
      <c r="K16" s="1931"/>
      <c r="L16" s="1932"/>
      <c r="N16" s="1926" t="s">
        <v>670</v>
      </c>
    </row>
    <row r="17" spans="1:14" ht="25.35" customHeight="1" x14ac:dyDescent="0.4">
      <c r="A17" s="1917"/>
      <c r="B17" s="1918"/>
      <c r="C17" s="1914"/>
      <c r="D17" s="1920"/>
      <c r="E17" s="1914"/>
      <c r="F17" s="1920"/>
      <c r="G17" s="1914"/>
      <c r="H17" s="1933"/>
      <c r="I17" s="1934"/>
      <c r="J17" s="1934"/>
      <c r="K17" s="1934"/>
      <c r="L17" s="1935"/>
      <c r="N17" s="1927"/>
    </row>
    <row r="18" spans="1:14" ht="15" customHeight="1" x14ac:dyDescent="0.4">
      <c r="A18" s="1917"/>
      <c r="B18" s="17" t="s">
        <v>78</v>
      </c>
      <c r="C18" s="1942" t="s">
        <v>281</v>
      </c>
      <c r="D18" s="17" t="s">
        <v>78</v>
      </c>
      <c r="E18" s="1942" t="s">
        <v>281</v>
      </c>
      <c r="F18" s="17" t="s">
        <v>78</v>
      </c>
      <c r="G18" s="248" t="s">
        <v>78</v>
      </c>
      <c r="H18" s="1938"/>
      <c r="I18" s="1939"/>
      <c r="J18" s="1939"/>
      <c r="K18" s="1939"/>
      <c r="L18" s="517" t="s">
        <v>79</v>
      </c>
      <c r="N18" s="1928">
        <f ca="1">IFERROR(Projekt!H279,"Noch nicht errechenbar!")</f>
        <v>45</v>
      </c>
    </row>
    <row r="19" spans="1:14" ht="15" customHeight="1" x14ac:dyDescent="0.4">
      <c r="A19" s="1917"/>
      <c r="B19" s="24" t="s">
        <v>280</v>
      </c>
      <c r="C19" s="1943"/>
      <c r="D19" s="24" t="s">
        <v>282</v>
      </c>
      <c r="E19" s="1943"/>
      <c r="F19" s="24" t="s">
        <v>283</v>
      </c>
      <c r="G19" s="289" t="s">
        <v>284</v>
      </c>
      <c r="H19" s="1938"/>
      <c r="I19" s="1939"/>
      <c r="J19" s="1939"/>
      <c r="K19" s="1939"/>
      <c r="L19" s="290" t="s">
        <v>285</v>
      </c>
      <c r="N19" s="1929"/>
    </row>
    <row r="20" spans="1:14" ht="15.4" customHeight="1" thickBot="1" x14ac:dyDescent="0.45">
      <c r="A20" s="1962"/>
      <c r="B20" s="505" t="s">
        <v>19</v>
      </c>
      <c r="C20" s="505" t="s">
        <v>20</v>
      </c>
      <c r="D20" s="505" t="s">
        <v>24</v>
      </c>
      <c r="E20" s="505" t="s">
        <v>4</v>
      </c>
      <c r="F20" s="505" t="s">
        <v>5</v>
      </c>
      <c r="G20" s="62" t="s">
        <v>6</v>
      </c>
      <c r="H20" s="1936" t="s">
        <v>296</v>
      </c>
      <c r="I20" s="1937"/>
      <c r="J20" s="1937"/>
      <c r="K20" s="1937"/>
      <c r="L20" s="63" t="s">
        <v>295</v>
      </c>
      <c r="N20" s="1909">
        <f ca="1">IFERROR(Projekt!H279/60,"Noch nicht errechenbar!")</f>
        <v>0.75</v>
      </c>
    </row>
    <row r="21" spans="1:14" ht="24.4" customHeight="1" x14ac:dyDescent="0.4">
      <c r="A21" s="25">
        <v>1</v>
      </c>
      <c r="B21" s="801">
        <f>L10+J10</f>
        <v>1.13344</v>
      </c>
      <c r="C21" s="805">
        <v>0.03</v>
      </c>
      <c r="D21" s="801">
        <f>B21*C21</f>
        <v>3.4000000000000002E-2</v>
      </c>
      <c r="E21" s="805">
        <v>0.05</v>
      </c>
      <c r="F21" s="801">
        <f>B21*E21</f>
        <v>5.6669999999999998E-2</v>
      </c>
      <c r="G21" s="803">
        <f>B21+D21+F21</f>
        <v>1.22411</v>
      </c>
      <c r="H21" s="1947" t="str">
        <f>IF(B10=0,"",B10)</f>
        <v>Alle Kostenarten</v>
      </c>
      <c r="I21" s="1948"/>
      <c r="J21" s="1948"/>
      <c r="K21" s="1949"/>
      <c r="L21" s="807">
        <f>IF(H21&lt;&gt;"",G21-D10,"")</f>
        <v>0.22411</v>
      </c>
      <c r="N21" s="1910"/>
    </row>
    <row r="22" spans="1:14" ht="24.4" customHeight="1" x14ac:dyDescent="0.4">
      <c r="A22" s="22">
        <v>2</v>
      </c>
      <c r="B22" s="801">
        <f t="shared" ref="B22:B26" si="5">L11+J11</f>
        <v>1</v>
      </c>
      <c r="C22" s="805"/>
      <c r="D22" s="801">
        <f t="shared" ref="D22:D26" si="6">B22*C22</f>
        <v>0</v>
      </c>
      <c r="E22" s="805"/>
      <c r="F22" s="801">
        <f t="shared" ref="F22:F26" si="7">B22*E22</f>
        <v>0</v>
      </c>
      <c r="G22" s="803">
        <f t="shared" ref="G22:G26" si="8">B22+D22+F22</f>
        <v>1</v>
      </c>
      <c r="H22" s="1944" t="str">
        <f t="shared" ref="H22:H26" si="9">IF(B11=0,"",B11)</f>
        <v/>
      </c>
      <c r="I22" s="1945"/>
      <c r="J22" s="1945"/>
      <c r="K22" s="1946"/>
      <c r="L22" s="808" t="str">
        <f t="shared" ref="L22:L26" si="10">IF(H22&lt;&gt;"",G22-D11,"")</f>
        <v/>
      </c>
    </row>
    <row r="23" spans="1:14" ht="24.4" customHeight="1" x14ac:dyDescent="0.4">
      <c r="A23" s="22">
        <v>3</v>
      </c>
      <c r="B23" s="801">
        <f t="shared" si="5"/>
        <v>1</v>
      </c>
      <c r="C23" s="805"/>
      <c r="D23" s="801">
        <f t="shared" si="6"/>
        <v>0</v>
      </c>
      <c r="E23" s="805"/>
      <c r="F23" s="801">
        <f t="shared" si="7"/>
        <v>0</v>
      </c>
      <c r="G23" s="803">
        <f t="shared" si="8"/>
        <v>1</v>
      </c>
      <c r="H23" s="1950" t="str">
        <f t="shared" si="9"/>
        <v/>
      </c>
      <c r="I23" s="1951"/>
      <c r="J23" s="1951"/>
      <c r="K23" s="1952"/>
      <c r="L23" s="809" t="str">
        <f t="shared" si="10"/>
        <v/>
      </c>
    </row>
    <row r="24" spans="1:14" ht="24.4" customHeight="1" x14ac:dyDescent="0.4">
      <c r="A24" s="22">
        <v>4</v>
      </c>
      <c r="B24" s="801">
        <f t="shared" si="5"/>
        <v>1</v>
      </c>
      <c r="C24" s="805"/>
      <c r="D24" s="801">
        <f t="shared" si="6"/>
        <v>0</v>
      </c>
      <c r="E24" s="805"/>
      <c r="F24" s="801">
        <f t="shared" si="7"/>
        <v>0</v>
      </c>
      <c r="G24" s="803">
        <f t="shared" si="8"/>
        <v>1</v>
      </c>
      <c r="H24" s="1944" t="str">
        <f t="shared" si="9"/>
        <v/>
      </c>
      <c r="I24" s="1945"/>
      <c r="J24" s="1945"/>
      <c r="K24" s="1946"/>
      <c r="L24" s="808" t="str">
        <f t="shared" si="10"/>
        <v/>
      </c>
    </row>
    <row r="25" spans="1:14" ht="24.4" customHeight="1" x14ac:dyDescent="0.4">
      <c r="A25" s="22">
        <v>5</v>
      </c>
      <c r="B25" s="801">
        <f t="shared" si="5"/>
        <v>1</v>
      </c>
      <c r="C25" s="805"/>
      <c r="D25" s="801">
        <f t="shared" si="6"/>
        <v>0</v>
      </c>
      <c r="E25" s="805"/>
      <c r="F25" s="801">
        <f t="shared" si="7"/>
        <v>0</v>
      </c>
      <c r="G25" s="803">
        <f t="shared" si="8"/>
        <v>1</v>
      </c>
      <c r="H25" s="1944" t="str">
        <f t="shared" si="9"/>
        <v/>
      </c>
      <c r="I25" s="1945"/>
      <c r="J25" s="1945"/>
      <c r="K25" s="1946"/>
      <c r="L25" s="808" t="str">
        <f t="shared" si="10"/>
        <v/>
      </c>
    </row>
    <row r="26" spans="1:14" ht="24.4" customHeight="1" x14ac:dyDescent="0.4">
      <c r="A26" s="1025">
        <v>6</v>
      </c>
      <c r="B26" s="1026">
        <f t="shared" si="5"/>
        <v>1</v>
      </c>
      <c r="C26" s="1027"/>
      <c r="D26" s="1026">
        <f t="shared" si="6"/>
        <v>0</v>
      </c>
      <c r="E26" s="1027"/>
      <c r="F26" s="1026">
        <f t="shared" si="7"/>
        <v>0</v>
      </c>
      <c r="G26" s="1028">
        <f t="shared" si="8"/>
        <v>1</v>
      </c>
      <c r="H26" s="1950" t="str">
        <f t="shared" si="9"/>
        <v/>
      </c>
      <c r="I26" s="1951"/>
      <c r="J26" s="1951"/>
      <c r="K26" s="1952"/>
      <c r="L26" s="809" t="str">
        <f t="shared" si="10"/>
        <v/>
      </c>
    </row>
    <row r="27" spans="1:14" ht="52.5" customHeight="1" x14ac:dyDescent="0.4">
      <c r="A27" s="1953" t="str">
        <f>' K3 PP'!A47</f>
        <v>Vers. 3.0      
Lizenziert für:</v>
      </c>
      <c r="B27" s="1954"/>
      <c r="C27" s="1953" t="str">
        <f ca="1">' K3 PP'!D47</f>
        <v xml:space="preserve">Malerhandbuch 2022 </v>
      </c>
      <c r="D27" s="1954"/>
      <c r="E27" s="1954"/>
      <c r="F27" s="1955"/>
      <c r="G27" s="1956"/>
      <c r="H27" s="1957"/>
      <c r="I27" s="1957"/>
      <c r="J27" s="1958"/>
      <c r="K27" s="1959" t="s">
        <v>691</v>
      </c>
      <c r="L27" s="1960"/>
    </row>
  </sheetData>
  <sheetProtection password="B984" sheet="1" formatColumns="0" selectLockedCells="1"/>
  <mergeCells count="53">
    <mergeCell ref="B9:C9"/>
    <mergeCell ref="B14:C14"/>
    <mergeCell ref="B10:C10"/>
    <mergeCell ref="B11:C11"/>
    <mergeCell ref="B12:C12"/>
    <mergeCell ref="B13:C13"/>
    <mergeCell ref="A2:E2"/>
    <mergeCell ref="A3:E3"/>
    <mergeCell ref="A4:E4"/>
    <mergeCell ref="E5:F5"/>
    <mergeCell ref="F1:L2"/>
    <mergeCell ref="A5:A8"/>
    <mergeCell ref="G4:H4"/>
    <mergeCell ref="B5:C6"/>
    <mergeCell ref="B7:C8"/>
    <mergeCell ref="K7:K8"/>
    <mergeCell ref="D7:D8"/>
    <mergeCell ref="E7:E8"/>
    <mergeCell ref="H7:H8"/>
    <mergeCell ref="A16:A20"/>
    <mergeCell ref="B16:B17"/>
    <mergeCell ref="C16:D17"/>
    <mergeCell ref="E16:F17"/>
    <mergeCell ref="E18:E19"/>
    <mergeCell ref="H23:K23"/>
    <mergeCell ref="H24:K24"/>
    <mergeCell ref="H25:K25"/>
    <mergeCell ref="A27:B27"/>
    <mergeCell ref="C27:F27"/>
    <mergeCell ref="G27:J27"/>
    <mergeCell ref="K27:L27"/>
    <mergeCell ref="H26:K26"/>
    <mergeCell ref="G16:G17"/>
    <mergeCell ref="B15:C15"/>
    <mergeCell ref="C18:C19"/>
    <mergeCell ref="H22:K22"/>
    <mergeCell ref="H21:K21"/>
    <mergeCell ref="N20:N21"/>
    <mergeCell ref="K3:L3"/>
    <mergeCell ref="D5:D6"/>
    <mergeCell ref="E6:F6"/>
    <mergeCell ref="G5:G6"/>
    <mergeCell ref="J5:J6"/>
    <mergeCell ref="K5:L6"/>
    <mergeCell ref="G3:H3"/>
    <mergeCell ref="H5:I6"/>
    <mergeCell ref="I4:L4"/>
    <mergeCell ref="I3:J3"/>
    <mergeCell ref="N16:N17"/>
    <mergeCell ref="N18:N19"/>
    <mergeCell ref="H16:L17"/>
    <mergeCell ref="H20:K20"/>
    <mergeCell ref="H18:K19"/>
  </mergeCells>
  <conditionalFormatting sqref="A2:E4">
    <cfRule type="expression" dxfId="66" priority="3">
      <formula>_OK?&lt;&gt;"OK!"</formula>
    </cfRule>
  </conditionalFormatting>
  <conditionalFormatting sqref="C27:F27">
    <cfRule type="expression" dxfId="65" priority="2">
      <formula>_OK?&lt;&gt;"OK!"</formula>
    </cfRule>
  </conditionalFormatting>
  <dataValidations count="2">
    <dataValidation type="decimal" errorStyle="warning" allowBlank="1" showInputMessage="1" showErrorMessage="1" error="Hinweis: Wert erscheint hoch (oder ist negativ)!" sqref="C21:C26 E21:E26 K10:K15" xr:uid="{CC9B17CB-BA20-410E-A562-DFE319B9BB8B}">
      <formula1>0</formula1>
      <formula2>0.08</formula2>
    </dataValidation>
    <dataValidation type="decimal" errorStyle="warning" allowBlank="1" showInputMessage="1" showErrorMessage="1" error="Hinweis: Wert erscheint hoch (oder ist negativ)!" sqref="H10:H15 E10:E15" xr:uid="{1B64447B-82FD-47ED-855F-4C9F7759971B}">
      <formula1>0</formula1>
      <formula2>0.2</formula2>
    </dataValidation>
  </dataValidations>
  <hyperlinks>
    <hyperlink ref="E5:F5" location="'K2a Z f ...'!A1" display="Zuschlag für… (Übertrag aus K2a)" xr:uid="{CEA5CFC0-3033-4596-943E-F787887A438B}"/>
  </hyperlinks>
  <pageMargins left="0.59055118110236227" right="0.19685039370078741" top="0.59055118110236227" bottom="0.19685039370078741" header="0.19685039370078741" footer="0.11811023622047245"/>
  <pageSetup paperSize="9" orientation="portrait" r:id="rId1"/>
  <headerFooter>
    <oddFooter>&amp;L&amp;10K2-Blatt
Seite: &amp;P&amp;R&amp;10&amp;F</oddFooter>
  </headerFooter>
  <extLst>
    <ext xmlns:x14="http://schemas.microsoft.com/office/spreadsheetml/2009/9/main" uri="{78C0D931-6437-407d-A8EE-F0AAD7539E65}">
      <x14:conditionalFormattings>
        <x14:conditionalFormatting xmlns:xm="http://schemas.microsoft.com/office/excel/2006/main">
          <x14:cfRule type="expression" priority="1" id="{8902D9CC-708B-4412-92B2-0266F59FF243}">
            <xm:f>Projekt!$F$272="Nein"</xm:f>
            <x14:dxf>
              <font>
                <color theme="0"/>
              </font>
              <border>
                <left style="thin">
                  <color theme="0"/>
                </left>
                <right style="thin">
                  <color theme="0"/>
                </right>
                <bottom style="thin">
                  <color theme="0"/>
                </bottom>
                <vertical/>
                <horizontal/>
              </border>
            </x14:dxf>
          </x14:cfRule>
          <xm:sqref>N20:N21</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3CEF3-8832-451B-84B5-081A3ADF352F}">
  <sheetPr>
    <tabColor theme="7" tint="0.39997558519241921"/>
  </sheetPr>
  <dimension ref="A1:N29"/>
  <sheetViews>
    <sheetView showGridLines="0" zoomScaleNormal="100" workbookViewId="0">
      <selection activeCell="E6" sqref="E6:F6"/>
    </sheetView>
  </sheetViews>
  <sheetFormatPr baseColWidth="10" defaultColWidth="10.6640625" defaultRowHeight="14.25" x14ac:dyDescent="0.45"/>
  <cols>
    <col min="1" max="1" width="1.71875" style="566" customWidth="1"/>
    <col min="2" max="2" width="7.21875" style="566" customWidth="1"/>
    <col min="3" max="3" width="6.33203125" style="566" customWidth="1"/>
    <col min="4" max="4" width="7.21875" style="566" customWidth="1"/>
    <col min="5" max="5" width="6.5546875" style="566" customWidth="1"/>
    <col min="6" max="6" width="6.88671875" style="566" customWidth="1"/>
    <col min="7" max="7" width="7.21875" style="566" customWidth="1"/>
    <col min="8" max="8" width="6.83203125" style="566" customWidth="1"/>
    <col min="9" max="9" width="6.5546875" style="566" customWidth="1"/>
    <col min="10" max="10" width="7.21875" style="566" customWidth="1"/>
    <col min="11" max="12" width="6.88671875" style="566" customWidth="1"/>
    <col min="13" max="13" width="4.609375" style="566" customWidth="1"/>
    <col min="14" max="16384" width="10.6640625" style="566"/>
  </cols>
  <sheetData>
    <row r="1" spans="1:12" s="558" customFormat="1" ht="18" x14ac:dyDescent="0.55000000000000004">
      <c r="A1" s="575" t="s">
        <v>381</v>
      </c>
      <c r="B1" s="576"/>
      <c r="C1" s="576"/>
      <c r="D1" s="576"/>
      <c r="E1" s="577" t="s">
        <v>32</v>
      </c>
      <c r="F1" s="2012" t="str">
        <f>'K2 GZ'!F1</f>
        <v>Musterprojekt Malerhandbuch 2022</v>
      </c>
      <c r="G1" s="2013"/>
      <c r="H1" s="2013"/>
      <c r="I1" s="2013"/>
      <c r="J1" s="2013"/>
      <c r="K1" s="2013"/>
      <c r="L1" s="2013"/>
    </row>
    <row r="2" spans="1:12" s="558" customFormat="1" ht="14.25" customHeight="1" x14ac:dyDescent="0.4">
      <c r="A2" s="1982" t="str">
        <f ca="1">Projekt!D7</f>
        <v>Malerhandbuch 2022</v>
      </c>
      <c r="B2" s="1983"/>
      <c r="C2" s="1983"/>
      <c r="D2" s="1983"/>
      <c r="E2" s="1984"/>
      <c r="F2" s="2012"/>
      <c r="G2" s="2013"/>
      <c r="H2" s="2013"/>
      <c r="I2" s="2014"/>
      <c r="J2" s="2014"/>
      <c r="K2" s="2014"/>
      <c r="L2" s="2014"/>
    </row>
    <row r="3" spans="1:12" s="558" customFormat="1" ht="13.15" x14ac:dyDescent="0.4">
      <c r="A3" s="1991" t="str">
        <f>IF(Projekt!D8&lt;&gt;0,Projekt!D8,"")</f>
        <v>Musterkalkulation</v>
      </c>
      <c r="B3" s="1992"/>
      <c r="C3" s="1992"/>
      <c r="D3" s="1992"/>
      <c r="E3" s="1993"/>
      <c r="F3" s="567" t="s">
        <v>266</v>
      </c>
      <c r="G3" s="2015" t="str">
        <f>'K2 GZ'!G3:H3</f>
        <v>Gz-Uxx</v>
      </c>
      <c r="H3" s="2016"/>
      <c r="I3" s="2017" t="s">
        <v>1</v>
      </c>
      <c r="J3" s="2018"/>
      <c r="K3" s="2019">
        <f>'K2 GZ'!K3:L3</f>
        <v>44686</v>
      </c>
      <c r="L3" s="2020"/>
    </row>
    <row r="4" spans="1:12" s="558" customFormat="1" ht="14.45" customHeight="1" thickBot="1" x14ac:dyDescent="0.45">
      <c r="A4" s="1985" t="str">
        <f>IF(Projekt!D9&lt;&gt;0,Projekt!D9,"")</f>
        <v/>
      </c>
      <c r="B4" s="1986"/>
      <c r="C4" s="1986"/>
      <c r="D4" s="1986"/>
      <c r="E4" s="1987"/>
      <c r="F4" s="568" t="s">
        <v>267</v>
      </c>
      <c r="G4" s="2021" t="str">
        <f>'K2 GZ'!G4:H4</f>
        <v>AG-NNN</v>
      </c>
      <c r="H4" s="2021"/>
      <c r="I4" s="2022" t="s">
        <v>119</v>
      </c>
      <c r="J4" s="2022"/>
      <c r="K4" s="2022"/>
      <c r="L4" s="2022"/>
    </row>
    <row r="5" spans="1:12" s="558" customFormat="1" ht="13.15" customHeight="1" x14ac:dyDescent="0.4">
      <c r="A5" s="578"/>
      <c r="B5" s="1988" t="s">
        <v>482</v>
      </c>
      <c r="C5" s="1989"/>
      <c r="D5" s="1988" t="s">
        <v>483</v>
      </c>
      <c r="E5" s="1988" t="s">
        <v>390</v>
      </c>
      <c r="F5" s="1989"/>
      <c r="G5" s="1980" t="s">
        <v>382</v>
      </c>
      <c r="H5" s="1988" t="s">
        <v>390</v>
      </c>
      <c r="I5" s="1989"/>
      <c r="J5" s="1980" t="s">
        <v>382</v>
      </c>
      <c r="K5" s="1988" t="s">
        <v>390</v>
      </c>
      <c r="L5" s="1989"/>
    </row>
    <row r="6" spans="1:12" s="558" customFormat="1" ht="40.35" customHeight="1" x14ac:dyDescent="0.4">
      <c r="A6" s="578"/>
      <c r="B6" s="1988"/>
      <c r="C6" s="1989"/>
      <c r="D6" s="2006"/>
      <c r="E6" s="2000" t="s">
        <v>683</v>
      </c>
      <c r="F6" s="2001"/>
      <c r="G6" s="1981"/>
      <c r="H6" s="2000" t="s">
        <v>684</v>
      </c>
      <c r="I6" s="2001"/>
      <c r="J6" s="1981"/>
      <c r="K6" s="2000"/>
      <c r="L6" s="2001"/>
    </row>
    <row r="7" spans="1:12" s="558" customFormat="1" ht="13.15" x14ac:dyDescent="0.4">
      <c r="A7" s="578"/>
      <c r="B7" s="1988"/>
      <c r="C7" s="1989"/>
      <c r="D7" s="2002" t="s">
        <v>124</v>
      </c>
      <c r="E7" s="2002" t="s">
        <v>272</v>
      </c>
      <c r="F7" s="559" t="s">
        <v>78</v>
      </c>
      <c r="G7" s="559" t="s">
        <v>78</v>
      </c>
      <c r="H7" s="2002" t="s">
        <v>275</v>
      </c>
      <c r="I7" s="559" t="s">
        <v>78</v>
      </c>
      <c r="J7" s="559" t="s">
        <v>78</v>
      </c>
      <c r="K7" s="2002" t="s">
        <v>278</v>
      </c>
      <c r="L7" s="559" t="s">
        <v>78</v>
      </c>
    </row>
    <row r="8" spans="1:12" s="558" customFormat="1" ht="13.15" x14ac:dyDescent="0.4">
      <c r="A8" s="579"/>
      <c r="B8" s="2006"/>
      <c r="C8" s="2007"/>
      <c r="D8" s="2003"/>
      <c r="E8" s="2003"/>
      <c r="F8" s="560" t="s">
        <v>273</v>
      </c>
      <c r="G8" s="560" t="s">
        <v>274</v>
      </c>
      <c r="H8" s="2003"/>
      <c r="I8" s="560" t="s">
        <v>276</v>
      </c>
      <c r="J8" s="560" t="s">
        <v>277</v>
      </c>
      <c r="K8" s="2003"/>
      <c r="L8" s="560" t="s">
        <v>279</v>
      </c>
    </row>
    <row r="9" spans="1:12" s="558" customFormat="1" ht="13.5" thickBot="1" x14ac:dyDescent="0.45">
      <c r="A9" s="580" t="s">
        <v>10</v>
      </c>
      <c r="B9" s="1994" t="s">
        <v>11</v>
      </c>
      <c r="C9" s="1994"/>
      <c r="D9" s="561" t="s">
        <v>271</v>
      </c>
      <c r="E9" s="561" t="s">
        <v>12</v>
      </c>
      <c r="F9" s="561" t="s">
        <v>13</v>
      </c>
      <c r="G9" s="561" t="s">
        <v>14</v>
      </c>
      <c r="H9" s="561" t="s">
        <v>15</v>
      </c>
      <c r="I9" s="561" t="s">
        <v>16</v>
      </c>
      <c r="J9" s="561" t="s">
        <v>0</v>
      </c>
      <c r="K9" s="561" t="s">
        <v>17</v>
      </c>
      <c r="L9" s="561" t="s">
        <v>18</v>
      </c>
    </row>
    <row r="10" spans="1:12" s="558" customFormat="1" ht="14.25" customHeight="1" thickBot="1" x14ac:dyDescent="0.45">
      <c r="A10" s="580"/>
      <c r="B10" s="1995"/>
      <c r="C10" s="1996"/>
      <c r="D10" s="1997" t="s">
        <v>383</v>
      </c>
      <c r="E10" s="1998"/>
      <c r="F10" s="1998"/>
      <c r="G10" s="1998"/>
      <c r="H10" s="1998"/>
      <c r="I10" s="1998"/>
      <c r="J10" s="1998"/>
      <c r="K10" s="1998"/>
      <c r="L10" s="1999"/>
    </row>
    <row r="11" spans="1:12" s="558" customFormat="1" ht="25.35" customHeight="1" x14ac:dyDescent="0.4">
      <c r="A11" s="581">
        <v>1</v>
      </c>
      <c r="B11" s="1990" t="str">
        <f>'K2 GZ'!B10</f>
        <v>Alle Kostenarten</v>
      </c>
      <c r="C11" s="1990"/>
      <c r="D11" s="810">
        <v>1</v>
      </c>
      <c r="E11" s="811"/>
      <c r="F11" s="810">
        <f>E11*D11</f>
        <v>0</v>
      </c>
      <c r="G11" s="810">
        <f>F11+D11</f>
        <v>1</v>
      </c>
      <c r="H11" s="812"/>
      <c r="I11" s="810">
        <f>G11*H11</f>
        <v>0</v>
      </c>
      <c r="J11" s="810">
        <f>I11+G11</f>
        <v>1</v>
      </c>
      <c r="K11" s="812"/>
      <c r="L11" s="810">
        <f>J11*K11</f>
        <v>0</v>
      </c>
    </row>
    <row r="12" spans="1:12" s="558" customFormat="1" ht="25.35" customHeight="1" x14ac:dyDescent="0.4">
      <c r="A12" s="581">
        <v>2</v>
      </c>
      <c r="B12" s="1990">
        <f>'K2 GZ'!B11</f>
        <v>0</v>
      </c>
      <c r="C12" s="1990"/>
      <c r="D12" s="813">
        <v>1</v>
      </c>
      <c r="E12" s="814"/>
      <c r="F12" s="813">
        <f t="shared" ref="F12:F16" si="0">E12*D12</f>
        <v>0</v>
      </c>
      <c r="G12" s="813">
        <f t="shared" ref="G12:G16" si="1">F12+D12</f>
        <v>1</v>
      </c>
      <c r="H12" s="815"/>
      <c r="I12" s="813">
        <f t="shared" ref="I12:I16" si="2">G12*H12</f>
        <v>0</v>
      </c>
      <c r="J12" s="813">
        <f t="shared" ref="J12:J16" si="3">I12+G12</f>
        <v>1</v>
      </c>
      <c r="K12" s="815"/>
      <c r="L12" s="813">
        <f t="shared" ref="L12:L16" si="4">J12*K12</f>
        <v>0</v>
      </c>
    </row>
    <row r="13" spans="1:12" s="558" customFormat="1" ht="25.35" customHeight="1" x14ac:dyDescent="0.4">
      <c r="A13" s="581">
        <v>3</v>
      </c>
      <c r="B13" s="1990">
        <f>'K2 GZ'!B12</f>
        <v>0</v>
      </c>
      <c r="C13" s="1990"/>
      <c r="D13" s="813">
        <v>1</v>
      </c>
      <c r="E13" s="814"/>
      <c r="F13" s="813">
        <f t="shared" si="0"/>
        <v>0</v>
      </c>
      <c r="G13" s="813">
        <f t="shared" si="1"/>
        <v>1</v>
      </c>
      <c r="H13" s="815"/>
      <c r="I13" s="813">
        <f t="shared" si="2"/>
        <v>0</v>
      </c>
      <c r="J13" s="813">
        <f t="shared" si="3"/>
        <v>1</v>
      </c>
      <c r="K13" s="815"/>
      <c r="L13" s="813">
        <f t="shared" si="4"/>
        <v>0</v>
      </c>
    </row>
    <row r="14" spans="1:12" s="558" customFormat="1" ht="25.35" customHeight="1" x14ac:dyDescent="0.4">
      <c r="A14" s="581">
        <v>4</v>
      </c>
      <c r="B14" s="1990">
        <f>'K2 GZ'!B13</f>
        <v>0</v>
      </c>
      <c r="C14" s="1990"/>
      <c r="D14" s="813">
        <v>1</v>
      </c>
      <c r="E14" s="814"/>
      <c r="F14" s="813">
        <f t="shared" si="0"/>
        <v>0</v>
      </c>
      <c r="G14" s="813">
        <f t="shared" si="1"/>
        <v>1</v>
      </c>
      <c r="H14" s="815"/>
      <c r="I14" s="813">
        <f t="shared" si="2"/>
        <v>0</v>
      </c>
      <c r="J14" s="813">
        <f t="shared" si="3"/>
        <v>1</v>
      </c>
      <c r="K14" s="815"/>
      <c r="L14" s="813">
        <f t="shared" si="4"/>
        <v>0</v>
      </c>
    </row>
    <row r="15" spans="1:12" s="558" customFormat="1" ht="25.35" customHeight="1" x14ac:dyDescent="0.4">
      <c r="A15" s="581">
        <v>5</v>
      </c>
      <c r="B15" s="1990">
        <f>'K2 GZ'!B14</f>
        <v>0</v>
      </c>
      <c r="C15" s="1990"/>
      <c r="D15" s="813">
        <v>1</v>
      </c>
      <c r="E15" s="814"/>
      <c r="F15" s="813">
        <f t="shared" si="0"/>
        <v>0</v>
      </c>
      <c r="G15" s="813">
        <f t="shared" si="1"/>
        <v>1</v>
      </c>
      <c r="H15" s="815"/>
      <c r="I15" s="813">
        <f t="shared" si="2"/>
        <v>0</v>
      </c>
      <c r="J15" s="813">
        <f t="shared" si="3"/>
        <v>1</v>
      </c>
      <c r="K15" s="815"/>
      <c r="L15" s="813">
        <f t="shared" si="4"/>
        <v>0</v>
      </c>
    </row>
    <row r="16" spans="1:12" s="558" customFormat="1" ht="25.35" customHeight="1" thickBot="1" x14ac:dyDescent="0.45">
      <c r="A16" s="581">
        <v>6</v>
      </c>
      <c r="B16" s="1990">
        <f>'K2 GZ'!B15</f>
        <v>0</v>
      </c>
      <c r="C16" s="1990"/>
      <c r="D16" s="813">
        <v>1</v>
      </c>
      <c r="E16" s="814"/>
      <c r="F16" s="813">
        <f t="shared" si="0"/>
        <v>0</v>
      </c>
      <c r="G16" s="813">
        <f t="shared" si="1"/>
        <v>1</v>
      </c>
      <c r="H16" s="815"/>
      <c r="I16" s="813">
        <f t="shared" si="2"/>
        <v>0</v>
      </c>
      <c r="J16" s="813">
        <f t="shared" si="3"/>
        <v>1</v>
      </c>
      <c r="K16" s="815"/>
      <c r="L16" s="813">
        <f t="shared" si="4"/>
        <v>0</v>
      </c>
    </row>
    <row r="17" spans="1:14" s="558" customFormat="1" ht="13.15" customHeight="1" x14ac:dyDescent="0.4">
      <c r="A17" s="1980"/>
      <c r="B17" s="1980" t="s">
        <v>480</v>
      </c>
      <c r="C17" s="2057" t="s">
        <v>481</v>
      </c>
      <c r="D17" s="2058"/>
      <c r="E17" s="2057" t="s">
        <v>481</v>
      </c>
      <c r="F17" s="2058"/>
      <c r="G17" s="2057" t="s">
        <v>481</v>
      </c>
      <c r="H17" s="2058"/>
      <c r="I17" s="2051" t="s">
        <v>384</v>
      </c>
      <c r="J17" s="2052"/>
      <c r="K17" s="2052"/>
      <c r="L17" s="2053"/>
      <c r="N17" s="2023" t="s">
        <v>679</v>
      </c>
    </row>
    <row r="18" spans="1:14" s="558" customFormat="1" ht="40.35" customHeight="1" x14ac:dyDescent="0.4">
      <c r="A18" s="1980"/>
      <c r="B18" s="1981"/>
      <c r="C18" s="2000"/>
      <c r="D18" s="2001"/>
      <c r="E18" s="2000"/>
      <c r="F18" s="2001"/>
      <c r="G18" s="2000"/>
      <c r="H18" s="2059"/>
      <c r="I18" s="2054"/>
      <c r="J18" s="2055"/>
      <c r="K18" s="2055"/>
      <c r="L18" s="2056"/>
      <c r="N18" s="2024"/>
    </row>
    <row r="19" spans="1:14" s="558" customFormat="1" ht="13.15" customHeight="1" x14ac:dyDescent="0.4">
      <c r="A19" s="1980"/>
      <c r="B19" s="559" t="s">
        <v>78</v>
      </c>
      <c r="C19" s="2002" t="s">
        <v>385</v>
      </c>
      <c r="D19" s="559" t="s">
        <v>78</v>
      </c>
      <c r="E19" s="2002" t="s">
        <v>385</v>
      </c>
      <c r="F19" s="559" t="s">
        <v>78</v>
      </c>
      <c r="G19" s="2002" t="s">
        <v>385</v>
      </c>
      <c r="H19" s="563" t="s">
        <v>78</v>
      </c>
      <c r="I19" s="2039" t="s">
        <v>642</v>
      </c>
      <c r="J19" s="2040"/>
      <c r="K19" s="2040"/>
      <c r="L19" s="2041"/>
      <c r="N19" s="1042" t="s">
        <v>680</v>
      </c>
    </row>
    <row r="20" spans="1:14" s="558" customFormat="1" ht="14.25" customHeight="1" x14ac:dyDescent="0.4">
      <c r="A20" s="1980"/>
      <c r="B20" s="560" t="s">
        <v>280</v>
      </c>
      <c r="C20" s="2003"/>
      <c r="D20" s="560" t="s">
        <v>282</v>
      </c>
      <c r="E20" s="2003"/>
      <c r="F20" s="560" t="s">
        <v>283</v>
      </c>
      <c r="G20" s="2003"/>
      <c r="H20" s="564" t="s">
        <v>386</v>
      </c>
      <c r="I20" s="2042" t="s">
        <v>387</v>
      </c>
      <c r="J20" s="2043"/>
      <c r="K20" s="2043"/>
      <c r="L20" s="2044"/>
      <c r="N20" s="2025">
        <f ca="1">'K2 GZ'!N18</f>
        <v>45</v>
      </c>
    </row>
    <row r="21" spans="1:14" s="558" customFormat="1" ht="14.65" customHeight="1" thickBot="1" x14ac:dyDescent="0.45">
      <c r="A21" s="1980"/>
      <c r="B21" s="569" t="s">
        <v>19</v>
      </c>
      <c r="C21" s="561" t="s">
        <v>20</v>
      </c>
      <c r="D21" s="561" t="s">
        <v>24</v>
      </c>
      <c r="E21" s="561" t="s">
        <v>4</v>
      </c>
      <c r="F21" s="561" t="s">
        <v>5</v>
      </c>
      <c r="G21" s="561" t="s">
        <v>6</v>
      </c>
      <c r="H21" s="565" t="s">
        <v>295</v>
      </c>
      <c r="I21" s="2045" t="s">
        <v>7</v>
      </c>
      <c r="J21" s="2046"/>
      <c r="K21" s="2046"/>
      <c r="L21" s="2047"/>
      <c r="N21" s="2026"/>
    </row>
    <row r="22" spans="1:14" s="558" customFormat="1" ht="14.65" customHeight="1" thickBot="1" x14ac:dyDescent="0.45">
      <c r="A22" s="582"/>
      <c r="B22" s="564"/>
      <c r="C22" s="1997" t="s">
        <v>388</v>
      </c>
      <c r="D22" s="1998"/>
      <c r="E22" s="1998"/>
      <c r="F22" s="1998"/>
      <c r="G22" s="1998"/>
      <c r="H22" s="1998"/>
      <c r="I22" s="2048"/>
      <c r="J22" s="2049"/>
      <c r="K22" s="2049"/>
      <c r="L22" s="2050"/>
      <c r="N22" s="1043" t="s">
        <v>681</v>
      </c>
    </row>
    <row r="23" spans="1:14" s="558" customFormat="1" ht="25.35" customHeight="1" x14ac:dyDescent="0.4">
      <c r="A23" s="583">
        <v>1</v>
      </c>
      <c r="B23" s="562">
        <f t="shared" ref="B23:B28" si="5">D11</f>
        <v>1</v>
      </c>
      <c r="C23" s="812"/>
      <c r="D23" s="810">
        <f>C23</f>
        <v>0</v>
      </c>
      <c r="E23" s="812"/>
      <c r="F23" s="810">
        <f>E23</f>
        <v>0</v>
      </c>
      <c r="G23" s="812"/>
      <c r="H23" s="816">
        <f>G23</f>
        <v>0</v>
      </c>
      <c r="I23" s="2008" t="str">
        <f t="shared" ref="I23:I28" si="6">B11</f>
        <v>Alle Kostenarten</v>
      </c>
      <c r="J23" s="2009"/>
      <c r="K23" s="2010">
        <f t="shared" ref="K23:K28" si="7">F11+I11+L11+D23+F23+H23</f>
        <v>0</v>
      </c>
      <c r="L23" s="2011"/>
      <c r="N23" s="1040">
        <f>IFERROR('K2 GZ'!L21,"Nicht errechenbar")</f>
        <v>0.22409999999999999</v>
      </c>
    </row>
    <row r="24" spans="1:14" s="558" customFormat="1" ht="25.35" customHeight="1" x14ac:dyDescent="0.4">
      <c r="A24" s="581">
        <v>2</v>
      </c>
      <c r="B24" s="562">
        <f t="shared" si="5"/>
        <v>1</v>
      </c>
      <c r="C24" s="812"/>
      <c r="D24" s="810">
        <f t="shared" ref="D24:D28" si="8">C24</f>
        <v>0</v>
      </c>
      <c r="E24" s="812"/>
      <c r="F24" s="810">
        <f t="shared" ref="F24:F28" si="9">E24</f>
        <v>0</v>
      </c>
      <c r="G24" s="812"/>
      <c r="H24" s="816">
        <f t="shared" ref="H24:H28" si="10">G24</f>
        <v>0</v>
      </c>
      <c r="I24" s="2008">
        <f t="shared" si="6"/>
        <v>0</v>
      </c>
      <c r="J24" s="2009"/>
      <c r="K24" s="2010">
        <f t="shared" si="7"/>
        <v>0</v>
      </c>
      <c r="L24" s="2011"/>
      <c r="N24" s="1040" t="str">
        <f>IFERROR('K2 GZ'!L22,"Nicht errechenbar")</f>
        <v/>
      </c>
    </row>
    <row r="25" spans="1:14" s="558" customFormat="1" ht="25.35" customHeight="1" x14ac:dyDescent="0.4">
      <c r="A25" s="581">
        <v>3</v>
      </c>
      <c r="B25" s="562">
        <f t="shared" si="5"/>
        <v>1</v>
      </c>
      <c r="C25" s="812"/>
      <c r="D25" s="810">
        <f t="shared" si="8"/>
        <v>0</v>
      </c>
      <c r="E25" s="812"/>
      <c r="F25" s="810">
        <f t="shared" si="9"/>
        <v>0</v>
      </c>
      <c r="G25" s="812"/>
      <c r="H25" s="816">
        <f t="shared" si="10"/>
        <v>0</v>
      </c>
      <c r="I25" s="2008">
        <f t="shared" si="6"/>
        <v>0</v>
      </c>
      <c r="J25" s="2009"/>
      <c r="K25" s="2010">
        <f t="shared" si="7"/>
        <v>0</v>
      </c>
      <c r="L25" s="2011"/>
      <c r="N25" s="1040" t="str">
        <f>IFERROR('K2 GZ'!L23,"Nicht errechenbar")</f>
        <v/>
      </c>
    </row>
    <row r="26" spans="1:14" s="558" customFormat="1" ht="25.35" customHeight="1" x14ac:dyDescent="0.4">
      <c r="A26" s="581">
        <v>4</v>
      </c>
      <c r="B26" s="562">
        <f t="shared" si="5"/>
        <v>1</v>
      </c>
      <c r="C26" s="812"/>
      <c r="D26" s="810">
        <f t="shared" si="8"/>
        <v>0</v>
      </c>
      <c r="E26" s="812"/>
      <c r="F26" s="810">
        <f t="shared" si="9"/>
        <v>0</v>
      </c>
      <c r="G26" s="812"/>
      <c r="H26" s="816">
        <f t="shared" si="10"/>
        <v>0</v>
      </c>
      <c r="I26" s="2008">
        <f t="shared" si="6"/>
        <v>0</v>
      </c>
      <c r="J26" s="2009"/>
      <c r="K26" s="2010">
        <f t="shared" si="7"/>
        <v>0</v>
      </c>
      <c r="L26" s="2011"/>
      <c r="N26" s="1040" t="str">
        <f>IFERROR('K2 GZ'!L24,"Nicht errechenbar")</f>
        <v/>
      </c>
    </row>
    <row r="27" spans="1:14" s="558" customFormat="1" ht="25.35" customHeight="1" x14ac:dyDescent="0.4">
      <c r="A27" s="581">
        <v>5</v>
      </c>
      <c r="B27" s="562">
        <f t="shared" si="5"/>
        <v>1</v>
      </c>
      <c r="C27" s="812"/>
      <c r="D27" s="810">
        <f t="shared" si="8"/>
        <v>0</v>
      </c>
      <c r="E27" s="812"/>
      <c r="F27" s="810">
        <f t="shared" si="9"/>
        <v>0</v>
      </c>
      <c r="G27" s="812"/>
      <c r="H27" s="816">
        <f t="shared" si="10"/>
        <v>0</v>
      </c>
      <c r="I27" s="2008">
        <f t="shared" si="6"/>
        <v>0</v>
      </c>
      <c r="J27" s="2009"/>
      <c r="K27" s="2010">
        <f t="shared" si="7"/>
        <v>0</v>
      </c>
      <c r="L27" s="2011"/>
      <c r="N27" s="1040" t="str">
        <f>IFERROR('K2 GZ'!L25,"Nicht errechenbar")</f>
        <v/>
      </c>
    </row>
    <row r="28" spans="1:14" s="558" customFormat="1" ht="25.35" customHeight="1" thickBot="1" x14ac:dyDescent="0.45">
      <c r="A28" s="1029">
        <v>6</v>
      </c>
      <c r="B28" s="1030">
        <f t="shared" si="5"/>
        <v>1</v>
      </c>
      <c r="C28" s="1031"/>
      <c r="D28" s="1032">
        <f t="shared" si="8"/>
        <v>0</v>
      </c>
      <c r="E28" s="1031"/>
      <c r="F28" s="1032">
        <f t="shared" si="9"/>
        <v>0</v>
      </c>
      <c r="G28" s="1031"/>
      <c r="H28" s="817">
        <f t="shared" si="10"/>
        <v>0</v>
      </c>
      <c r="I28" s="2035">
        <f t="shared" si="6"/>
        <v>0</v>
      </c>
      <c r="J28" s="2036"/>
      <c r="K28" s="2037">
        <f t="shared" si="7"/>
        <v>0</v>
      </c>
      <c r="L28" s="2038"/>
      <c r="N28" s="1041" t="str">
        <f>IFERROR('K2 GZ'!L26,"Nicht errechenbar")</f>
        <v/>
      </c>
    </row>
    <row r="29" spans="1:14" s="558" customFormat="1" ht="52.15" customHeight="1" x14ac:dyDescent="0.4">
      <c r="A29" s="2004" t="str">
        <f>' K3 PP'!A47</f>
        <v>Vers. 3.0      
Lizenziert für:</v>
      </c>
      <c r="B29" s="2005"/>
      <c r="C29" s="2027" t="str">
        <f ca="1">' K3 PP'!D47</f>
        <v xml:space="preserve">Malerhandbuch 2022 </v>
      </c>
      <c r="D29" s="2028"/>
      <c r="E29" s="2028"/>
      <c r="F29" s="2028"/>
      <c r="G29" s="2029"/>
      <c r="H29" s="2030"/>
      <c r="I29" s="2031"/>
      <c r="J29" s="2032"/>
      <c r="K29" s="2033" t="s">
        <v>668</v>
      </c>
      <c r="L29" s="2034"/>
    </row>
  </sheetData>
  <sheetProtection password="B984" sheet="1" formatColumns="0" selectLockedCells="1"/>
  <mergeCells count="67">
    <mergeCell ref="I17:L18"/>
    <mergeCell ref="C18:D18"/>
    <mergeCell ref="C17:D17"/>
    <mergeCell ref="E18:F18"/>
    <mergeCell ref="G18:H18"/>
    <mergeCell ref="E17:F17"/>
    <mergeCell ref="G17:H17"/>
    <mergeCell ref="I19:L19"/>
    <mergeCell ref="I20:L20"/>
    <mergeCell ref="I21:L21"/>
    <mergeCell ref="C22:H22"/>
    <mergeCell ref="I22:L22"/>
    <mergeCell ref="C19:C20"/>
    <mergeCell ref="N17:N18"/>
    <mergeCell ref="N20:N21"/>
    <mergeCell ref="C29:G29"/>
    <mergeCell ref="H29:J29"/>
    <mergeCell ref="K23:L23"/>
    <mergeCell ref="I24:J24"/>
    <mergeCell ref="K29:L29"/>
    <mergeCell ref="I28:J28"/>
    <mergeCell ref="K28:L28"/>
    <mergeCell ref="I23:J23"/>
    <mergeCell ref="K24:L24"/>
    <mergeCell ref="I25:J25"/>
    <mergeCell ref="K25:L25"/>
    <mergeCell ref="I26:J26"/>
    <mergeCell ref="K26:L26"/>
    <mergeCell ref="G19:G20"/>
    <mergeCell ref="F1:L2"/>
    <mergeCell ref="G3:H3"/>
    <mergeCell ref="I3:J3"/>
    <mergeCell ref="K3:L3"/>
    <mergeCell ref="G4:H4"/>
    <mergeCell ref="I4:L4"/>
    <mergeCell ref="D7:D8"/>
    <mergeCell ref="E7:E8"/>
    <mergeCell ref="K5:L5"/>
    <mergeCell ref="B13:C13"/>
    <mergeCell ref="A29:B29"/>
    <mergeCell ref="B5:C8"/>
    <mergeCell ref="D5:D6"/>
    <mergeCell ref="E5:F5"/>
    <mergeCell ref="B16:C16"/>
    <mergeCell ref="E19:E20"/>
    <mergeCell ref="H6:I6"/>
    <mergeCell ref="K6:L6"/>
    <mergeCell ref="K7:K8"/>
    <mergeCell ref="J5:J6"/>
    <mergeCell ref="I27:J27"/>
    <mergeCell ref="K27:L27"/>
    <mergeCell ref="A17:A21"/>
    <mergeCell ref="B17:B18"/>
    <mergeCell ref="A2:E2"/>
    <mergeCell ref="A4:E4"/>
    <mergeCell ref="H5:I5"/>
    <mergeCell ref="B14:C14"/>
    <mergeCell ref="B15:C15"/>
    <mergeCell ref="A3:E3"/>
    <mergeCell ref="B9:C9"/>
    <mergeCell ref="B10:C10"/>
    <mergeCell ref="D10:L10"/>
    <mergeCell ref="B11:C11"/>
    <mergeCell ref="B12:C12"/>
    <mergeCell ref="G5:G6"/>
    <mergeCell ref="E6:F6"/>
    <mergeCell ref="H7:H8"/>
  </mergeCells>
  <conditionalFormatting sqref="A2:E4">
    <cfRule type="expression" dxfId="63" priority="3">
      <formula>_OK?&lt;&gt;"OK!"</formula>
    </cfRule>
  </conditionalFormatting>
  <conditionalFormatting sqref="C29">
    <cfRule type="expression" dxfId="62" priority="1">
      <formula>_OK?&lt;&gt;"OK!"</formula>
    </cfRule>
  </conditionalFormatting>
  <hyperlinks>
    <hyperlink ref="I19:L19" location="'K2 GZ'!E6" display="%-Satz (Übertrag K2-Blatt)" xr:uid="{1B3679A1-73EB-4F91-9F1C-8470C93E0C12}"/>
  </hyperlinks>
  <pageMargins left="0.59055118110236227" right="0.19685039370078741" top="0.59055118110236227" bottom="0.19685039370078741" header="0.19685039370078741" footer="0.11811023622047245"/>
  <pageSetup paperSize="9" orientation="portrait" r:id="rId1"/>
  <headerFooter>
    <oddFooter>&amp;L&amp;10K2-Blatt
Seite: &amp;P&amp;R&amp;10&amp;F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S48"/>
  <sheetViews>
    <sheetView showGridLines="0" zoomScaleNormal="100" workbookViewId="0">
      <selection activeCell="I47" sqref="I47:M47"/>
    </sheetView>
  </sheetViews>
  <sheetFormatPr baseColWidth="10" defaultRowHeight="15" x14ac:dyDescent="0.4"/>
  <cols>
    <col min="1" max="1" width="2.5546875" style="43" customWidth="1"/>
    <col min="2" max="5" width="4.33203125" customWidth="1"/>
    <col min="6" max="7" width="4.5546875" customWidth="1"/>
    <col min="8" max="8" width="5.77734375" customWidth="1"/>
    <col min="9" max="14" width="4.5546875" customWidth="1"/>
    <col min="15" max="16" width="5.33203125" customWidth="1"/>
  </cols>
  <sheetData>
    <row r="1" spans="1:16" ht="18" x14ac:dyDescent="0.55000000000000004">
      <c r="A1" s="42" t="s">
        <v>30</v>
      </c>
      <c r="B1" s="2194" t="s">
        <v>31</v>
      </c>
      <c r="C1" s="2194"/>
      <c r="D1" s="2194"/>
      <c r="E1" s="2194"/>
      <c r="F1" s="231" t="s">
        <v>310</v>
      </c>
      <c r="G1" s="2221" t="str">
        <f>Projekt!D10</f>
        <v>Musterprojekt Malerhandbuch 2022</v>
      </c>
      <c r="H1" s="2221"/>
      <c r="I1" s="2221"/>
      <c r="J1" s="2221"/>
      <c r="K1" s="2221"/>
      <c r="L1" s="2221"/>
      <c r="M1" s="2221"/>
      <c r="N1" s="2221"/>
      <c r="O1" s="2221"/>
      <c r="P1" s="2222"/>
    </row>
    <row r="2" spans="1:16" x14ac:dyDescent="0.4">
      <c r="A2" s="2103"/>
      <c r="B2" s="2128" t="s">
        <v>70</v>
      </c>
      <c r="C2" s="2129"/>
      <c r="D2" s="2129"/>
      <c r="E2" s="2129"/>
      <c r="F2" s="2132" t="str">
        <f>Projekt!D12</f>
        <v>Mittellohnpreis</v>
      </c>
      <c r="G2" s="2132"/>
      <c r="H2" s="2132"/>
      <c r="I2" s="2132"/>
      <c r="J2" s="2133"/>
      <c r="K2" s="2080" t="s">
        <v>33</v>
      </c>
      <c r="L2" s="2081"/>
      <c r="M2" s="2081"/>
      <c r="N2" s="2081"/>
      <c r="O2" s="2081"/>
      <c r="P2" s="2116"/>
    </row>
    <row r="3" spans="1:16" x14ac:dyDescent="0.4">
      <c r="A3" s="2104"/>
      <c r="B3" s="2130"/>
      <c r="C3" s="2131"/>
      <c r="D3" s="2131"/>
      <c r="E3" s="2131"/>
      <c r="F3" s="2134"/>
      <c r="G3" s="2134"/>
      <c r="H3" s="2134"/>
      <c r="I3" s="2134"/>
      <c r="J3" s="2135"/>
      <c r="K3" s="2107" t="str">
        <f ca="1">Projekt!D7</f>
        <v>Malerhandbuch 2022</v>
      </c>
      <c r="L3" s="2108"/>
      <c r="M3" s="2108"/>
      <c r="N3" s="2108"/>
      <c r="O3" s="2108"/>
      <c r="P3" s="2109"/>
    </row>
    <row r="4" spans="1:16" x14ac:dyDescent="0.4">
      <c r="A4" s="2104"/>
      <c r="B4" s="999" t="s">
        <v>266</v>
      </c>
      <c r="C4" s="2124" t="str">
        <f>Projekt!B14</f>
        <v>Gz-Uxx</v>
      </c>
      <c r="D4" s="2124"/>
      <c r="E4" s="2125"/>
      <c r="F4" s="999" t="s">
        <v>267</v>
      </c>
      <c r="G4" s="2124" t="str">
        <f>Projekt!B15</f>
        <v>AG-NNN</v>
      </c>
      <c r="H4" s="2124"/>
      <c r="I4" s="2124"/>
      <c r="J4" s="2125"/>
      <c r="K4" s="2145" t="str">
        <f>IF(Projekt!D8&lt;&gt;0,Projekt!D8,"")</f>
        <v>Musterkalkulation</v>
      </c>
      <c r="L4" s="2146"/>
      <c r="M4" s="2146"/>
      <c r="N4" s="2146"/>
      <c r="O4" s="2146"/>
      <c r="P4" s="2147"/>
    </row>
    <row r="5" spans="1:16" x14ac:dyDescent="0.4">
      <c r="A5" s="2104"/>
      <c r="B5" s="2148" t="s">
        <v>34</v>
      </c>
      <c r="C5" s="2105"/>
      <c r="D5" s="2105"/>
      <c r="E5" s="9" t="str">
        <f>IF(Projekt!C$18=Projekt!F$18,"X","-")</f>
        <v>X</v>
      </c>
      <c r="F5" s="2149" t="s">
        <v>2</v>
      </c>
      <c r="G5" s="2149"/>
      <c r="H5" s="2149"/>
      <c r="I5" s="2149"/>
      <c r="J5" s="9" t="str">
        <f>IF(Projekt!C$19=Projekt!F$19,"X","-")</f>
        <v>X</v>
      </c>
      <c r="K5" s="2145" t="str">
        <f>IF(Projekt!D9&lt;&gt;0,Projekt!D9,"")</f>
        <v/>
      </c>
      <c r="L5" s="2146"/>
      <c r="M5" s="2146"/>
      <c r="N5" s="2146"/>
      <c r="O5" s="2146"/>
      <c r="P5" s="2147"/>
    </row>
    <row r="6" spans="1:16" x14ac:dyDescent="0.4">
      <c r="A6" s="2104"/>
      <c r="B6" s="1587" t="s">
        <v>35</v>
      </c>
      <c r="C6" s="2138"/>
      <c r="D6" s="2138"/>
      <c r="E6" s="223" t="str">
        <f>IF(Projekt!C$18=Projekt!G$18,"X","-")</f>
        <v>-</v>
      </c>
      <c r="F6" s="2080" t="s">
        <v>3</v>
      </c>
      <c r="G6" s="2081"/>
      <c r="H6" s="2081"/>
      <c r="I6" s="2081"/>
      <c r="J6" s="10" t="str">
        <f>IF(Projekt!C$19=Projekt!G$19,"X","-")</f>
        <v>-</v>
      </c>
      <c r="K6" s="2149" t="s">
        <v>1</v>
      </c>
      <c r="L6" s="2149"/>
      <c r="M6" s="2136">
        <f>Projekt!F14</f>
        <v>44686</v>
      </c>
      <c r="N6" s="2136"/>
      <c r="O6" s="2136"/>
      <c r="P6" s="2137"/>
    </row>
    <row r="7" spans="1:16" x14ac:dyDescent="0.4">
      <c r="A7" s="2104"/>
      <c r="B7" s="2139" t="s">
        <v>184</v>
      </c>
      <c r="C7" s="2140"/>
      <c r="D7" s="2140"/>
      <c r="E7" s="2140"/>
      <c r="F7" s="2141" t="s">
        <v>36</v>
      </c>
      <c r="G7" s="2142"/>
      <c r="H7" s="2142"/>
      <c r="I7" s="2142"/>
      <c r="J7" s="245" t="s">
        <v>265</v>
      </c>
      <c r="K7" s="2143" t="s">
        <v>237</v>
      </c>
      <c r="L7" s="2143"/>
      <c r="M7" s="2143"/>
      <c r="N7" s="2143"/>
      <c r="O7" s="2143"/>
      <c r="P7" s="2144"/>
    </row>
    <row r="8" spans="1:16" ht="15.4" thickBot="1" x14ac:dyDescent="0.45">
      <c r="A8" s="2104"/>
      <c r="B8" s="2110" t="str">
        <f ca="1">Stammdaten!B3</f>
        <v>KollV MALER-, LACKIERER-, SCHILDERHERST.GEWERBE</v>
      </c>
      <c r="C8" s="2111"/>
      <c r="D8" s="2111"/>
      <c r="E8" s="2111"/>
      <c r="F8" s="2111"/>
      <c r="G8" s="2111"/>
      <c r="H8" s="2111"/>
      <c r="I8" s="2111"/>
      <c r="J8" s="2111"/>
      <c r="K8" s="2111"/>
      <c r="L8" s="2112"/>
      <c r="M8" s="2117" t="s">
        <v>37</v>
      </c>
      <c r="N8" s="2118"/>
      <c r="O8" s="2190">
        <f ca="1">Stammdaten!B4</f>
        <v>44682</v>
      </c>
      <c r="P8" s="2191"/>
    </row>
    <row r="9" spans="1:16" x14ac:dyDescent="0.4">
      <c r="A9" s="158">
        <v>1</v>
      </c>
      <c r="B9" s="2101" t="s">
        <v>142</v>
      </c>
      <c r="C9" s="2102"/>
      <c r="D9" s="2102"/>
      <c r="E9" s="2150"/>
      <c r="F9" s="2122" t="s">
        <v>143</v>
      </c>
      <c r="G9" s="2123"/>
      <c r="H9" s="1000" t="s">
        <v>38</v>
      </c>
      <c r="I9" s="2195" t="s">
        <v>39</v>
      </c>
      <c r="J9" s="2196"/>
      <c r="K9" s="2197" t="s">
        <v>144</v>
      </c>
      <c r="L9" s="2197"/>
      <c r="M9" s="2197"/>
      <c r="N9" s="2197"/>
      <c r="O9" s="2197"/>
      <c r="P9" s="39">
        <f ca="1">Projekt!C152</f>
        <v>39</v>
      </c>
    </row>
    <row r="10" spans="1:16" x14ac:dyDescent="0.4">
      <c r="A10" s="64" t="s">
        <v>40</v>
      </c>
      <c r="B10" s="2151" t="str">
        <f>IF(Projekt!A23=0,"",Projekt!A23)</f>
        <v>Facharbeiter mit LAB (&gt;3.J)</v>
      </c>
      <c r="C10" s="2152"/>
      <c r="D10" s="2152"/>
      <c r="E10" s="2153"/>
      <c r="F10" s="2198">
        <f ca="1">IFERROR((VLOOKUP(B10,Stammdaten!A$7:D$33,4,FALSE)),"")</f>
        <v>13.35</v>
      </c>
      <c r="G10" s="2198"/>
      <c r="H10" s="334">
        <f>IF(Projekt!F23=0,"",Projekt!F23)</f>
        <v>0.5</v>
      </c>
      <c r="I10" s="2113">
        <f ca="1">IFERROR(IF(PRODUCT(F10,H10)=0,"",F10*H10),"")</f>
        <v>6.68</v>
      </c>
      <c r="J10" s="2115"/>
      <c r="K10" s="2105" t="s">
        <v>246</v>
      </c>
      <c r="L10" s="2105"/>
      <c r="M10" s="2105"/>
      <c r="N10" s="2106"/>
      <c r="O10" s="851" t="s">
        <v>41</v>
      </c>
      <c r="P10" s="8" t="s">
        <v>23</v>
      </c>
    </row>
    <row r="11" spans="1:16" x14ac:dyDescent="0.4">
      <c r="A11" s="64" t="s">
        <v>42</v>
      </c>
      <c r="B11" s="2071" t="str">
        <f>IF(Projekt!A24=0,"",Projekt!A24)</f>
        <v>Helfer</v>
      </c>
      <c r="C11" s="2072"/>
      <c r="D11" s="2072"/>
      <c r="E11" s="2073"/>
      <c r="F11" s="2113">
        <f ca="1">IFERROR((VLOOKUP(B11,Stammdaten!A$7:D$33,4,FALSE)),"")</f>
        <v>10.75</v>
      </c>
      <c r="G11" s="2115"/>
      <c r="H11" s="334">
        <f>IF(Projekt!F24=0,"",Projekt!F24)</f>
        <v>0.5</v>
      </c>
      <c r="I11" s="2113">
        <f t="shared" ref="I11:I18" ca="1" si="0">IFERROR(IF(PRODUCT(F11,H11)=0,"",F11*H11),"")</f>
        <v>5.38</v>
      </c>
      <c r="J11" s="2114"/>
      <c r="K11" s="2119" t="str">
        <f>IF(Projekt!A154=0,"",Projekt!A154)</f>
        <v>Mehrarbeit 50%</v>
      </c>
      <c r="L11" s="2120"/>
      <c r="M11" s="2120"/>
      <c r="N11" s="2121"/>
      <c r="O11" s="251">
        <f ca="1">IF(Projekt!D154=0,"",Projekt!D154)</f>
        <v>0.5</v>
      </c>
      <c r="P11" s="161">
        <f>IF(Projekt!C154=0,"",Projekt!C154)</f>
        <v>1</v>
      </c>
    </row>
    <row r="12" spans="1:16" x14ac:dyDescent="0.4">
      <c r="A12" s="64" t="s">
        <v>43</v>
      </c>
      <c r="B12" s="2071" t="str">
        <f>IF(Projekt!A25=0,"",Projekt!A25)</f>
        <v/>
      </c>
      <c r="C12" s="2072"/>
      <c r="D12" s="2072"/>
      <c r="E12" s="2073"/>
      <c r="F12" s="2113" t="str">
        <f ca="1">IFERROR((VLOOKUP(B12,Stammdaten!A$7:D$33,4,FALSE)),"")</f>
        <v/>
      </c>
      <c r="G12" s="2115"/>
      <c r="H12" s="334" t="str">
        <f>IF(Projekt!F25=0,"",Projekt!F25)</f>
        <v/>
      </c>
      <c r="I12" s="2113" t="str">
        <f t="shared" ca="1" si="0"/>
        <v/>
      </c>
      <c r="J12" s="2114"/>
      <c r="K12" s="2107" t="str">
        <f>IF(Projekt!A155=0,"",Projekt!A155)</f>
        <v/>
      </c>
      <c r="L12" s="2108"/>
      <c r="M12" s="2108"/>
      <c r="N12" s="2109"/>
      <c r="O12" s="251" t="str">
        <f>IF(Projekt!D155=0,"",Projekt!D155)</f>
        <v/>
      </c>
      <c r="P12" s="161" t="str">
        <f>IF(Projekt!C155=0,"",Projekt!C155)</f>
        <v/>
      </c>
    </row>
    <row r="13" spans="1:16" x14ac:dyDescent="0.4">
      <c r="A13" s="64" t="s">
        <v>44</v>
      </c>
      <c r="B13" s="2071" t="str">
        <f>IF(Projekt!A26=0,"",Projekt!A26)</f>
        <v/>
      </c>
      <c r="C13" s="2072"/>
      <c r="D13" s="2072"/>
      <c r="E13" s="2073"/>
      <c r="F13" s="2113" t="str">
        <f ca="1">IFERROR((VLOOKUP(B13,Stammdaten!A$7:D$33,4,FALSE)),"")</f>
        <v/>
      </c>
      <c r="G13" s="2115"/>
      <c r="H13" s="334" t="str">
        <f>IF(Projekt!F26=0,"",Projekt!F26)</f>
        <v/>
      </c>
      <c r="I13" s="2113" t="str">
        <f t="shared" ca="1" si="0"/>
        <v/>
      </c>
      <c r="J13" s="2114"/>
      <c r="K13" s="2107" t="str">
        <f>IF(Projekt!A156=0,"",Projekt!A156)</f>
        <v/>
      </c>
      <c r="L13" s="2108"/>
      <c r="M13" s="2108"/>
      <c r="N13" s="2109"/>
      <c r="O13" s="251" t="str">
        <f>IF(Projekt!D156=0,"",Projekt!D156)</f>
        <v/>
      </c>
      <c r="P13" s="161" t="str">
        <f>IF(Projekt!C156=0,"",Projekt!C156)</f>
        <v/>
      </c>
    </row>
    <row r="14" spans="1:16" x14ac:dyDescent="0.4">
      <c r="A14" s="64" t="s">
        <v>45</v>
      </c>
      <c r="B14" s="2071" t="str">
        <f>IF(Projekt!A27=0,"",Projekt!A27)</f>
        <v/>
      </c>
      <c r="C14" s="2072"/>
      <c r="D14" s="2072"/>
      <c r="E14" s="2073"/>
      <c r="F14" s="2113" t="str">
        <f ca="1">IFERROR((VLOOKUP(B14,Stammdaten!A$7:D$33,4,FALSE)),"")</f>
        <v/>
      </c>
      <c r="G14" s="2115"/>
      <c r="H14" s="160" t="str">
        <f>IF(Projekt!F27=0,"",Projekt!F27)</f>
        <v/>
      </c>
      <c r="I14" s="2113" t="str">
        <f t="shared" ca="1" si="0"/>
        <v/>
      </c>
      <c r="J14" s="2114"/>
      <c r="K14" s="2107" t="str">
        <f>IF(Projekt!A157=0,"",Projekt!A157)</f>
        <v/>
      </c>
      <c r="L14" s="2108"/>
      <c r="M14" s="2108"/>
      <c r="N14" s="2109"/>
      <c r="O14" s="251" t="str">
        <f>IF(Projekt!D157=0,"",Projekt!D157)</f>
        <v/>
      </c>
      <c r="P14" s="161" t="str">
        <f>IF(Projekt!C157=0,"",Projekt!C157)</f>
        <v/>
      </c>
    </row>
    <row r="15" spans="1:16" x14ac:dyDescent="0.4">
      <c r="A15" s="64" t="s">
        <v>46</v>
      </c>
      <c r="B15" s="2071" t="str">
        <f>IF(Projekt!A28=0,"",Projekt!A28)</f>
        <v/>
      </c>
      <c r="C15" s="2072"/>
      <c r="D15" s="2072"/>
      <c r="E15" s="2073"/>
      <c r="F15" s="2113" t="str">
        <f ca="1">IFERROR((VLOOKUP(B15,Stammdaten!A$7:D$33,4,FALSE)),"")</f>
        <v/>
      </c>
      <c r="G15" s="2115"/>
      <c r="H15" s="160" t="str">
        <f>IF(Projekt!F28=0,"",Projekt!F28)</f>
        <v/>
      </c>
      <c r="I15" s="2113" t="str">
        <f t="shared" ca="1" si="0"/>
        <v/>
      </c>
      <c r="J15" s="2114"/>
      <c r="K15" s="2107" t="str">
        <f>IF(Projekt!A158=0,"",Projekt!A158)</f>
        <v/>
      </c>
      <c r="L15" s="2108"/>
      <c r="M15" s="2108"/>
      <c r="N15" s="2109"/>
      <c r="O15" s="251" t="str">
        <f>IF(Projekt!D158=0,"",Projekt!D158)</f>
        <v/>
      </c>
      <c r="P15" s="161" t="str">
        <f>IF(Projekt!C158=0,"",Projekt!C158)</f>
        <v/>
      </c>
    </row>
    <row r="16" spans="1:16" x14ac:dyDescent="0.4">
      <c r="A16" s="64" t="s">
        <v>47</v>
      </c>
      <c r="B16" s="2071" t="str">
        <f>IF(Projekt!A29=0,"",Projekt!A29)</f>
        <v/>
      </c>
      <c r="C16" s="2072"/>
      <c r="D16" s="2072"/>
      <c r="E16" s="2073"/>
      <c r="F16" s="2113" t="str">
        <f ca="1">IFERROR((VLOOKUP(B16,Stammdaten!A$7:D$33,4,FALSE)),"")</f>
        <v/>
      </c>
      <c r="G16" s="2115"/>
      <c r="H16" s="160" t="str">
        <f>IF(Projekt!F29=0,"",Projekt!F29)</f>
        <v/>
      </c>
      <c r="I16" s="2113" t="str">
        <f t="shared" ca="1" si="0"/>
        <v/>
      </c>
      <c r="J16" s="2114"/>
      <c r="K16" s="2107"/>
      <c r="L16" s="2108"/>
      <c r="M16" s="2108"/>
      <c r="N16" s="2109"/>
      <c r="O16" s="162"/>
      <c r="P16" s="163"/>
    </row>
    <row r="17" spans="1:16" x14ac:dyDescent="0.4">
      <c r="A17" s="64" t="s">
        <v>48</v>
      </c>
      <c r="B17" s="2071" t="str">
        <f>IF(Projekt!A30=0,"",Projekt!A30)</f>
        <v/>
      </c>
      <c r="C17" s="2072"/>
      <c r="D17" s="2072"/>
      <c r="E17" s="2073"/>
      <c r="F17" s="2113" t="str">
        <f ca="1">IFERROR((VLOOKUP(B17,Stammdaten!A$7:D$33,4,FALSE)),"")</f>
        <v/>
      </c>
      <c r="G17" s="2115"/>
      <c r="H17" s="160" t="str">
        <f>IF(Projekt!F30=0,"",Projekt!F30)</f>
        <v/>
      </c>
      <c r="I17" s="2113" t="str">
        <f t="shared" ca="1" si="0"/>
        <v/>
      </c>
      <c r="J17" s="2114"/>
      <c r="K17" s="2107"/>
      <c r="L17" s="2108"/>
      <c r="M17" s="2108"/>
      <c r="N17" s="2109"/>
      <c r="O17" s="164"/>
      <c r="P17" s="163"/>
    </row>
    <row r="18" spans="1:16" ht="15.4" thickBot="1" x14ac:dyDescent="0.45">
      <c r="A18" s="64" t="s">
        <v>49</v>
      </c>
      <c r="B18" s="2071" t="str">
        <f>IF(Projekt!A31=0,"",Projekt!A31)</f>
        <v/>
      </c>
      <c r="C18" s="2072"/>
      <c r="D18" s="2072"/>
      <c r="E18" s="2073"/>
      <c r="F18" s="2074" t="str">
        <f ca="1">IFERROR((VLOOKUP(B18,Stammdaten!A$7:D$33,4,FALSE)),"")</f>
        <v/>
      </c>
      <c r="G18" s="2169"/>
      <c r="H18" s="160" t="str">
        <f>IF(Projekt!F31=0,"",Projekt!F31)</f>
        <v/>
      </c>
      <c r="I18" s="2074" t="str">
        <f t="shared" ca="1" si="0"/>
        <v/>
      </c>
      <c r="J18" s="2075"/>
      <c r="K18" s="2110"/>
      <c r="L18" s="2111"/>
      <c r="M18" s="2111"/>
      <c r="N18" s="2112"/>
      <c r="O18" s="165"/>
      <c r="P18" s="166"/>
    </row>
    <row r="19" spans="1:16" ht="15.4" thickBot="1" x14ac:dyDescent="0.45">
      <c r="A19" s="64">
        <v>2</v>
      </c>
      <c r="B19" s="2172" t="s">
        <v>50</v>
      </c>
      <c r="C19" s="2173"/>
      <c r="D19" s="2173"/>
      <c r="E19" s="2173"/>
      <c r="F19" s="2173"/>
      <c r="G19" s="2173"/>
      <c r="H19" s="224">
        <f>SUM(H10:H18)</f>
        <v>1</v>
      </c>
      <c r="I19" s="2170">
        <f ca="1">IF(AND(_OK?="OK!",_OK_KV?="OK_KV!"),SUM(I10:J18),Projekt!G32)</f>
        <v>12.06</v>
      </c>
      <c r="J19" s="2171"/>
      <c r="K19" s="2168" t="s">
        <v>682</v>
      </c>
      <c r="L19" s="2168"/>
      <c r="M19" s="2168"/>
      <c r="N19" s="2168"/>
      <c r="O19" s="2168"/>
      <c r="P19" s="225">
        <f ca="1">P9+SUM(P11:P15)</f>
        <v>40</v>
      </c>
    </row>
    <row r="20" spans="1:16" x14ac:dyDescent="0.4">
      <c r="A20" s="64"/>
      <c r="B20" s="2165"/>
      <c r="C20" s="2166"/>
      <c r="D20" s="2166"/>
      <c r="E20" s="2166"/>
      <c r="F20" s="2166"/>
      <c r="G20" s="2166"/>
      <c r="H20" s="2166"/>
      <c r="I20" s="2166"/>
      <c r="J20" s="2166"/>
      <c r="K20" s="2166"/>
      <c r="L20" s="2167"/>
      <c r="M20" s="2158" t="s">
        <v>10</v>
      </c>
      <c r="N20" s="2159"/>
      <c r="O20" s="2160" t="s">
        <v>11</v>
      </c>
      <c r="P20" s="2159"/>
    </row>
    <row r="21" spans="1:16" x14ac:dyDescent="0.4">
      <c r="A21" s="64">
        <v>3</v>
      </c>
      <c r="B21" s="322" t="s">
        <v>50</v>
      </c>
      <c r="C21" s="323"/>
      <c r="D21" s="323"/>
      <c r="E21" s="323"/>
      <c r="F21" s="323"/>
      <c r="G21" s="323"/>
      <c r="H21" s="1011"/>
      <c r="I21" s="1011"/>
      <c r="J21" s="1011"/>
      <c r="K21" s="1011"/>
      <c r="L21" s="1011"/>
      <c r="M21" s="1011"/>
      <c r="N21" s="1012"/>
      <c r="O21" s="2161">
        <f ca="1">I19/H19</f>
        <v>12.06</v>
      </c>
      <c r="P21" s="2162"/>
    </row>
    <row r="22" spans="1:16" ht="15.4" thickBot="1" x14ac:dyDescent="0.45">
      <c r="A22" s="64">
        <v>4</v>
      </c>
      <c r="B22" s="2184" t="s">
        <v>51</v>
      </c>
      <c r="C22" s="2185"/>
      <c r="D22" s="2185"/>
      <c r="E22" s="2185"/>
      <c r="F22" s="2185"/>
      <c r="G22" s="2185"/>
      <c r="H22" s="2177" t="s">
        <v>52</v>
      </c>
      <c r="I22" s="2177"/>
      <c r="J22" s="2178"/>
      <c r="K22" s="2154">
        <f ca="1">Projekt!G55</f>
        <v>5.8299999999999998E-2</v>
      </c>
      <c r="L22" s="2155"/>
      <c r="M22" s="2186"/>
      <c r="N22" s="2187"/>
      <c r="O22" s="2163">
        <f ca="1">IF(_OK?="OK!",K22*O21,ROUND(K22*O21,0))</f>
        <v>0.7</v>
      </c>
      <c r="P22" s="2164"/>
    </row>
    <row r="23" spans="1:16" x14ac:dyDescent="0.4">
      <c r="A23" s="64">
        <v>5</v>
      </c>
      <c r="B23" s="2094" t="s">
        <v>247</v>
      </c>
      <c r="C23" s="2095"/>
      <c r="D23" s="2095"/>
      <c r="E23" s="2095"/>
      <c r="F23" s="2095"/>
      <c r="G23" s="2095"/>
      <c r="H23" s="2179" t="s">
        <v>301</v>
      </c>
      <c r="I23" s="2180"/>
      <c r="J23" s="2180"/>
      <c r="K23" s="2180"/>
      <c r="L23" s="2180"/>
      <c r="M23" s="2180"/>
      <c r="N23" s="2181"/>
      <c r="O23" s="2188">
        <f ca="1">SUM(O21:P22)</f>
        <v>12.76</v>
      </c>
      <c r="P23" s="2189"/>
    </row>
    <row r="24" spans="1:16" x14ac:dyDescent="0.4">
      <c r="A24" s="64">
        <v>6</v>
      </c>
      <c r="B24" s="2080" t="s">
        <v>145</v>
      </c>
      <c r="C24" s="2081"/>
      <c r="D24" s="2081"/>
      <c r="E24" s="2081"/>
      <c r="F24" s="2081"/>
      <c r="G24" s="2081"/>
      <c r="H24" s="2084" t="s">
        <v>110</v>
      </c>
      <c r="I24" s="2084"/>
      <c r="J24" s="2085"/>
      <c r="K24" s="2156">
        <f ca="1">Projekt!H55</f>
        <v>0.1004</v>
      </c>
      <c r="L24" s="2157"/>
      <c r="M24" s="2182"/>
      <c r="N24" s="2183"/>
      <c r="O24" s="2113">
        <f ca="1">K24*O23</f>
        <v>1.28</v>
      </c>
      <c r="P24" s="2115"/>
    </row>
    <row r="25" spans="1:16" x14ac:dyDescent="0.4">
      <c r="A25" s="64">
        <v>7</v>
      </c>
      <c r="B25" s="2080" t="s">
        <v>212</v>
      </c>
      <c r="C25" s="2081"/>
      <c r="D25" s="2081"/>
      <c r="E25" s="2081"/>
      <c r="F25" s="2081"/>
      <c r="G25" s="2081"/>
      <c r="H25" s="2084" t="s">
        <v>110</v>
      </c>
      <c r="I25" s="2084"/>
      <c r="J25" s="2085"/>
      <c r="K25" s="2076">
        <f ca="1">Projekt!H97</f>
        <v>4.9500000000000002E-2</v>
      </c>
      <c r="L25" s="2077"/>
      <c r="M25" s="2182"/>
      <c r="N25" s="2183"/>
      <c r="O25" s="2113">
        <f ca="1">K25*O23</f>
        <v>0.63</v>
      </c>
      <c r="P25" s="2115"/>
    </row>
    <row r="26" spans="1:16" x14ac:dyDescent="0.4">
      <c r="A26" s="64">
        <v>8</v>
      </c>
      <c r="B26" s="2080" t="s">
        <v>81</v>
      </c>
      <c r="C26" s="2081"/>
      <c r="D26" s="2081"/>
      <c r="E26" s="2081"/>
      <c r="F26" s="2081"/>
      <c r="G26" s="2081"/>
      <c r="H26" s="2084" t="s">
        <v>110</v>
      </c>
      <c r="I26" s="2084"/>
      <c r="J26" s="2085"/>
      <c r="K26" s="2076">
        <f ca="1">Projekt!H173</f>
        <v>1.44E-2</v>
      </c>
      <c r="L26" s="2077"/>
      <c r="M26" s="2182"/>
      <c r="N26" s="2183"/>
      <c r="O26" s="2113">
        <f ca="1">K26*O23</f>
        <v>0.18</v>
      </c>
      <c r="P26" s="2115"/>
    </row>
    <row r="27" spans="1:16" ht="15.4" thickBot="1" x14ac:dyDescent="0.45">
      <c r="A27" s="64">
        <v>9</v>
      </c>
      <c r="B27" s="2174" t="s">
        <v>137</v>
      </c>
      <c r="C27" s="2175"/>
      <c r="D27" s="2175"/>
      <c r="E27" s="2175"/>
      <c r="F27" s="2175"/>
      <c r="G27" s="2175"/>
      <c r="H27" s="2175"/>
      <c r="I27" s="2175"/>
      <c r="J27" s="2175"/>
      <c r="K27" s="2175"/>
      <c r="L27" s="2175"/>
      <c r="M27" s="2175"/>
      <c r="N27" s="2176"/>
      <c r="O27" s="2074">
        <f ca="1">Projekt!H139</f>
        <v>0.87</v>
      </c>
      <c r="P27" s="2169"/>
    </row>
    <row r="28" spans="1:16" x14ac:dyDescent="0.4">
      <c r="A28" s="64">
        <v>10</v>
      </c>
      <c r="B28" s="2094" t="s">
        <v>53</v>
      </c>
      <c r="C28" s="2095"/>
      <c r="D28" s="2095"/>
      <c r="E28" s="2095"/>
      <c r="F28" s="2095"/>
      <c r="G28" s="2095"/>
      <c r="H28" s="2180" t="s">
        <v>302</v>
      </c>
      <c r="I28" s="2180"/>
      <c r="J28" s="2180"/>
      <c r="K28" s="2180"/>
      <c r="L28" s="2180"/>
      <c r="M28" s="2180"/>
      <c r="N28" s="2181"/>
      <c r="O28" s="2188">
        <f ca="1">IF(_OK?="OK!",SUM(O23:P27),ROUND(SUM(O23:P27),0))</f>
        <v>15.72</v>
      </c>
      <c r="P28" s="2189"/>
    </row>
    <row r="29" spans="1:16" x14ac:dyDescent="0.4">
      <c r="A29" s="64">
        <v>11</v>
      </c>
      <c r="B29" s="2096" t="s">
        <v>138</v>
      </c>
      <c r="C29" s="2097"/>
      <c r="D29" s="2097"/>
      <c r="E29" s="2097"/>
      <c r="F29" s="2097"/>
      <c r="G29" s="2097"/>
      <c r="H29" s="2097"/>
      <c r="I29" s="2097"/>
      <c r="J29" s="2097"/>
      <c r="K29" s="2097"/>
      <c r="L29" s="2097"/>
      <c r="M29" s="2097"/>
      <c r="N29" s="2097"/>
      <c r="O29" s="2113">
        <f ca="1">Projekt!G139</f>
        <v>0.83</v>
      </c>
      <c r="P29" s="2115"/>
    </row>
    <row r="30" spans="1:16" x14ac:dyDescent="0.4">
      <c r="A30" s="64">
        <v>12</v>
      </c>
      <c r="B30" s="2080" t="s">
        <v>54</v>
      </c>
      <c r="C30" s="2081"/>
      <c r="D30" s="2081"/>
      <c r="E30" s="2081"/>
      <c r="F30" s="2081"/>
      <c r="G30" s="2081"/>
      <c r="H30" s="2084" t="s">
        <v>55</v>
      </c>
      <c r="I30" s="2084"/>
      <c r="J30" s="2085"/>
      <c r="K30" s="2076">
        <f ca="1">Projekt!H180</f>
        <v>0.2994</v>
      </c>
      <c r="L30" s="2077"/>
      <c r="M30" s="2182"/>
      <c r="N30" s="2183"/>
      <c r="O30" s="2113">
        <f ca="1">K30*O28</f>
        <v>4.71</v>
      </c>
      <c r="P30" s="2115"/>
    </row>
    <row r="31" spans="1:16" x14ac:dyDescent="0.4">
      <c r="A31" s="64">
        <v>13</v>
      </c>
      <c r="B31" s="2080" t="s">
        <v>56</v>
      </c>
      <c r="C31" s="2081"/>
      <c r="D31" s="2081"/>
      <c r="E31" s="2081"/>
      <c r="F31" s="2081"/>
      <c r="G31" s="2081"/>
      <c r="H31" s="2084" t="s">
        <v>55</v>
      </c>
      <c r="I31" s="2084"/>
      <c r="J31" s="2085"/>
      <c r="K31" s="2076">
        <f ca="1">Projekt!H199</f>
        <v>0.7</v>
      </c>
      <c r="L31" s="2077"/>
      <c r="M31" s="2182"/>
      <c r="N31" s="2183"/>
      <c r="O31" s="2113">
        <f ca="1">K31*O28</f>
        <v>11</v>
      </c>
      <c r="P31" s="2115"/>
    </row>
    <row r="32" spans="1:16" ht="15.4" thickBot="1" x14ac:dyDescent="0.45">
      <c r="A32" s="64">
        <v>14</v>
      </c>
      <c r="B32" s="2082" t="s">
        <v>57</v>
      </c>
      <c r="C32" s="2083"/>
      <c r="D32" s="2083"/>
      <c r="E32" s="2083"/>
      <c r="F32" s="2083"/>
      <c r="G32" s="2083"/>
      <c r="H32" s="2086" t="s">
        <v>55</v>
      </c>
      <c r="I32" s="2086"/>
      <c r="J32" s="2087"/>
      <c r="K32" s="2154">
        <f ca="1">Projekt!F212</f>
        <v>4.4999999999999997E-3</v>
      </c>
      <c r="L32" s="2155"/>
      <c r="M32" s="2236"/>
      <c r="N32" s="2237"/>
      <c r="O32" s="2074">
        <f ca="1">K32*O28</f>
        <v>7.0000000000000007E-2</v>
      </c>
      <c r="P32" s="2169"/>
    </row>
    <row r="33" spans="1:19" x14ac:dyDescent="0.4">
      <c r="A33" s="64">
        <v>15</v>
      </c>
      <c r="B33" s="2094" t="s">
        <v>58</v>
      </c>
      <c r="C33" s="2095"/>
      <c r="D33" s="2095"/>
      <c r="E33" s="2095"/>
      <c r="F33" s="2095"/>
      <c r="G33" s="2095"/>
      <c r="H33" s="2180" t="s">
        <v>141</v>
      </c>
      <c r="I33" s="2180"/>
      <c r="J33" s="2180"/>
      <c r="K33" s="2180"/>
      <c r="L33" s="2180"/>
      <c r="M33" s="2180"/>
      <c r="N33" s="2180"/>
      <c r="O33" s="2188">
        <f ca="1">IF(_OK?="OK!",SUM(O28:P32),ROUND(SUM(O28:P32),0))</f>
        <v>32.33</v>
      </c>
      <c r="P33" s="2189"/>
    </row>
    <row r="34" spans="1:19" x14ac:dyDescent="0.4">
      <c r="A34" s="64">
        <v>16</v>
      </c>
      <c r="B34" s="2192" t="s">
        <v>59</v>
      </c>
      <c r="C34" s="2193"/>
      <c r="D34" s="2193"/>
      <c r="E34" s="2193"/>
      <c r="F34" s="2193"/>
      <c r="G34" s="2193"/>
      <c r="H34" s="2099" t="s">
        <v>60</v>
      </c>
      <c r="I34" s="2099"/>
      <c r="J34" s="2100"/>
      <c r="K34" s="2234">
        <f ca="1">Projekt!F239</f>
        <v>0.13689999999999999</v>
      </c>
      <c r="L34" s="2235"/>
      <c r="M34" s="2101"/>
      <c r="N34" s="2102"/>
      <c r="O34" s="2228">
        <f ca="1">K34*O33</f>
        <v>4.43</v>
      </c>
      <c r="P34" s="2229"/>
    </row>
    <row r="35" spans="1:19" ht="24.4" customHeight="1" x14ac:dyDescent="0.4">
      <c r="A35" s="64">
        <v>17</v>
      </c>
      <c r="B35" s="2216" t="s">
        <v>114</v>
      </c>
      <c r="C35" s="2217"/>
      <c r="D35" s="2217"/>
      <c r="E35" s="2217"/>
      <c r="F35" s="2217"/>
      <c r="G35" s="2217"/>
      <c r="H35" s="2217"/>
      <c r="I35" s="2217"/>
      <c r="J35" s="2218"/>
      <c r="K35" s="2199" t="s">
        <v>140</v>
      </c>
      <c r="L35" s="2200"/>
      <c r="M35" s="2199" t="s">
        <v>139</v>
      </c>
      <c r="N35" s="2200"/>
      <c r="O35" s="2205"/>
      <c r="P35" s="2206"/>
    </row>
    <row r="36" spans="1:19" x14ac:dyDescent="0.4">
      <c r="A36" s="157" t="s">
        <v>61</v>
      </c>
      <c r="B36" s="2119" t="str">
        <f>Projekt!A260</f>
        <v/>
      </c>
      <c r="C36" s="2120"/>
      <c r="D36" s="2120"/>
      <c r="E36" s="2120"/>
      <c r="F36" s="2120"/>
      <c r="G36" s="2120"/>
      <c r="H36" s="2120"/>
      <c r="I36" s="2120"/>
      <c r="J36" s="2121"/>
      <c r="K36" s="2211" t="str">
        <f>IF(Projekt!G260=0,"",Projekt!G260)</f>
        <v/>
      </c>
      <c r="L36" s="2212"/>
      <c r="M36" s="2230" t="str">
        <f>IFERROR(IF(AND(Projekt!F260=0,Projekt!G260=0),"",IF(Projekt!G260&gt;0,Projekt!G260*O$33,IF(Projekt!F260=0,"",Projekt!F260))),"")</f>
        <v/>
      </c>
      <c r="N36" s="2231"/>
      <c r="O36" s="2207"/>
      <c r="P36" s="2208"/>
    </row>
    <row r="37" spans="1:19" x14ac:dyDescent="0.4">
      <c r="A37" s="157" t="s">
        <v>62</v>
      </c>
      <c r="B37" s="2107">
        <f>Projekt!A261</f>
        <v>0</v>
      </c>
      <c r="C37" s="2108"/>
      <c r="D37" s="2108"/>
      <c r="E37" s="2108"/>
      <c r="F37" s="2108"/>
      <c r="G37" s="2108"/>
      <c r="H37" s="2108"/>
      <c r="I37" s="2108"/>
      <c r="J37" s="2109"/>
      <c r="K37" s="2232" t="str">
        <f>IF(Projekt!G261=0,"",Projekt!G261)</f>
        <v/>
      </c>
      <c r="L37" s="2233"/>
      <c r="M37" s="2113" t="str">
        <f ca="1">IFERROR(IF(AND(Projekt!F261=0,Projekt!G261=0),"",IF(Projekt!G261&gt;0,Projekt!G261*O$33,IF(Projekt!F261=0,"",Projekt!F261))),"")</f>
        <v/>
      </c>
      <c r="N37" s="2115"/>
      <c r="O37" s="2207"/>
      <c r="P37" s="2208"/>
    </row>
    <row r="38" spans="1:19" ht="15.4" thickBot="1" x14ac:dyDescent="0.45">
      <c r="A38" s="157" t="s">
        <v>63</v>
      </c>
      <c r="B38" s="2110" t="str">
        <f>Projekt!A262</f>
        <v/>
      </c>
      <c r="C38" s="2111"/>
      <c r="D38" s="2111"/>
      <c r="E38" s="2111"/>
      <c r="F38" s="2111"/>
      <c r="G38" s="2111"/>
      <c r="H38" s="2111"/>
      <c r="I38" s="2111"/>
      <c r="J38" s="2112"/>
      <c r="K38" s="2219" t="str">
        <f>IF(Projekt!G262=0,"",Projekt!G262)</f>
        <v/>
      </c>
      <c r="L38" s="2220"/>
      <c r="M38" s="2074" t="str">
        <f>IFERROR(IF(AND(Projekt!F262=0,Projekt!G262=0),"",IF(Projekt!G262&gt;0,Projekt!G262*O$33,IF(Projekt!F262=0,"",Projekt!F262))),"")</f>
        <v/>
      </c>
      <c r="N38" s="2169"/>
      <c r="O38" s="2209"/>
      <c r="P38" s="2210"/>
      <c r="Q38" s="27"/>
      <c r="R38" s="27"/>
      <c r="S38" s="27"/>
    </row>
    <row r="39" spans="1:19" ht="15.4" thickBot="1" x14ac:dyDescent="0.45">
      <c r="A39" s="65">
        <v>18</v>
      </c>
      <c r="B39" s="1016" t="s">
        <v>309</v>
      </c>
      <c r="C39" s="1017"/>
      <c r="D39" s="1017"/>
      <c r="E39" s="1017"/>
      <c r="F39" s="1018"/>
      <c r="G39" s="1018"/>
      <c r="H39" s="1019"/>
      <c r="I39" s="2238" t="s">
        <v>311</v>
      </c>
      <c r="J39" s="2238"/>
      <c r="K39" s="2238"/>
      <c r="L39" s="2239"/>
      <c r="M39" s="2240" t="str">
        <f ca="1">IF(SUM(M36:N38)&gt;0,SUM(M36:N38),"")</f>
        <v/>
      </c>
      <c r="N39" s="2241"/>
      <c r="O39" s="2240">
        <f ca="1">IF(_OK?="OK!",O33+O34,ROUND((O33+O34),0))</f>
        <v>36.76</v>
      </c>
      <c r="P39" s="2241"/>
      <c r="Q39" s="1005"/>
      <c r="R39" s="1006"/>
      <c r="S39" s="1007"/>
    </row>
    <row r="40" spans="1:19" ht="27.85" customHeight="1" thickBot="1" x14ac:dyDescent="0.45">
      <c r="A40" s="65">
        <v>19</v>
      </c>
      <c r="B40" s="2068" t="s">
        <v>209</v>
      </c>
      <c r="C40" s="2069"/>
      <c r="D40" s="2069"/>
      <c r="E40" s="2069"/>
      <c r="F40" s="2069" t="str">
        <f>" ("&amp;Projekt!C17&amp;" - "&amp;Projekt!C19&amp;")"</f>
        <v xml:space="preserve"> (Mittellohnkosten - Montage)</v>
      </c>
      <c r="G40" s="2069"/>
      <c r="H40" s="2069"/>
      <c r="I40" s="2069"/>
      <c r="J40" s="2070"/>
      <c r="K40" s="2078" t="s">
        <v>305</v>
      </c>
      <c r="L40" s="2098"/>
      <c r="M40" s="1004" t="str">
        <f>IF(Projekt!F276=Projekt!D274,"ge-rundet:","")</f>
        <v/>
      </c>
      <c r="N40" s="2223" t="str">
        <f ca="1">IF(Projekt!F272="Ja",TEXT(Q40,"0,00")&amp;" €/Std
("&amp;TEXT(R40,"0,000")&amp;" €/Min)",TEXT(Q40,"0,00")&amp;" €/Std")</f>
        <v>36,76 €/Std</v>
      </c>
      <c r="O40" s="2223"/>
      <c r="P40" s="2224"/>
      <c r="Q40" s="1008">
        <f ca="1">IF(Projekt!F276=Projekt!D274,ROUND(SUM(M39:P39),1),SUM(M39:P39))</f>
        <v>36.76</v>
      </c>
      <c r="R40" s="1009">
        <f ca="1">Q40/60</f>
        <v>0.61299999999999999</v>
      </c>
      <c r="S40" s="27"/>
    </row>
    <row r="41" spans="1:19" ht="15" hidden="1" customHeight="1" x14ac:dyDescent="0.4">
      <c r="A41" s="65"/>
      <c r="B41" s="2" t="s">
        <v>67</v>
      </c>
      <c r="C41" s="6"/>
      <c r="D41" s="6"/>
      <c r="E41" s="6"/>
      <c r="F41" s="6"/>
      <c r="G41" s="6"/>
      <c r="H41" s="7"/>
      <c r="I41" s="1"/>
      <c r="J41" s="31"/>
      <c r="K41" s="5"/>
      <c r="L41" s="5"/>
      <c r="M41" s="34"/>
      <c r="N41" s="35"/>
      <c r="O41" s="35"/>
      <c r="P41" s="36"/>
      <c r="Q41" s="1010"/>
      <c r="R41" s="1010"/>
      <c r="S41" s="27"/>
    </row>
    <row r="42" spans="1:19" x14ac:dyDescent="0.4">
      <c r="A42" s="65"/>
      <c r="B42" s="2088" t="s">
        <v>66</v>
      </c>
      <c r="C42" s="2089"/>
      <c r="D42" s="2089"/>
      <c r="E42" s="2089"/>
      <c r="F42" s="2089"/>
      <c r="G42" s="2089"/>
      <c r="H42" s="2090"/>
      <c r="I42" s="2201" t="s">
        <v>64</v>
      </c>
      <c r="J42" s="2202"/>
      <c r="K42" s="2201" t="s">
        <v>65</v>
      </c>
      <c r="L42" s="2202"/>
      <c r="M42" s="2213"/>
      <c r="N42" s="2214"/>
      <c r="O42" s="2214"/>
      <c r="P42" s="2215"/>
      <c r="Q42" s="1010"/>
      <c r="R42" s="1010"/>
      <c r="S42" s="27"/>
    </row>
    <row r="43" spans="1:19" ht="15.4" thickBot="1" x14ac:dyDescent="0.45">
      <c r="A43" s="65">
        <v>20</v>
      </c>
      <c r="B43" s="2091"/>
      <c r="C43" s="2092"/>
      <c r="D43" s="2092"/>
      <c r="E43" s="2092"/>
      <c r="F43" s="2092"/>
      <c r="G43" s="2092"/>
      <c r="H43" s="2093"/>
      <c r="I43" s="2203" t="str">
        <f ca="1">IF(M39="","",Projekt!G268)</f>
        <v/>
      </c>
      <c r="J43" s="2204"/>
      <c r="K43" s="2203">
        <f>Projekt!G267</f>
        <v>0.22411</v>
      </c>
      <c r="L43" s="2204"/>
      <c r="M43" s="2163" t="str">
        <f ca="1">IFERROR(I43*M39,"")</f>
        <v/>
      </c>
      <c r="N43" s="2164"/>
      <c r="O43" s="2163">
        <f ca="1">IF(_OK?="OK!",K43*O39,ROUND((K43*O39),0))</f>
        <v>8.24</v>
      </c>
      <c r="P43" s="2164"/>
      <c r="Q43" s="1010"/>
      <c r="R43" s="1010"/>
      <c r="S43" s="27"/>
    </row>
    <row r="44" spans="1:19" ht="15.4" thickBot="1" x14ac:dyDescent="0.45">
      <c r="A44" s="65">
        <v>21</v>
      </c>
      <c r="B44" s="52" t="s">
        <v>308</v>
      </c>
      <c r="C44" s="1020"/>
      <c r="D44" s="1020"/>
      <c r="E44" s="1020"/>
      <c r="F44" s="1020"/>
      <c r="G44" s="1021"/>
      <c r="H44" s="54"/>
      <c r="I44" s="2126" t="s">
        <v>307</v>
      </c>
      <c r="J44" s="2126"/>
      <c r="K44" s="2126"/>
      <c r="L44" s="2127"/>
      <c r="M44" s="2066" t="str">
        <f ca="1">IFERROR(M39+M43,"")</f>
        <v/>
      </c>
      <c r="N44" s="2067"/>
      <c r="O44" s="2066">
        <f ca="1">SUM(O39:P43)</f>
        <v>45</v>
      </c>
      <c r="P44" s="2067"/>
      <c r="Q44" s="1010"/>
      <c r="R44" s="1010"/>
      <c r="S44" s="27"/>
    </row>
    <row r="45" spans="1:19" ht="27.85" customHeight="1" thickBot="1" x14ac:dyDescent="0.45">
      <c r="A45" s="66">
        <v>22</v>
      </c>
      <c r="B45" s="2068" t="s">
        <v>210</v>
      </c>
      <c r="C45" s="2069"/>
      <c r="D45" s="2069"/>
      <c r="E45" s="2069"/>
      <c r="F45" s="2069" t="str">
        <f>" ("&amp;Projekt!F17&amp;" - "&amp;Projekt!C19&amp;")"</f>
        <v xml:space="preserve"> (Mittellohnpreis - Montage)</v>
      </c>
      <c r="G45" s="2069"/>
      <c r="H45" s="2069"/>
      <c r="I45" s="2069"/>
      <c r="J45" s="2070"/>
      <c r="K45" s="2078" t="s">
        <v>306</v>
      </c>
      <c r="L45" s="2079"/>
      <c r="M45" s="1004" t="str">
        <f>IF(Projekt!F278=Projekt!D274,"ge-rundet:","")</f>
        <v/>
      </c>
      <c r="N45" s="2223" t="str">
        <f ca="1">IF(Projekt!F272="Ja",TEXT(Q45,"0,00")&amp;" €/Std 
("&amp;TEXT(R45,"0,000")&amp;" €/Min)",TEXT(Q45,"0,00")&amp;" €/Std")</f>
        <v>45,00 €/Std</v>
      </c>
      <c r="O45" s="2223"/>
      <c r="P45" s="2224"/>
      <c r="Q45" s="1008">
        <f ca="1">IF(Projekt!F278=Projekt!D274,ROUND(SUM(M44:P44),1),SUM(M44:P44))</f>
        <v>45</v>
      </c>
      <c r="R45" s="1009">
        <f ca="1">Q45/60</f>
        <v>0.75</v>
      </c>
      <c r="S45" s="27"/>
    </row>
    <row r="46" spans="1:19" hidden="1" x14ac:dyDescent="0.4">
      <c r="A46" s="249"/>
      <c r="B46" s="250" t="s">
        <v>67</v>
      </c>
      <c r="C46" s="1"/>
      <c r="D46" s="1"/>
      <c r="E46" s="1"/>
      <c r="F46" s="1"/>
      <c r="G46" s="1"/>
      <c r="H46" s="1"/>
      <c r="I46" s="1"/>
      <c r="J46" s="7"/>
      <c r="K46" s="7"/>
      <c r="L46" s="27"/>
      <c r="M46" s="29"/>
      <c r="N46" s="29"/>
      <c r="O46" s="28"/>
      <c r="P46" s="252"/>
      <c r="Q46" s="27"/>
      <c r="R46" s="27"/>
      <c r="S46" s="27"/>
    </row>
    <row r="47" spans="1:19" ht="55.9" customHeight="1" x14ac:dyDescent="0.4">
      <c r="A47" s="2225" t="str">
        <f>'Lizenz u lies mich'!B32&amp;"      
Lizenziert für:"</f>
        <v>Vers. 3.0      
Lizenziert für:</v>
      </c>
      <c r="B47" s="2226"/>
      <c r="C47" s="2227"/>
      <c r="D47" s="2064" t="str">
        <f ca="1">IF(AND(_OK?="OK!",_OK_KV?="OK_KV!"),('Lizenz u lies mich'!B29&amp;" "&amp;'Lizenz u lies mich'!O32),"Keine gültige Lizenz! Nur als Testversion nutzbar!")</f>
        <v xml:space="preserve">Malerhandbuch 2022 </v>
      </c>
      <c r="E47" s="2064"/>
      <c r="F47" s="2064"/>
      <c r="G47" s="2064"/>
      <c r="H47" s="2065"/>
      <c r="I47" s="2063"/>
      <c r="J47" s="2063"/>
      <c r="K47" s="2063"/>
      <c r="L47" s="2063"/>
      <c r="M47" s="2063"/>
      <c r="N47" s="2060" t="s">
        <v>669</v>
      </c>
      <c r="O47" s="2061"/>
      <c r="P47" s="2062"/>
      <c r="Q47" s="27"/>
      <c r="R47" s="27"/>
      <c r="S47" s="27"/>
    </row>
    <row r="48" spans="1:19" x14ac:dyDescent="0.4">
      <c r="Q48" s="27"/>
      <c r="R48" s="27"/>
      <c r="S48" s="27"/>
    </row>
  </sheetData>
  <sheetProtection password="B984" sheet="1" formatColumns="0" selectLockedCells="1"/>
  <mergeCells count="162">
    <mergeCell ref="O28:P28"/>
    <mergeCell ref="G1:P1"/>
    <mergeCell ref="N40:P40"/>
    <mergeCell ref="N45:P45"/>
    <mergeCell ref="A47:C47"/>
    <mergeCell ref="H28:N28"/>
    <mergeCell ref="O33:P33"/>
    <mergeCell ref="O34:P34"/>
    <mergeCell ref="M36:N36"/>
    <mergeCell ref="K35:L35"/>
    <mergeCell ref="M38:N38"/>
    <mergeCell ref="K37:L37"/>
    <mergeCell ref="K34:L34"/>
    <mergeCell ref="H33:N33"/>
    <mergeCell ref="M30:N30"/>
    <mergeCell ref="M31:N31"/>
    <mergeCell ref="M32:N32"/>
    <mergeCell ref="K30:L30"/>
    <mergeCell ref="K31:L31"/>
    <mergeCell ref="K32:L32"/>
    <mergeCell ref="I39:L39"/>
    <mergeCell ref="M39:N39"/>
    <mergeCell ref="O39:P39"/>
    <mergeCell ref="M43:N43"/>
    <mergeCell ref="B34:G34"/>
    <mergeCell ref="F11:G11"/>
    <mergeCell ref="B1:E1"/>
    <mergeCell ref="I9:J9"/>
    <mergeCell ref="K9:O9"/>
    <mergeCell ref="F10:G10"/>
    <mergeCell ref="O43:P43"/>
    <mergeCell ref="M35:N35"/>
    <mergeCell ref="B37:J37"/>
    <mergeCell ref="M37:N37"/>
    <mergeCell ref="I42:J42"/>
    <mergeCell ref="K42:L42"/>
    <mergeCell ref="I43:J43"/>
    <mergeCell ref="K43:L43"/>
    <mergeCell ref="O35:P38"/>
    <mergeCell ref="K36:L36"/>
    <mergeCell ref="M42:P42"/>
    <mergeCell ref="B35:J35"/>
    <mergeCell ref="B36:J36"/>
    <mergeCell ref="B38:J38"/>
    <mergeCell ref="K38:L38"/>
    <mergeCell ref="O29:P29"/>
    <mergeCell ref="O30:P30"/>
    <mergeCell ref="O31:P31"/>
    <mergeCell ref="O32:P32"/>
    <mergeCell ref="I14:J14"/>
    <mergeCell ref="K6:L6"/>
    <mergeCell ref="O27:P27"/>
    <mergeCell ref="B27:N27"/>
    <mergeCell ref="H22:J22"/>
    <mergeCell ref="H23:N23"/>
    <mergeCell ref="H24:J24"/>
    <mergeCell ref="H25:J25"/>
    <mergeCell ref="H26:J26"/>
    <mergeCell ref="M24:N24"/>
    <mergeCell ref="M25:N25"/>
    <mergeCell ref="M26:N26"/>
    <mergeCell ref="B23:G23"/>
    <mergeCell ref="B22:G22"/>
    <mergeCell ref="M22:N22"/>
    <mergeCell ref="B25:G25"/>
    <mergeCell ref="B26:G26"/>
    <mergeCell ref="O23:P23"/>
    <mergeCell ref="O24:P24"/>
    <mergeCell ref="O25:P25"/>
    <mergeCell ref="O8:P8"/>
    <mergeCell ref="K13:N13"/>
    <mergeCell ref="I10:J10"/>
    <mergeCell ref="I13:J13"/>
    <mergeCell ref="K24:L24"/>
    <mergeCell ref="K25:L25"/>
    <mergeCell ref="M20:N20"/>
    <mergeCell ref="K15:N15"/>
    <mergeCell ref="O20:P20"/>
    <mergeCell ref="O21:P21"/>
    <mergeCell ref="O22:P22"/>
    <mergeCell ref="B20:L20"/>
    <mergeCell ref="K19:O19"/>
    <mergeCell ref="B17:E17"/>
    <mergeCell ref="B18:E18"/>
    <mergeCell ref="F17:G17"/>
    <mergeCell ref="F18:G18"/>
    <mergeCell ref="B24:G24"/>
    <mergeCell ref="I19:J19"/>
    <mergeCell ref="F16:G16"/>
    <mergeCell ref="B19:G19"/>
    <mergeCell ref="K12:N12"/>
    <mergeCell ref="F9:G9"/>
    <mergeCell ref="C4:E4"/>
    <mergeCell ref="I44:L44"/>
    <mergeCell ref="M44:N44"/>
    <mergeCell ref="B40:E40"/>
    <mergeCell ref="B2:E3"/>
    <mergeCell ref="G4:J4"/>
    <mergeCell ref="F2:J3"/>
    <mergeCell ref="M6:P6"/>
    <mergeCell ref="B6:D6"/>
    <mergeCell ref="B7:E7"/>
    <mergeCell ref="F6:I6"/>
    <mergeCell ref="F7:I7"/>
    <mergeCell ref="K7:P7"/>
    <mergeCell ref="K4:P4"/>
    <mergeCell ref="K3:P3"/>
    <mergeCell ref="K5:P5"/>
    <mergeCell ref="B5:D5"/>
    <mergeCell ref="F5:I5"/>
    <mergeCell ref="B9:E9"/>
    <mergeCell ref="B10:E10"/>
    <mergeCell ref="O26:P26"/>
    <mergeCell ref="K22:L22"/>
    <mergeCell ref="A2:A8"/>
    <mergeCell ref="K10:N10"/>
    <mergeCell ref="K16:N16"/>
    <mergeCell ref="K17:N17"/>
    <mergeCell ref="K18:N18"/>
    <mergeCell ref="K14:N14"/>
    <mergeCell ref="I15:J15"/>
    <mergeCell ref="I16:J16"/>
    <mergeCell ref="I17:J17"/>
    <mergeCell ref="B14:E14"/>
    <mergeCell ref="B15:E15"/>
    <mergeCell ref="B16:E16"/>
    <mergeCell ref="F12:G12"/>
    <mergeCell ref="F15:G15"/>
    <mergeCell ref="B8:L8"/>
    <mergeCell ref="K2:P2"/>
    <mergeCell ref="M8:N8"/>
    <mergeCell ref="F13:G13"/>
    <mergeCell ref="B12:E12"/>
    <mergeCell ref="B13:E13"/>
    <mergeCell ref="F14:G14"/>
    <mergeCell ref="I11:J11"/>
    <mergeCell ref="I12:J12"/>
    <mergeCell ref="K11:N11"/>
    <mergeCell ref="N47:P47"/>
    <mergeCell ref="I47:M47"/>
    <mergeCell ref="D47:H47"/>
    <mergeCell ref="O44:P44"/>
    <mergeCell ref="B45:E45"/>
    <mergeCell ref="F45:J45"/>
    <mergeCell ref="F40:J40"/>
    <mergeCell ref="B11:E11"/>
    <mergeCell ref="I18:J18"/>
    <mergeCell ref="K26:L26"/>
    <mergeCell ref="K45:L45"/>
    <mergeCell ref="B30:G30"/>
    <mergeCell ref="B31:G31"/>
    <mergeCell ref="B32:G32"/>
    <mergeCell ref="H30:J30"/>
    <mergeCell ref="H31:J31"/>
    <mergeCell ref="H32:J32"/>
    <mergeCell ref="B42:H43"/>
    <mergeCell ref="B28:G28"/>
    <mergeCell ref="B29:N29"/>
    <mergeCell ref="K40:L40"/>
    <mergeCell ref="H34:J34"/>
    <mergeCell ref="M34:N34"/>
    <mergeCell ref="B33:G33"/>
  </mergeCells>
  <conditionalFormatting sqref="B5:D5">
    <cfRule type="expression" dxfId="61" priority="15">
      <formula>$E$5="X"</formula>
    </cfRule>
  </conditionalFormatting>
  <conditionalFormatting sqref="B6:D6">
    <cfRule type="expression" dxfId="60" priority="14">
      <formula>$E$6="X"</formula>
    </cfRule>
  </conditionalFormatting>
  <conditionalFormatting sqref="F5:I5">
    <cfRule type="expression" dxfId="59" priority="13">
      <formula>$J$5="X"</formula>
    </cfRule>
  </conditionalFormatting>
  <conditionalFormatting sqref="F6:I6">
    <cfRule type="expression" dxfId="58" priority="12">
      <formula>$J$6="X"</formula>
    </cfRule>
  </conditionalFormatting>
  <conditionalFormatting sqref="K3:P5">
    <cfRule type="expression" dxfId="57" priority="9">
      <formula>OR(_OK?&lt;&gt;"OK!",_OK_KV?&lt;&gt;"OK_KV!")</formula>
    </cfRule>
  </conditionalFormatting>
  <conditionalFormatting sqref="B36:J38">
    <cfRule type="expression" dxfId="56" priority="8">
      <formula>$B36=0</formula>
    </cfRule>
  </conditionalFormatting>
  <conditionalFormatting sqref="O21:P21 O23:P23 O28:P28 O33:P33 O39:P39 O43:P44 N45:P45 D47">
    <cfRule type="expression" dxfId="55" priority="6">
      <formula>_OK?&lt;&gt;"OK!"</formula>
    </cfRule>
  </conditionalFormatting>
  <conditionalFormatting sqref="N40:P40 N45:P45">
    <cfRule type="expression" dxfId="54" priority="5">
      <formula>_OK?&lt;&gt;"OK!"</formula>
    </cfRule>
  </conditionalFormatting>
  <pageMargins left="0.59055118110236227" right="0.19685039370078741" top="0.59055118110236227" bottom="0.19685039370078741" header="0.19685039370078741" footer="0.11811023622047245"/>
  <pageSetup paperSize="9" orientation="portrait" r:id="rId1"/>
  <headerFooter>
    <oddFooter>&amp;L&amp;10K2-Blatt
Seite: &amp;P&amp;R&amp;10&amp;F</oddFooter>
  </headerFooter>
  <ignoredErrors>
    <ignoredError sqref="O23" formula="1"/>
  </ignoredErrors>
  <extLst>
    <ext xmlns:x14="http://schemas.microsoft.com/office/spreadsheetml/2009/9/main" uri="{78C0D931-6437-407d-A8EE-F0AAD7539E65}">
      <x14:conditionalFormattings>
        <x14:conditionalFormatting xmlns:xm="http://schemas.microsoft.com/office/excel/2006/main">
          <x14:cfRule type="expression" priority="2" id="{4C74D83D-E5B3-49A3-91A1-8B9843C24A0F}">
            <xm:f>Projekt!$F$273="Nein"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1" id="{773490A5-183E-4DE8-831E-AE1BD9B174C6}">
            <xm:f>Projekt!$F$273="Nein"</xm:f>
            <x14:dxf>
              <border>
                <top/>
                <bottom/>
                <vertical/>
                <horizontal/>
              </border>
            </x14:dxf>
          </x14:cfRule>
          <xm:sqref>K25:L26</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F996D-4A7A-49AA-88F0-6649C3D365CA}">
  <sheetPr>
    <tabColor theme="6"/>
  </sheetPr>
  <dimension ref="A1:P47"/>
  <sheetViews>
    <sheetView showGridLines="0" zoomScaleNormal="100" workbookViewId="0">
      <selection activeCell="I47" sqref="I47:M47"/>
    </sheetView>
  </sheetViews>
  <sheetFormatPr baseColWidth="10" defaultRowHeight="15" x14ac:dyDescent="0.4"/>
  <cols>
    <col min="1" max="1" width="2.44140625" style="43" customWidth="1"/>
    <col min="2" max="5" width="4.44140625" customWidth="1"/>
    <col min="6" max="7" width="4.5546875" customWidth="1"/>
    <col min="8" max="8" width="5.5546875" customWidth="1"/>
    <col min="9" max="14" width="4.5546875" customWidth="1"/>
    <col min="15" max="16" width="5.33203125" customWidth="1"/>
  </cols>
  <sheetData>
    <row r="1" spans="1:16" ht="18" x14ac:dyDescent="0.55000000000000004">
      <c r="A1" s="206" t="s">
        <v>30</v>
      </c>
      <c r="B1" s="2194" t="s">
        <v>31</v>
      </c>
      <c r="C1" s="2194"/>
      <c r="D1" s="2194"/>
      <c r="E1" s="2194"/>
      <c r="F1" s="231" t="s">
        <v>310</v>
      </c>
      <c r="G1" s="2321" t="str">
        <f>Projekt!D10</f>
        <v>Musterprojekt Malerhandbuch 2022</v>
      </c>
      <c r="H1" s="2321"/>
      <c r="I1" s="2321"/>
      <c r="J1" s="2321"/>
      <c r="K1" s="2321"/>
      <c r="L1" s="2321"/>
      <c r="M1" s="2321"/>
      <c r="N1" s="2321"/>
      <c r="O1" s="2321"/>
      <c r="P1" s="2322"/>
    </row>
    <row r="2" spans="1:16" x14ac:dyDescent="0.4">
      <c r="A2" s="2305"/>
      <c r="B2" s="2128" t="s">
        <v>70</v>
      </c>
      <c r="C2" s="2129"/>
      <c r="D2" s="2129"/>
      <c r="E2" s="2129"/>
      <c r="F2" s="2307" t="str">
        <f>Projekt!D291</f>
        <v>Regie Facharbeiter</v>
      </c>
      <c r="G2" s="2307"/>
      <c r="H2" s="2307"/>
      <c r="I2" s="2307"/>
      <c r="J2" s="2308"/>
      <c r="K2" s="2080" t="s">
        <v>33</v>
      </c>
      <c r="L2" s="2081"/>
      <c r="M2" s="2081"/>
      <c r="N2" s="2081"/>
      <c r="O2" s="2081"/>
      <c r="P2" s="2116"/>
    </row>
    <row r="3" spans="1:16" x14ac:dyDescent="0.4">
      <c r="A3" s="2306"/>
      <c r="B3" s="2130"/>
      <c r="C3" s="2131"/>
      <c r="D3" s="2131"/>
      <c r="E3" s="2131"/>
      <c r="F3" s="2309"/>
      <c r="G3" s="2309"/>
      <c r="H3" s="2309"/>
      <c r="I3" s="2309"/>
      <c r="J3" s="2310"/>
      <c r="K3" s="2107" t="str">
        <f ca="1">Projekt!D7</f>
        <v>Malerhandbuch 2022</v>
      </c>
      <c r="L3" s="2108"/>
      <c r="M3" s="2108"/>
      <c r="N3" s="2108"/>
      <c r="O3" s="2108"/>
      <c r="P3" s="2109"/>
    </row>
    <row r="4" spans="1:16" x14ac:dyDescent="0.4">
      <c r="A4" s="2306"/>
      <c r="B4" s="153" t="s">
        <v>266</v>
      </c>
      <c r="C4" s="2311" t="str">
        <f>Projekt!B14</f>
        <v>Gz-Uxx</v>
      </c>
      <c r="D4" s="2311"/>
      <c r="E4" s="2312"/>
      <c r="F4" s="191" t="s">
        <v>267</v>
      </c>
      <c r="G4" s="2313" t="str">
        <f>Projekt!B15</f>
        <v>AG-NNN</v>
      </c>
      <c r="H4" s="2313"/>
      <c r="I4" s="2313"/>
      <c r="J4" s="2314"/>
      <c r="K4" s="2145" t="str">
        <f>IF(Projekt!D8&lt;&gt;0,Projekt!D8,"")</f>
        <v>Musterkalkulation</v>
      </c>
      <c r="L4" s="2146"/>
      <c r="M4" s="2146"/>
      <c r="N4" s="2146"/>
      <c r="O4" s="2146"/>
      <c r="P4" s="2147"/>
    </row>
    <row r="5" spans="1:16" x14ac:dyDescent="0.4">
      <c r="A5" s="2306"/>
      <c r="B5" s="2148" t="s">
        <v>34</v>
      </c>
      <c r="C5" s="2105"/>
      <c r="D5" s="2105"/>
      <c r="E5" s="9" t="str">
        <f>IF(Projekt!C$18=Projekt!F$18,"X","-")</f>
        <v>X</v>
      </c>
      <c r="F5" s="2149" t="s">
        <v>2</v>
      </c>
      <c r="G5" s="2149"/>
      <c r="H5" s="2149"/>
      <c r="I5" s="2149"/>
      <c r="J5" s="246" t="str">
        <f>IF(Projekt!C$19=Projekt!F$19,"X","-")</f>
        <v>X</v>
      </c>
      <c r="K5" s="2145" t="str">
        <f>IF(Projekt!D9&lt;&gt;0,Projekt!D9,"")</f>
        <v/>
      </c>
      <c r="L5" s="2146"/>
      <c r="M5" s="2146"/>
      <c r="N5" s="2146"/>
      <c r="O5" s="2146"/>
      <c r="P5" s="2147"/>
    </row>
    <row r="6" spans="1:16" x14ac:dyDescent="0.4">
      <c r="A6" s="2306"/>
      <c r="B6" s="1587" t="s">
        <v>35</v>
      </c>
      <c r="C6" s="2138"/>
      <c r="D6" s="2138"/>
      <c r="E6" s="247" t="str">
        <f>IF(Projekt!C$18=Projekt!G$18,"X","-")</f>
        <v>-</v>
      </c>
      <c r="F6" s="2080" t="s">
        <v>3</v>
      </c>
      <c r="G6" s="2081"/>
      <c r="H6" s="2081"/>
      <c r="I6" s="2081"/>
      <c r="J6" s="10" t="str">
        <f>IF(Projekt!C$19=Projekt!G$19,"X","-")</f>
        <v>-</v>
      </c>
      <c r="K6" s="2149" t="s">
        <v>1</v>
      </c>
      <c r="L6" s="2149"/>
      <c r="M6" s="2319">
        <f>Projekt!F14</f>
        <v>44686</v>
      </c>
      <c r="N6" s="2319"/>
      <c r="O6" s="2319"/>
      <c r="P6" s="2320"/>
    </row>
    <row r="7" spans="1:16" x14ac:dyDescent="0.4">
      <c r="A7" s="2306"/>
      <c r="B7" s="2165" t="s">
        <v>184</v>
      </c>
      <c r="C7" s="2166"/>
      <c r="D7" s="2166"/>
      <c r="E7" s="2166"/>
      <c r="F7" s="2315" t="s">
        <v>36</v>
      </c>
      <c r="G7" s="2316"/>
      <c r="H7" s="2316"/>
      <c r="I7" s="2316"/>
      <c r="J7" s="245" t="s">
        <v>9</v>
      </c>
      <c r="K7" s="2143" t="s">
        <v>237</v>
      </c>
      <c r="L7" s="2143"/>
      <c r="M7" s="2143"/>
      <c r="N7" s="2143"/>
      <c r="O7" s="2143"/>
      <c r="P7" s="2144"/>
    </row>
    <row r="8" spans="1:16" ht="15.4" thickBot="1" x14ac:dyDescent="0.45">
      <c r="A8" s="2306"/>
      <c r="B8" s="2323" t="str">
        <f ca="1">Stammdaten!B3</f>
        <v>KollV MALER-, LACKIERER-, SCHILDERHERST.GEWERBE</v>
      </c>
      <c r="C8" s="2324"/>
      <c r="D8" s="2324"/>
      <c r="E8" s="2324"/>
      <c r="F8" s="2324"/>
      <c r="G8" s="2324"/>
      <c r="H8" s="2324"/>
      <c r="I8" s="2324"/>
      <c r="J8" s="2324"/>
      <c r="K8" s="2324"/>
      <c r="L8" s="2325"/>
      <c r="M8" s="2117" t="s">
        <v>37</v>
      </c>
      <c r="N8" s="2118"/>
      <c r="O8" s="2317">
        <f ca="1">Stammdaten!B4</f>
        <v>44682</v>
      </c>
      <c r="P8" s="2318"/>
    </row>
    <row r="9" spans="1:16" x14ac:dyDescent="0.4">
      <c r="A9" s="158">
        <v>1</v>
      </c>
      <c r="B9" s="2101" t="s">
        <v>142</v>
      </c>
      <c r="C9" s="2102"/>
      <c r="D9" s="2102"/>
      <c r="E9" s="2150"/>
      <c r="F9" s="2122" t="s">
        <v>143</v>
      </c>
      <c r="G9" s="2123"/>
      <c r="H9" s="154" t="s">
        <v>38</v>
      </c>
      <c r="I9" s="2195" t="s">
        <v>39</v>
      </c>
      <c r="J9" s="2196"/>
      <c r="K9" s="2197" t="s">
        <v>144</v>
      </c>
      <c r="L9" s="2197"/>
      <c r="M9" s="2197"/>
      <c r="N9" s="2197"/>
      <c r="O9" s="2197"/>
      <c r="P9" s="39">
        <f ca="1">Projekt!C152</f>
        <v>39</v>
      </c>
    </row>
    <row r="10" spans="1:16" x14ac:dyDescent="0.4">
      <c r="A10" s="64" t="s">
        <v>40</v>
      </c>
      <c r="B10" s="2299" t="str">
        <f>Projekt!A294</f>
        <v>Facharbeiter mit LAB (&gt;3.J)</v>
      </c>
      <c r="C10" s="2299"/>
      <c r="D10" s="2299"/>
      <c r="E10" s="2300"/>
      <c r="F10" s="2301">
        <f ca="1">IFERROR((VLOOKUP(B10,Stammdaten!A$7:D$33,4,FALSE)),"")</f>
        <v>13.35</v>
      </c>
      <c r="G10" s="2301"/>
      <c r="H10" s="41">
        <f>Projekt!F294</f>
        <v>1</v>
      </c>
      <c r="I10" s="2267">
        <f ca="1">IF(PRODUCT(F10,H10)=0,"",F10*H10)</f>
        <v>13.35</v>
      </c>
      <c r="J10" s="2268"/>
      <c r="K10" s="2142" t="s">
        <v>246</v>
      </c>
      <c r="L10" s="2142"/>
      <c r="M10" s="2142"/>
      <c r="N10" s="2302"/>
      <c r="O10" s="40" t="s">
        <v>41</v>
      </c>
      <c r="P10" s="8" t="s">
        <v>23</v>
      </c>
    </row>
    <row r="11" spans="1:16" x14ac:dyDescent="0.4">
      <c r="A11" s="64" t="s">
        <v>42</v>
      </c>
      <c r="B11" s="2287"/>
      <c r="C11" s="2287"/>
      <c r="D11" s="2287"/>
      <c r="E11" s="2288"/>
      <c r="F11" s="2289"/>
      <c r="G11" s="2289"/>
      <c r="H11" s="44"/>
      <c r="I11" s="2290"/>
      <c r="J11" s="2291"/>
      <c r="K11" s="2303" t="str">
        <f>IF(Projekt!F316=1,Projekt!B317,"Regiestunde")</f>
        <v>Regiestunde</v>
      </c>
      <c r="L11" s="2304"/>
      <c r="M11" s="2304"/>
      <c r="N11" s="2304"/>
      <c r="O11" s="445" t="str">
        <f>IF(Projekt!F316=1,Projekt!E317,"")</f>
        <v/>
      </c>
      <c r="P11" s="446">
        <v>1</v>
      </c>
    </row>
    <row r="12" spans="1:16" x14ac:dyDescent="0.4">
      <c r="A12" s="64" t="s">
        <v>43</v>
      </c>
      <c r="B12" s="2287"/>
      <c r="C12" s="2287"/>
      <c r="D12" s="2287"/>
      <c r="E12" s="2288"/>
      <c r="F12" s="2289"/>
      <c r="G12" s="2289"/>
      <c r="H12" s="44"/>
      <c r="I12" s="2290"/>
      <c r="J12" s="2291"/>
      <c r="K12" s="2296" t="str">
        <f>IF(Projekt!F320=1,Projekt!B321,IF(Projekt!F324=1,Projekt!B325,""))</f>
        <v/>
      </c>
      <c r="L12" s="2297"/>
      <c r="M12" s="2297"/>
      <c r="N12" s="2298"/>
      <c r="O12" s="447" t="str">
        <f>IF(Projekt!F320=1,Projekt!E321,"")</f>
        <v/>
      </c>
      <c r="P12" s="449"/>
    </row>
    <row r="13" spans="1:16" x14ac:dyDescent="0.4">
      <c r="A13" s="64" t="s">
        <v>44</v>
      </c>
      <c r="B13" s="2287"/>
      <c r="C13" s="2287"/>
      <c r="D13" s="2287"/>
      <c r="E13" s="2288"/>
      <c r="F13" s="2289"/>
      <c r="G13" s="2289"/>
      <c r="H13" s="44"/>
      <c r="I13" s="2290"/>
      <c r="J13" s="2291"/>
      <c r="K13" s="2294"/>
      <c r="L13" s="2294"/>
      <c r="M13" s="2294"/>
      <c r="N13" s="2295"/>
      <c r="O13" s="45"/>
      <c r="P13" s="46"/>
    </row>
    <row r="14" spans="1:16" x14ac:dyDescent="0.4">
      <c r="A14" s="64" t="s">
        <v>45</v>
      </c>
      <c r="B14" s="2287"/>
      <c r="C14" s="2287"/>
      <c r="D14" s="2287"/>
      <c r="E14" s="2288"/>
      <c r="F14" s="2289"/>
      <c r="G14" s="2289"/>
      <c r="H14" s="44"/>
      <c r="I14" s="2290"/>
      <c r="J14" s="2291"/>
      <c r="K14" s="2294"/>
      <c r="L14" s="2294"/>
      <c r="M14" s="2294"/>
      <c r="N14" s="2295"/>
      <c r="O14" s="45"/>
      <c r="P14" s="46"/>
    </row>
    <row r="15" spans="1:16" x14ac:dyDescent="0.4">
      <c r="A15" s="64" t="s">
        <v>46</v>
      </c>
      <c r="B15" s="2287"/>
      <c r="C15" s="2287"/>
      <c r="D15" s="2287"/>
      <c r="E15" s="2288"/>
      <c r="F15" s="2289"/>
      <c r="G15" s="2289"/>
      <c r="H15" s="44"/>
      <c r="I15" s="2290"/>
      <c r="J15" s="2291"/>
      <c r="K15" s="2294"/>
      <c r="L15" s="2294"/>
      <c r="M15" s="2294"/>
      <c r="N15" s="2295"/>
      <c r="O15" s="45"/>
      <c r="P15" s="46"/>
    </row>
    <row r="16" spans="1:16" x14ac:dyDescent="0.4">
      <c r="A16" s="64" t="s">
        <v>47</v>
      </c>
      <c r="B16" s="2287"/>
      <c r="C16" s="2287"/>
      <c r="D16" s="2287"/>
      <c r="E16" s="2288"/>
      <c r="F16" s="2289"/>
      <c r="G16" s="2289"/>
      <c r="H16" s="44"/>
      <c r="I16" s="2290"/>
      <c r="J16" s="2291"/>
      <c r="K16" s="2292"/>
      <c r="L16" s="2292"/>
      <c r="M16" s="2292"/>
      <c r="N16" s="2293"/>
      <c r="O16" s="47"/>
      <c r="P16" s="48"/>
    </row>
    <row r="17" spans="1:16" x14ac:dyDescent="0.4">
      <c r="A17" s="64" t="s">
        <v>48</v>
      </c>
      <c r="B17" s="2287"/>
      <c r="C17" s="2287"/>
      <c r="D17" s="2287"/>
      <c r="E17" s="2288"/>
      <c r="F17" s="2289"/>
      <c r="G17" s="2289"/>
      <c r="H17" s="44"/>
      <c r="I17" s="2290"/>
      <c r="J17" s="2291"/>
      <c r="K17" s="2292"/>
      <c r="L17" s="2292"/>
      <c r="M17" s="2292"/>
      <c r="N17" s="2293"/>
      <c r="O17" s="47"/>
      <c r="P17" s="48"/>
    </row>
    <row r="18" spans="1:16" ht="15.4" thickBot="1" x14ac:dyDescent="0.45">
      <c r="A18" s="64" t="s">
        <v>49</v>
      </c>
      <c r="B18" s="2278"/>
      <c r="C18" s="2279"/>
      <c r="D18" s="2279"/>
      <c r="E18" s="2280"/>
      <c r="F18" s="2281"/>
      <c r="G18" s="2281"/>
      <c r="H18" s="49"/>
      <c r="I18" s="2282"/>
      <c r="J18" s="2283"/>
      <c r="K18" s="2284"/>
      <c r="L18" s="2284"/>
      <c r="M18" s="2284"/>
      <c r="N18" s="2285"/>
      <c r="O18" s="50"/>
      <c r="P18" s="51"/>
    </row>
    <row r="19" spans="1:16" ht="15.4" thickBot="1" x14ac:dyDescent="0.45">
      <c r="A19" s="64">
        <v>2</v>
      </c>
      <c r="B19" s="226" t="s">
        <v>50</v>
      </c>
      <c r="C19" s="37"/>
      <c r="D19" s="38"/>
      <c r="E19" s="38"/>
      <c r="F19" s="38"/>
      <c r="G19" s="38"/>
      <c r="H19" s="224">
        <f>SUM(H10:H18)</f>
        <v>1</v>
      </c>
      <c r="I19" s="2170">
        <f ca="1">IF(AND(_OK?="OK!",_OK_KV?="OK_KV!"),SUM(I10:J18),Projekt!G295)</f>
        <v>13.35</v>
      </c>
      <c r="J19" s="2171"/>
      <c r="K19" s="2286" t="s">
        <v>248</v>
      </c>
      <c r="L19" s="2286"/>
      <c r="M19" s="2286"/>
      <c r="N19" s="2286"/>
      <c r="O19" s="2286"/>
      <c r="P19" s="33">
        <f>Projekt!H315</f>
        <v>1</v>
      </c>
    </row>
    <row r="20" spans="1:16" x14ac:dyDescent="0.4">
      <c r="A20" s="64"/>
      <c r="B20" s="2166"/>
      <c r="C20" s="2166"/>
      <c r="D20" s="2166"/>
      <c r="E20" s="2166"/>
      <c r="F20" s="2166"/>
      <c r="G20" s="2166"/>
      <c r="H20" s="2166"/>
      <c r="I20" s="2166"/>
      <c r="J20" s="2166"/>
      <c r="K20" s="2166"/>
      <c r="L20" s="2167"/>
      <c r="M20" s="2158" t="s">
        <v>10</v>
      </c>
      <c r="N20" s="2159"/>
      <c r="O20" s="2160" t="s">
        <v>11</v>
      </c>
      <c r="P20" s="2159"/>
    </row>
    <row r="21" spans="1:16" x14ac:dyDescent="0.4">
      <c r="A21" s="64">
        <v>3</v>
      </c>
      <c r="B21" s="322" t="s">
        <v>50</v>
      </c>
      <c r="C21" s="323"/>
      <c r="D21" s="323"/>
      <c r="E21" s="323"/>
      <c r="F21" s="323"/>
      <c r="G21" s="323"/>
      <c r="H21" s="2276"/>
      <c r="I21" s="2276"/>
      <c r="J21" s="2276"/>
      <c r="K21" s="2276"/>
      <c r="L21" s="2276"/>
      <c r="M21" s="2276"/>
      <c r="N21" s="2277"/>
      <c r="O21" s="2161">
        <f ca="1">I19/H19</f>
        <v>13.35</v>
      </c>
      <c r="P21" s="2162"/>
    </row>
    <row r="22" spans="1:16" ht="15.4" thickBot="1" x14ac:dyDescent="0.45">
      <c r="A22" s="64">
        <v>4</v>
      </c>
      <c r="B22" s="2184" t="s">
        <v>51</v>
      </c>
      <c r="C22" s="2185"/>
      <c r="D22" s="2185"/>
      <c r="E22" s="2185"/>
      <c r="F22" s="2185"/>
      <c r="G22" s="2185"/>
      <c r="H22" s="2177" t="s">
        <v>52</v>
      </c>
      <c r="I22" s="2177"/>
      <c r="J22" s="2178"/>
      <c r="K22" s="2154">
        <f ca="1">Projekt!G307</f>
        <v>0</v>
      </c>
      <c r="L22" s="2155"/>
      <c r="M22" s="2186"/>
      <c r="N22" s="2187"/>
      <c r="O22" s="2163">
        <f ca="1">K22*O21</f>
        <v>0</v>
      </c>
      <c r="P22" s="2164"/>
    </row>
    <row r="23" spans="1:16" x14ac:dyDescent="0.4">
      <c r="A23" s="64">
        <v>5</v>
      </c>
      <c r="B23" s="2094" t="s">
        <v>247</v>
      </c>
      <c r="C23" s="2095"/>
      <c r="D23" s="2095"/>
      <c r="E23" s="2095"/>
      <c r="F23" s="2095"/>
      <c r="G23" s="2095"/>
      <c r="H23" s="2273" t="s">
        <v>300</v>
      </c>
      <c r="I23" s="2180"/>
      <c r="J23" s="2180"/>
      <c r="K23" s="2180"/>
      <c r="L23" s="2180"/>
      <c r="M23" s="2180"/>
      <c r="N23" s="325"/>
      <c r="O23" s="2188">
        <f ca="1">SUM(O21:O22)</f>
        <v>13.35</v>
      </c>
      <c r="P23" s="2189"/>
    </row>
    <row r="24" spans="1:16" x14ac:dyDescent="0.4">
      <c r="A24" s="64">
        <v>6</v>
      </c>
      <c r="B24" s="2081" t="s">
        <v>145</v>
      </c>
      <c r="C24" s="2081"/>
      <c r="D24" s="2081"/>
      <c r="E24" s="2081"/>
      <c r="F24" s="2081"/>
      <c r="G24" s="2081"/>
      <c r="H24" s="2084" t="s">
        <v>110</v>
      </c>
      <c r="I24" s="2084"/>
      <c r="J24" s="2085"/>
      <c r="K24" s="2156">
        <f ca="1">Projekt!H307</f>
        <v>0.1004</v>
      </c>
      <c r="L24" s="2157"/>
      <c r="M24" s="2182"/>
      <c r="N24" s="2183"/>
      <c r="O24" s="2113">
        <f ca="1">K24*O23</f>
        <v>1.34</v>
      </c>
      <c r="P24" s="2115"/>
    </row>
    <row r="25" spans="1:16" x14ac:dyDescent="0.4">
      <c r="A25" s="64">
        <v>7</v>
      </c>
      <c r="B25" s="2081" t="s">
        <v>212</v>
      </c>
      <c r="C25" s="2081"/>
      <c r="D25" s="2081"/>
      <c r="E25" s="2081"/>
      <c r="F25" s="2081"/>
      <c r="G25" s="2081"/>
      <c r="H25" s="2084" t="s">
        <v>110</v>
      </c>
      <c r="I25" s="2084"/>
      <c r="J25" s="2085"/>
      <c r="K25" s="2076">
        <f>Projekt!H314</f>
        <v>0</v>
      </c>
      <c r="L25" s="2077"/>
      <c r="M25" s="2182"/>
      <c r="N25" s="2183"/>
      <c r="O25" s="2113">
        <f ca="1">K25*O23</f>
        <v>0</v>
      </c>
      <c r="P25" s="2115"/>
    </row>
    <row r="26" spans="1:16" x14ac:dyDescent="0.4">
      <c r="A26" s="64">
        <v>8</v>
      </c>
      <c r="B26" s="2081" t="s">
        <v>81</v>
      </c>
      <c r="C26" s="2081"/>
      <c r="D26" s="2081"/>
      <c r="E26" s="2081"/>
      <c r="F26" s="2081"/>
      <c r="G26" s="2081"/>
      <c r="H26" s="2084" t="s">
        <v>110</v>
      </c>
      <c r="I26" s="2084"/>
      <c r="J26" s="2085"/>
      <c r="K26" s="2076">
        <f>IF(Projekt!H326="",0,Projekt!H326)</f>
        <v>0</v>
      </c>
      <c r="L26" s="2077"/>
      <c r="M26" s="2182"/>
      <c r="N26" s="2183"/>
      <c r="O26" s="2113">
        <f ca="1">K26*O23</f>
        <v>0</v>
      </c>
      <c r="P26" s="2115"/>
    </row>
    <row r="27" spans="1:16" ht="15.4" thickBot="1" x14ac:dyDescent="0.45">
      <c r="A27" s="64">
        <v>9</v>
      </c>
      <c r="B27" s="2174" t="s">
        <v>137</v>
      </c>
      <c r="C27" s="2175"/>
      <c r="D27" s="2175"/>
      <c r="E27" s="2175"/>
      <c r="F27" s="2175"/>
      <c r="G27" s="2175"/>
      <c r="H27" s="2175"/>
      <c r="I27" s="2175"/>
      <c r="J27" s="2175"/>
      <c r="K27" s="2175"/>
      <c r="L27" s="2175"/>
      <c r="M27" s="2175"/>
      <c r="N27" s="2176"/>
      <c r="O27" s="2074">
        <f ca="1">Projekt!H327</f>
        <v>0.87</v>
      </c>
      <c r="P27" s="2169"/>
    </row>
    <row r="28" spans="1:16" x14ac:dyDescent="0.4">
      <c r="A28" s="64">
        <v>10</v>
      </c>
      <c r="B28" s="2094" t="s">
        <v>53</v>
      </c>
      <c r="C28" s="2095"/>
      <c r="D28" s="2095"/>
      <c r="E28" s="2095"/>
      <c r="F28" s="2095"/>
      <c r="G28" s="2095"/>
      <c r="H28" s="2273" t="s">
        <v>303</v>
      </c>
      <c r="I28" s="2180"/>
      <c r="J28" s="2180"/>
      <c r="K28" s="2180"/>
      <c r="L28" s="2180"/>
      <c r="M28" s="2180"/>
      <c r="N28" s="324"/>
      <c r="O28" s="2188">
        <f ca="1">SUM(O23:P27)</f>
        <v>15.56</v>
      </c>
      <c r="P28" s="2189"/>
    </row>
    <row r="29" spans="1:16" x14ac:dyDescent="0.4">
      <c r="A29" s="64">
        <v>11</v>
      </c>
      <c r="B29" s="2097" t="s">
        <v>138</v>
      </c>
      <c r="C29" s="2097"/>
      <c r="D29" s="2097"/>
      <c r="E29" s="2097"/>
      <c r="F29" s="2097"/>
      <c r="G29" s="2097"/>
      <c r="H29" s="2097"/>
      <c r="I29" s="2097"/>
      <c r="J29" s="2097"/>
      <c r="K29" s="2097"/>
      <c r="L29" s="2097"/>
      <c r="M29" s="2097"/>
      <c r="N29" s="2097"/>
      <c r="O29" s="2113">
        <f ca="1">Projekt!H328</f>
        <v>0.83</v>
      </c>
      <c r="P29" s="2115"/>
    </row>
    <row r="30" spans="1:16" x14ac:dyDescent="0.4">
      <c r="A30" s="64">
        <v>12</v>
      </c>
      <c r="B30" s="2081" t="s">
        <v>54</v>
      </c>
      <c r="C30" s="2081"/>
      <c r="D30" s="2081"/>
      <c r="E30" s="2081"/>
      <c r="F30" s="2081"/>
      <c r="G30" s="2081"/>
      <c r="H30" s="2084" t="s">
        <v>55</v>
      </c>
      <c r="I30" s="2084"/>
      <c r="J30" s="2085"/>
      <c r="K30" s="2076">
        <f ca="1">Projekt!H329</f>
        <v>0.2994</v>
      </c>
      <c r="L30" s="2077"/>
      <c r="M30" s="2182"/>
      <c r="N30" s="2183"/>
      <c r="O30" s="2113">
        <f ca="1">K30*O28</f>
        <v>4.66</v>
      </c>
      <c r="P30" s="2115"/>
    </row>
    <row r="31" spans="1:16" x14ac:dyDescent="0.4">
      <c r="A31" s="64">
        <v>13</v>
      </c>
      <c r="B31" s="2081" t="s">
        <v>56</v>
      </c>
      <c r="C31" s="2081"/>
      <c r="D31" s="2081"/>
      <c r="E31" s="2081"/>
      <c r="F31" s="2081"/>
      <c r="G31" s="2081"/>
      <c r="H31" s="2084" t="s">
        <v>55</v>
      </c>
      <c r="I31" s="2084"/>
      <c r="J31" s="2085"/>
      <c r="K31" s="2076">
        <f ca="1">Projekt!H330</f>
        <v>0.7</v>
      </c>
      <c r="L31" s="2077"/>
      <c r="M31" s="2182"/>
      <c r="N31" s="2183"/>
      <c r="O31" s="2113">
        <f ca="1">K31*O28</f>
        <v>10.89</v>
      </c>
      <c r="P31" s="2115"/>
    </row>
    <row r="32" spans="1:16" ht="15.4" thickBot="1" x14ac:dyDescent="0.45">
      <c r="A32" s="64">
        <v>14</v>
      </c>
      <c r="B32" s="2082" t="s">
        <v>57</v>
      </c>
      <c r="C32" s="2083"/>
      <c r="D32" s="2083"/>
      <c r="E32" s="2083"/>
      <c r="F32" s="2083"/>
      <c r="G32" s="2083"/>
      <c r="H32" s="2086" t="s">
        <v>55</v>
      </c>
      <c r="I32" s="2086"/>
      <c r="J32" s="2087"/>
      <c r="K32" s="2154">
        <f ca="1">Projekt!H331</f>
        <v>4.4999999999999997E-3</v>
      </c>
      <c r="L32" s="2155"/>
      <c r="M32" s="2236"/>
      <c r="N32" s="2237"/>
      <c r="O32" s="2074">
        <f ca="1">K32*O28</f>
        <v>7.0000000000000007E-2</v>
      </c>
      <c r="P32" s="2169"/>
    </row>
    <row r="33" spans="1:16" x14ac:dyDescent="0.4">
      <c r="A33" s="64">
        <v>15</v>
      </c>
      <c r="B33" s="2094" t="s">
        <v>58</v>
      </c>
      <c r="C33" s="2095"/>
      <c r="D33" s="2095"/>
      <c r="E33" s="2095"/>
      <c r="F33" s="2095"/>
      <c r="G33" s="2095"/>
      <c r="H33" s="2273" t="s">
        <v>304</v>
      </c>
      <c r="I33" s="2180"/>
      <c r="J33" s="2180"/>
      <c r="K33" s="2180"/>
      <c r="L33" s="2180"/>
      <c r="M33" s="2180"/>
      <c r="N33" s="2180"/>
      <c r="O33" s="2188">
        <f ca="1">SUM(O28:P32)</f>
        <v>32.01</v>
      </c>
      <c r="P33" s="2189"/>
    </row>
    <row r="34" spans="1:16" x14ac:dyDescent="0.4">
      <c r="A34" s="64">
        <v>16</v>
      </c>
      <c r="B34" s="2193" t="s">
        <v>59</v>
      </c>
      <c r="C34" s="2193"/>
      <c r="D34" s="2193"/>
      <c r="E34" s="2193"/>
      <c r="F34" s="2193"/>
      <c r="G34" s="2193"/>
      <c r="H34" s="2099" t="s">
        <v>60</v>
      </c>
      <c r="I34" s="2099"/>
      <c r="J34" s="2100"/>
      <c r="K34" s="2234">
        <f ca="1">Projekt!H332</f>
        <v>0.13689999999999999</v>
      </c>
      <c r="L34" s="2235"/>
      <c r="M34" s="2101"/>
      <c r="N34" s="2102"/>
      <c r="O34" s="2228">
        <f ca="1">K34*O33</f>
        <v>4.38</v>
      </c>
      <c r="P34" s="2229"/>
    </row>
    <row r="35" spans="1:16" ht="24.4" customHeight="1" x14ac:dyDescent="0.4">
      <c r="A35" s="64">
        <v>17</v>
      </c>
      <c r="B35" s="2216" t="s">
        <v>114</v>
      </c>
      <c r="C35" s="2217"/>
      <c r="D35" s="2217"/>
      <c r="E35" s="2217"/>
      <c r="F35" s="2217"/>
      <c r="G35" s="2217"/>
      <c r="H35" s="2217"/>
      <c r="I35" s="2217"/>
      <c r="J35" s="2218"/>
      <c r="K35" s="2199" t="s">
        <v>140</v>
      </c>
      <c r="L35" s="2200"/>
      <c r="M35" s="2199" t="s">
        <v>139</v>
      </c>
      <c r="N35" s="2200"/>
      <c r="O35" s="2259"/>
      <c r="P35" s="2260"/>
    </row>
    <row r="36" spans="1:16" x14ac:dyDescent="0.4">
      <c r="A36" s="157" t="s">
        <v>61</v>
      </c>
      <c r="B36" s="2119">
        <f>Projekt!A335</f>
        <v>0</v>
      </c>
      <c r="C36" s="2120"/>
      <c r="D36" s="2120"/>
      <c r="E36" s="2120"/>
      <c r="F36" s="2120"/>
      <c r="G36" s="2120"/>
      <c r="H36" s="2120"/>
      <c r="I36" s="2120"/>
      <c r="J36" s="2121"/>
      <c r="K36" s="2242" t="str">
        <f>IF(Projekt!G335=0,"",Projekt!G335)</f>
        <v/>
      </c>
      <c r="L36" s="2243"/>
      <c r="M36" s="2274" t="str">
        <f ca="1">IFERROR(IF(AND(Projekt!F335=0,Projekt!G335=0),"",IF(Projekt!G335&gt;0,Projekt!G335*O$33,IF(Projekt!F335=0,"",Projekt!F335))),"")</f>
        <v/>
      </c>
      <c r="N36" s="2275"/>
      <c r="O36" s="2261"/>
      <c r="P36" s="2262"/>
    </row>
    <row r="37" spans="1:16" x14ac:dyDescent="0.4">
      <c r="A37" s="157" t="s">
        <v>62</v>
      </c>
      <c r="B37" s="2107">
        <f>Projekt!A336</f>
        <v>0</v>
      </c>
      <c r="C37" s="2108"/>
      <c r="D37" s="2108"/>
      <c r="E37" s="2108"/>
      <c r="F37" s="2108"/>
      <c r="G37" s="2108"/>
      <c r="H37" s="2108"/>
      <c r="I37" s="2108"/>
      <c r="J37" s="2109"/>
      <c r="K37" s="2265" t="str">
        <f>IF(Projekt!G336=0,"",Projekt!G336)</f>
        <v/>
      </c>
      <c r="L37" s="2266"/>
      <c r="M37" s="2267" t="str">
        <f ca="1">IFERROR(IF(AND(Projekt!F336=0,Projekt!G336=0),"",IF(Projekt!G336&gt;0,Projekt!G336*O$33,IF(Projekt!F336=0,"",Projekt!F336))),"")</f>
        <v/>
      </c>
      <c r="N37" s="2268"/>
      <c r="O37" s="2261"/>
      <c r="P37" s="2262"/>
    </row>
    <row r="38" spans="1:16" ht="15.4" thickBot="1" x14ac:dyDescent="0.45">
      <c r="A38" s="157" t="s">
        <v>63</v>
      </c>
      <c r="B38" s="2110" t="str">
        <f>Projekt!A337</f>
        <v/>
      </c>
      <c r="C38" s="2111"/>
      <c r="D38" s="2111"/>
      <c r="E38" s="2111"/>
      <c r="F38" s="2111"/>
      <c r="G38" s="2111"/>
      <c r="H38" s="2111"/>
      <c r="I38" s="2111"/>
      <c r="J38" s="2112"/>
      <c r="K38" s="2269" t="str">
        <f>IF(Projekt!G337=0,"",Projekt!G337)</f>
        <v/>
      </c>
      <c r="L38" s="2270"/>
      <c r="M38" s="2271" t="str">
        <f>IFERROR(IF(AND(Projekt!F337=0,Projekt!G337=0),"",IF(Projekt!G337&gt;0,Projekt!G337*O$33,IF(Projekt!F337=0,"",Projekt!F337))),"")</f>
        <v/>
      </c>
      <c r="N38" s="2272"/>
      <c r="O38" s="2263"/>
      <c r="P38" s="2264"/>
    </row>
    <row r="39" spans="1:16" ht="15.4" thickBot="1" x14ac:dyDescent="0.45">
      <c r="A39" s="65">
        <v>18</v>
      </c>
      <c r="B39" s="52" t="s">
        <v>309</v>
      </c>
      <c r="C39" s="4"/>
      <c r="D39" s="4"/>
      <c r="E39" s="4"/>
      <c r="F39" s="53"/>
      <c r="G39" s="53"/>
      <c r="H39" s="54"/>
      <c r="I39" s="2086" t="s">
        <v>311</v>
      </c>
      <c r="J39" s="2086"/>
      <c r="K39" s="2086"/>
      <c r="L39" s="2087"/>
      <c r="M39" s="2252" t="str">
        <f ca="1">IF(SUM(M36:N38)&gt;0,SUM(M36:N38),"")</f>
        <v/>
      </c>
      <c r="N39" s="2253"/>
      <c r="O39" s="2254">
        <f ca="1">O33+O34</f>
        <v>36.39</v>
      </c>
      <c r="P39" s="2253"/>
    </row>
    <row r="40" spans="1:16" ht="27.85" customHeight="1" thickBot="1" x14ac:dyDescent="0.45">
      <c r="A40" s="65">
        <v>19</v>
      </c>
      <c r="B40" s="2068" t="s">
        <v>249</v>
      </c>
      <c r="C40" s="2069"/>
      <c r="D40" s="2069"/>
      <c r="E40" s="2069"/>
      <c r="F40" s="2069"/>
      <c r="G40" s="2069"/>
      <c r="H40" s="2069"/>
      <c r="I40" s="2069"/>
      <c r="J40" s="2070"/>
      <c r="K40" s="2078" t="s">
        <v>305</v>
      </c>
      <c r="L40" s="2079"/>
      <c r="M40" s="544"/>
      <c r="N40" s="2255">
        <f ca="1">SUM(M39:P39)</f>
        <v>36.39</v>
      </c>
      <c r="O40" s="2255"/>
      <c r="P40" s="545"/>
    </row>
    <row r="41" spans="1:16" hidden="1" x14ac:dyDescent="0.4">
      <c r="A41" s="65"/>
      <c r="B41" s="250" t="s">
        <v>67</v>
      </c>
      <c r="C41" s="6"/>
      <c r="D41" s="6"/>
      <c r="E41" s="6"/>
      <c r="F41" s="6"/>
      <c r="G41" s="6"/>
      <c r="H41" s="7"/>
      <c r="I41" s="1"/>
      <c r="J41" s="31"/>
      <c r="K41" s="5"/>
      <c r="L41" s="5"/>
      <c r="M41" s="34"/>
      <c r="N41" s="35"/>
      <c r="O41" s="35"/>
      <c r="P41" s="36"/>
    </row>
    <row r="42" spans="1:16" x14ac:dyDescent="0.4">
      <c r="A42" s="65"/>
      <c r="B42" s="2249" t="s">
        <v>66</v>
      </c>
      <c r="C42" s="2250"/>
      <c r="D42" s="2250"/>
      <c r="E42" s="2250"/>
      <c r="F42" s="2250"/>
      <c r="G42" s="2250"/>
      <c r="H42" s="2251"/>
      <c r="I42" s="2201" t="s">
        <v>64</v>
      </c>
      <c r="J42" s="2202"/>
      <c r="K42" s="2201" t="s">
        <v>65</v>
      </c>
      <c r="L42" s="2202"/>
      <c r="M42" s="2256"/>
      <c r="N42" s="2257"/>
      <c r="O42" s="2257"/>
      <c r="P42" s="2258"/>
    </row>
    <row r="43" spans="1:16" ht="15.4" thickBot="1" x14ac:dyDescent="0.45">
      <c r="A43" s="65">
        <v>20</v>
      </c>
      <c r="B43" s="2091"/>
      <c r="C43" s="2092"/>
      <c r="D43" s="2092"/>
      <c r="E43" s="2092"/>
      <c r="F43" s="2092"/>
      <c r="G43" s="2092"/>
      <c r="H43" s="2093"/>
      <c r="I43" s="2203" t="str">
        <f ca="1">IF(M39="","",Projekt!G268)</f>
        <v/>
      </c>
      <c r="J43" s="2204"/>
      <c r="K43" s="2203">
        <f>Projekt!E340</f>
        <v>0.22411</v>
      </c>
      <c r="L43" s="2204"/>
      <c r="M43" s="2247" t="str">
        <f ca="1">IFERROR(I43*M39,"")</f>
        <v/>
      </c>
      <c r="N43" s="2248"/>
      <c r="O43" s="2247">
        <f ca="1">K43*O39</f>
        <v>8.16</v>
      </c>
      <c r="P43" s="2248"/>
    </row>
    <row r="44" spans="1:16" ht="15.4" thickBot="1" x14ac:dyDescent="0.45">
      <c r="A44" s="65">
        <v>21</v>
      </c>
      <c r="B44" s="2245" t="s">
        <v>308</v>
      </c>
      <c r="C44" s="2246"/>
      <c r="D44" s="2246"/>
      <c r="E44" s="2246"/>
      <c r="F44" s="2246"/>
      <c r="G44" s="2246"/>
      <c r="H44" s="2246"/>
      <c r="I44" s="2126" t="s">
        <v>307</v>
      </c>
      <c r="J44" s="2126"/>
      <c r="K44" s="2126"/>
      <c r="L44" s="2127"/>
      <c r="M44" s="2066" t="str">
        <f ca="1">IFERROR(M39+M43,"")</f>
        <v/>
      </c>
      <c r="N44" s="2067"/>
      <c r="O44" s="2066">
        <f ca="1">SUM(O39:P43)</f>
        <v>44.55</v>
      </c>
      <c r="P44" s="2067"/>
    </row>
    <row r="45" spans="1:16" ht="27.85" customHeight="1" thickBot="1" x14ac:dyDescent="0.45">
      <c r="A45" s="66">
        <v>22</v>
      </c>
      <c r="B45" s="2068" t="s">
        <v>252</v>
      </c>
      <c r="C45" s="2069"/>
      <c r="D45" s="2069"/>
      <c r="E45" s="2069"/>
      <c r="F45" s="546" t="str">
        <f>B10</f>
        <v>Facharbeiter mit LAB (&gt;3.J)</v>
      </c>
      <c r="G45" s="547"/>
      <c r="H45" s="547"/>
      <c r="I45" s="547"/>
      <c r="J45" s="548"/>
      <c r="K45" s="2078" t="s">
        <v>306</v>
      </c>
      <c r="L45" s="2079"/>
      <c r="M45" s="549"/>
      <c r="N45" s="2244">
        <f ca="1">SUM(M44:P44)</f>
        <v>44.55</v>
      </c>
      <c r="O45" s="2244"/>
      <c r="P45" s="543"/>
    </row>
    <row r="46" spans="1:16" hidden="1" x14ac:dyDescent="0.4">
      <c r="A46" s="249"/>
      <c r="B46" s="250" t="s">
        <v>67</v>
      </c>
      <c r="C46" s="1"/>
      <c r="D46" s="1"/>
      <c r="E46" s="1"/>
      <c r="F46" s="1"/>
      <c r="G46" s="1"/>
      <c r="H46" s="1"/>
      <c r="I46" s="3"/>
      <c r="J46" s="30"/>
      <c r="K46" s="30"/>
      <c r="L46" s="27"/>
      <c r="M46" s="29"/>
      <c r="N46" s="29"/>
      <c r="O46" s="28"/>
      <c r="P46" s="27"/>
    </row>
    <row r="47" spans="1:16" ht="55.9" customHeight="1" x14ac:dyDescent="0.4">
      <c r="A47" s="2225" t="str">
        <f>'Lizenz u lies mich'!B32&amp;"      
Lizenziert für:"</f>
        <v>Vers. 3.0      
Lizenziert für:</v>
      </c>
      <c r="B47" s="2226"/>
      <c r="C47" s="2226"/>
      <c r="D47" s="2064" t="str">
        <f ca="1">' K3 PP'!D47</f>
        <v xml:space="preserve">Malerhandbuch 2022 </v>
      </c>
      <c r="E47" s="2064"/>
      <c r="F47" s="2064"/>
      <c r="G47" s="2064"/>
      <c r="H47" s="2065"/>
      <c r="I47" s="2063"/>
      <c r="J47" s="2063"/>
      <c r="K47" s="2063"/>
      <c r="L47" s="2063"/>
      <c r="M47" s="2063"/>
      <c r="N47" s="2060" t="s">
        <v>669</v>
      </c>
      <c r="O47" s="2061"/>
      <c r="P47" s="2062"/>
    </row>
  </sheetData>
  <sheetProtection password="B984" sheet="1" formatColumns="0" selectLockedCells="1"/>
  <mergeCells count="161">
    <mergeCell ref="A47:C47"/>
    <mergeCell ref="B1:E1"/>
    <mergeCell ref="A2:A8"/>
    <mergeCell ref="B2:E3"/>
    <mergeCell ref="F2:J3"/>
    <mergeCell ref="K2:P2"/>
    <mergeCell ref="C4:E4"/>
    <mergeCell ref="G4:J4"/>
    <mergeCell ref="B7:E7"/>
    <mergeCell ref="F7:I7"/>
    <mergeCell ref="K7:P7"/>
    <mergeCell ref="M8:N8"/>
    <mergeCell ref="O8:P8"/>
    <mergeCell ref="B5:D5"/>
    <mergeCell ref="F5:I5"/>
    <mergeCell ref="B6:D6"/>
    <mergeCell ref="F6:I6"/>
    <mergeCell ref="K6:L6"/>
    <mergeCell ref="M6:P6"/>
    <mergeCell ref="G1:P1"/>
    <mergeCell ref="B8:L8"/>
    <mergeCell ref="B11:E11"/>
    <mergeCell ref="F11:G11"/>
    <mergeCell ref="I11:J11"/>
    <mergeCell ref="B12:E12"/>
    <mergeCell ref="F12:G12"/>
    <mergeCell ref="I12:J12"/>
    <mergeCell ref="K12:N12"/>
    <mergeCell ref="B9:E9"/>
    <mergeCell ref="F9:G9"/>
    <mergeCell ref="I9:J9"/>
    <mergeCell ref="K9:O9"/>
    <mergeCell ref="B10:E10"/>
    <mergeCell ref="F10:G10"/>
    <mergeCell ref="I10:J10"/>
    <mergeCell ref="K10:N10"/>
    <mergeCell ref="K11:N11"/>
    <mergeCell ref="B15:E15"/>
    <mergeCell ref="F15:G15"/>
    <mergeCell ref="I15:J15"/>
    <mergeCell ref="K15:N15"/>
    <mergeCell ref="B13:E13"/>
    <mergeCell ref="F13:G13"/>
    <mergeCell ref="I13:J13"/>
    <mergeCell ref="K13:N13"/>
    <mergeCell ref="B14:E14"/>
    <mergeCell ref="F14:G14"/>
    <mergeCell ref="I14:J14"/>
    <mergeCell ref="K14:N14"/>
    <mergeCell ref="B18:E18"/>
    <mergeCell ref="F18:G18"/>
    <mergeCell ref="I18:J18"/>
    <mergeCell ref="K18:N18"/>
    <mergeCell ref="I19:J19"/>
    <mergeCell ref="K19:O19"/>
    <mergeCell ref="B16:E16"/>
    <mergeCell ref="F16:G16"/>
    <mergeCell ref="I16:J16"/>
    <mergeCell ref="K16:N16"/>
    <mergeCell ref="B17:E17"/>
    <mergeCell ref="F17:G17"/>
    <mergeCell ref="I17:J17"/>
    <mergeCell ref="K17:N17"/>
    <mergeCell ref="B23:G23"/>
    <mergeCell ref="O23:P23"/>
    <mergeCell ref="H24:J24"/>
    <mergeCell ref="K24:L24"/>
    <mergeCell ref="M24:N24"/>
    <mergeCell ref="O24:P24"/>
    <mergeCell ref="B20:L20"/>
    <mergeCell ref="M20:N20"/>
    <mergeCell ref="O20:P20"/>
    <mergeCell ref="H21:N21"/>
    <mergeCell ref="O21:P21"/>
    <mergeCell ref="B22:G22"/>
    <mergeCell ref="H22:J22"/>
    <mergeCell ref="K22:L22"/>
    <mergeCell ref="M22:N22"/>
    <mergeCell ref="O22:P22"/>
    <mergeCell ref="B24:G24"/>
    <mergeCell ref="H23:M23"/>
    <mergeCell ref="O27:P27"/>
    <mergeCell ref="B28:G28"/>
    <mergeCell ref="H28:M28"/>
    <mergeCell ref="O28:P28"/>
    <mergeCell ref="B29:N29"/>
    <mergeCell ref="O29:P29"/>
    <mergeCell ref="H25:J25"/>
    <mergeCell ref="K25:L25"/>
    <mergeCell ref="M25:N25"/>
    <mergeCell ref="O25:P25"/>
    <mergeCell ref="H26:J26"/>
    <mergeCell ref="K26:L26"/>
    <mergeCell ref="M26:N26"/>
    <mergeCell ref="O26:P26"/>
    <mergeCell ref="B27:N27"/>
    <mergeCell ref="B25:G25"/>
    <mergeCell ref="B26:G26"/>
    <mergeCell ref="B30:G30"/>
    <mergeCell ref="H30:J30"/>
    <mergeCell ref="K30:L30"/>
    <mergeCell ref="M30:N30"/>
    <mergeCell ref="O30:P30"/>
    <mergeCell ref="B31:G31"/>
    <mergeCell ref="H31:J31"/>
    <mergeCell ref="K31:L31"/>
    <mergeCell ref="M31:N31"/>
    <mergeCell ref="O31:P31"/>
    <mergeCell ref="B32:G32"/>
    <mergeCell ref="H32:J32"/>
    <mergeCell ref="K32:L32"/>
    <mergeCell ref="M32:N32"/>
    <mergeCell ref="O32:P32"/>
    <mergeCell ref="B33:G33"/>
    <mergeCell ref="H33:N33"/>
    <mergeCell ref="O33:P33"/>
    <mergeCell ref="M36:N36"/>
    <mergeCell ref="B34:G34"/>
    <mergeCell ref="H34:J34"/>
    <mergeCell ref="K34:L34"/>
    <mergeCell ref="K40:L40"/>
    <mergeCell ref="N40:O40"/>
    <mergeCell ref="I42:J42"/>
    <mergeCell ref="K42:L42"/>
    <mergeCell ref="M42:P42"/>
    <mergeCell ref="O34:P34"/>
    <mergeCell ref="B35:J35"/>
    <mergeCell ref="K35:L35"/>
    <mergeCell ref="M35:N35"/>
    <mergeCell ref="O35:P38"/>
    <mergeCell ref="B36:J36"/>
    <mergeCell ref="B37:J37"/>
    <mergeCell ref="K37:L37"/>
    <mergeCell ref="M37:N37"/>
    <mergeCell ref="B38:J38"/>
    <mergeCell ref="K38:L38"/>
    <mergeCell ref="M38:N38"/>
    <mergeCell ref="N47:P47"/>
    <mergeCell ref="I47:M47"/>
    <mergeCell ref="D47:H47"/>
    <mergeCell ref="K5:P5"/>
    <mergeCell ref="K36:L36"/>
    <mergeCell ref="M34:N34"/>
    <mergeCell ref="K4:P4"/>
    <mergeCell ref="K3:P3"/>
    <mergeCell ref="K45:L45"/>
    <mergeCell ref="N45:O45"/>
    <mergeCell ref="B40:J40"/>
    <mergeCell ref="B44:H44"/>
    <mergeCell ref="I43:J43"/>
    <mergeCell ref="K43:L43"/>
    <mergeCell ref="M43:N43"/>
    <mergeCell ref="O43:P43"/>
    <mergeCell ref="I44:L44"/>
    <mergeCell ref="M44:N44"/>
    <mergeCell ref="O44:P44"/>
    <mergeCell ref="B42:H43"/>
    <mergeCell ref="B45:E45"/>
    <mergeCell ref="I39:L39"/>
    <mergeCell ref="M39:N39"/>
    <mergeCell ref="O39:P39"/>
  </mergeCells>
  <conditionalFormatting sqref="B5:D5">
    <cfRule type="expression" dxfId="51" priority="11">
      <formula>$E$5="X"</formula>
    </cfRule>
  </conditionalFormatting>
  <conditionalFormatting sqref="B6:D6">
    <cfRule type="expression" dxfId="50" priority="10">
      <formula>$E$6="X"</formula>
    </cfRule>
  </conditionalFormatting>
  <conditionalFormatting sqref="F5:I5">
    <cfRule type="expression" dxfId="49" priority="9">
      <formula>$J$5="X"</formula>
    </cfRule>
  </conditionalFormatting>
  <conditionalFormatting sqref="F6:I6">
    <cfRule type="expression" dxfId="48" priority="8">
      <formula>$J$6="X"</formula>
    </cfRule>
  </conditionalFormatting>
  <conditionalFormatting sqref="N40:O40 N45:O45 K3:P5">
    <cfRule type="expression" dxfId="47" priority="7">
      <formula>OR(_OK?&lt;&gt;"OK!",_OK_KV?&lt;&gt;"OK_KV!")</formula>
    </cfRule>
  </conditionalFormatting>
  <conditionalFormatting sqref="B36:J38">
    <cfRule type="expression" dxfId="46" priority="6">
      <formula>$B36=0</formula>
    </cfRule>
  </conditionalFormatting>
  <conditionalFormatting sqref="I19:J19 O21:P21 D47:H47">
    <cfRule type="expression" dxfId="45" priority="5">
      <formula>_OK?&lt;&gt;"OK!"</formula>
    </cfRule>
  </conditionalFormatting>
  <conditionalFormatting sqref="N40:O40 N45:O45">
    <cfRule type="expression" dxfId="44" priority="4">
      <formula>_OK?&lt;&gt;"OK!"</formula>
    </cfRule>
  </conditionalFormatting>
  <pageMargins left="0.59055118110236227" right="0.19685039370078741" top="0.59055118110236227" bottom="0.19685039370078741" header="0.19685039370078741" footer="0.11811023622047245"/>
  <pageSetup paperSize="9" orientation="portrait" r:id="rId1"/>
  <headerFooter>
    <oddFooter>&amp;L&amp;10K2-Blatt
Seite: &amp;P&amp;R&amp;10&amp;F</oddFooter>
  </headerFooter>
  <ignoredErrors>
    <ignoredError sqref="O23" formula="1"/>
  </ignoredErrors>
  <extLst>
    <ext xmlns:x14="http://schemas.microsoft.com/office/spreadsheetml/2009/9/main" uri="{78C0D931-6437-407d-A8EE-F0AAD7539E65}">
      <x14:conditionalFormattings>
        <x14:conditionalFormatting xmlns:xm="http://schemas.microsoft.com/office/excel/2006/main">
          <x14:cfRule type="expression" priority="3" id="{CB0A6BD6-5C0C-45C0-B045-08B67D4F4298}">
            <xm:f>Projekt!$F$273="Nein"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1" id="{30C53637-5740-4B34-8F66-BE402E719454}">
            <xm:f>Projekt!$F$273="Nein"</xm:f>
            <x14:dxf>
              <border>
                <top style="thin">
                  <color theme="0"/>
                </top>
                <bottom style="thin">
                  <color theme="0"/>
                </bottom>
                <vertical/>
                <horizontal/>
              </border>
            </x14:dxf>
          </x14:cfRule>
          <xm:sqref>K25:L26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8 I m O T 5 x u B Y G n A A A A + Q A A A B I A H A B D b 2 5 m a W c v U G F j a 2 F n Z S 5 4 b W w g o h g A K K A U A A A A A A A A A A A A A A A A A A A A A A A A A A A A h Y / N C o J A G E V f R W b v / E l R 8 j k S b R O C I t r K O O m Q j u G M j e / W o k f q F R L K a t f y X s 6 F c x + 3 O 6 R D U w d X 1 V n d m g Q x T F G g j G w L b c o E 9 e 4 U L l A q Y J v L c 1 6 q Y I S N j Q e r E 1 Q 5 d 4 k J 8 d 5 j H + G 2 K w m n l J F j t t n J S j V 5 q I 1 1 u Z E K f V b F / x U S c H j J C I 7 n D M / Y k m M W U Q Z k 6 i H T 5 s v w U R l T I D 8 l r P v a 9 Z 0 S h Q p X e y B T B P K + I Z 5 Q S w M E F A A C A A g A 8 I m O T 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P C J j k 8 o i k e 4 D g A A A B E A A A A T A B w A R m 9 y b X V s Y X M v U 2 V j d G l v b j E u b S C i G A A o o B Q A A A A A A A A A A A A A A A A A A A A A A A A A A A A r T k 0 u y c z P U w i G 0 I b W A F B L A Q I t A B Q A A g A I A P C J j k + c b g W B p w A A A P k A A A A S A A A A A A A A A A A A A A A A A A A A A A B D b 2 5 m a W c v U G F j a 2 F n Z S 5 4 b W x Q S w E C L Q A U A A I A C A D w i Y 5 P D 8 r p q 6 Q A A A D p A A A A E w A A A A A A A A A A A A A A A A D z A A A A W 0 N v b n R l b n R f V H l w Z X N d L n h t b F B L A Q I t A B Q A A g A I A P C J j k 8 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d V y F W 7 o Z l Q o O Z n B d L R x u q A A A A A A I A A A A A A A N m A A D A A A A A E A A A A O D M 5 N I s F B l L 7 v e u W P m h Q P o A A A A A B I A A A K A A A A A Q A A A A E L m p D r 7 x L d T 2 Q Y b + a 3 E j n l A A A A C B l w M r C o 1 t b U x p G G i p 6 f p 6 D L w n W p z Y C t G i 4 z E Z z n S + u v H Z P V L L X X 1 j L O b / y k r M W R s A C 5 2 e M b 4 v 6 g 3 T z p i P A 2 7 3 Q q l 2 R u Q i y 2 B x D q v s k u C z L h Q A A A C f + 9 4 c h J s o i + b R 8 H B 2 G S G / r F N E 4 w = = < / D a t a M a s h u p > 
</file>

<file path=customXml/itemProps1.xml><?xml version="1.0" encoding="utf-8"?>
<ds:datastoreItem xmlns:ds="http://schemas.openxmlformats.org/officeDocument/2006/customXml" ds:itemID="{B2D5EEA0-35C9-4959-AD19-0509F5C81D8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39</vt:i4>
      </vt:variant>
    </vt:vector>
  </HeadingPairs>
  <TitlesOfParts>
    <vt:vector size="52" baseType="lpstr">
      <vt:lpstr>Lizenz u lies mich</vt:lpstr>
      <vt:lpstr>L-Rechner</vt:lpstr>
      <vt:lpstr>Stammdaten</vt:lpstr>
      <vt:lpstr>Projekt</vt:lpstr>
      <vt:lpstr>Report</vt:lpstr>
      <vt:lpstr>K2 GZ</vt:lpstr>
      <vt:lpstr>K2a Z f ...</vt:lpstr>
      <vt:lpstr> K3 PP</vt:lpstr>
      <vt:lpstr> K3 Regie1</vt:lpstr>
      <vt:lpstr> K3 Regie2</vt:lpstr>
      <vt:lpstr> K3 Regie3</vt:lpstr>
      <vt:lpstr> K3 Regie4</vt:lpstr>
      <vt:lpstr> K3 Regiepartie1</vt:lpstr>
      <vt:lpstr>_Anzeige_Prozent</vt:lpstr>
      <vt:lpstr>_F1</vt:lpstr>
      <vt:lpstr>_F10</vt:lpstr>
      <vt:lpstr>_F11</vt:lpstr>
      <vt:lpstr>_F12</vt:lpstr>
      <vt:lpstr>_F13</vt:lpstr>
      <vt:lpstr>_F14</vt:lpstr>
      <vt:lpstr>_F15</vt:lpstr>
      <vt:lpstr>_F16</vt:lpstr>
      <vt:lpstr>_F2</vt:lpstr>
      <vt:lpstr>_F3</vt:lpstr>
      <vt:lpstr>_F4</vt:lpstr>
      <vt:lpstr>_F5</vt:lpstr>
      <vt:lpstr>_F6</vt:lpstr>
      <vt:lpstr>_F7</vt:lpstr>
      <vt:lpstr>_F8</vt:lpstr>
      <vt:lpstr>_F9</vt:lpstr>
      <vt:lpstr>_OK?</vt:lpstr>
      <vt:lpstr>_OK_KV?</vt:lpstr>
      <vt:lpstr>_Test</vt:lpstr>
      <vt:lpstr>_Verband</vt:lpstr>
      <vt:lpstr>_Verband_KollV2</vt:lpstr>
      <vt:lpstr>_Verband_KollV3</vt:lpstr>
      <vt:lpstr>_Verband_KollV4</vt:lpstr>
      <vt:lpstr>_Verband_KollV5</vt:lpstr>
      <vt:lpstr>AufzahlungsSTD</vt:lpstr>
      <vt:lpstr>AufzahlungsStdEURO</vt:lpstr>
      <vt:lpstr>DienstreiseSTD</vt:lpstr>
      <vt:lpstr>DienstreiseTAG</vt:lpstr>
      <vt:lpstr>DienstreiseWOCHE</vt:lpstr>
      <vt:lpstr>' K3 PP'!Druckbereich</vt:lpstr>
      <vt:lpstr>'K2 GZ'!Druckbereich</vt:lpstr>
      <vt:lpstr>Projekt!Druckbereich</vt:lpstr>
      <vt:lpstr>Stammdaten!Druckbereich</vt:lpstr>
      <vt:lpstr>ErschwernisZul</vt:lpstr>
      <vt:lpstr>K2GZWerte</vt:lpstr>
      <vt:lpstr>KVBezeichnung</vt:lpstr>
      <vt:lpstr>MehrarbeitsStd</vt:lpstr>
      <vt:lpstr>UmlagenK3spalteA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K3 Kalkulatonsprogramm nach ÖNORM B 2061:2020</dc:title>
  <dc:creator>Andreas Kropik</dc:creator>
  <cp:keywords>Preisermittlung für Bauleistungen Kalkulationsformblatt K3</cp:keywords>
  <cp:lastModifiedBy>Andreas Kropik</cp:lastModifiedBy>
  <cp:lastPrinted>2021-12-09T17:00:24Z</cp:lastPrinted>
  <dcterms:created xsi:type="dcterms:W3CDTF">2003-03-04T08:55:28Z</dcterms:created>
  <dcterms:modified xsi:type="dcterms:W3CDTF">2022-10-01T09:53:52Z</dcterms:modified>
  <cp:contentStatus/>
</cp:coreProperties>
</file>