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24226"/>
  <mc:AlternateContent xmlns:mc="http://schemas.openxmlformats.org/markup-compatibility/2006">
    <mc:Choice Requires="x15">
      <x15ac:absPath xmlns:x15ac="http://schemas.microsoft.com/office/spreadsheetml/2010/11/ac" url="\\MYCLOUDEX2ULTRA\Daten\Projekte\2024\020 Spengler und BUAG\WEB\"/>
    </mc:Choice>
  </mc:AlternateContent>
  <xr:revisionPtr revIDLastSave="0" documentId="13_ncr:1_{D2D64F46-3C3D-4013-85F3-C1CD37A509ED}" xr6:coauthVersionLast="47" xr6:coauthVersionMax="47" xr10:uidLastSave="{00000000-0000-0000-0000-000000000000}"/>
  <workbookProtection workbookPassword="962C" lockStructure="1"/>
  <bookViews>
    <workbookView xWindow="-98" yWindow="503" windowWidth="20715" windowHeight="13274"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1">'L-Rechner'!#REF!</definedName>
    <definedName name="AufzahlungsSTD">Stammdaten!$A$50:$A$54</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1">'L-Rechner'!#REF!</definedName>
    <definedName name="_xlnm.Print_Area" localSheetId="4">Report!$A$1:$I$392</definedName>
    <definedName name="_xlnm.Print_Area" localSheetId="2">Stammdaten!$A$1:$F$160</definedName>
    <definedName name="ErschwernisZul" localSheetId="1">'L-Rechner'!#REF!</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1">'L-Rechner'!#REF!</definedName>
    <definedName name="MehrarbeitsStd" localSheetId="1">'L-Rechner'!#REF!</definedName>
    <definedName name="sdsddsdsds" hidden="1">{"'Zusammenfassung für ÖSTAT'!$A$1:$G$55"}</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9" i="19" l="1"/>
  <c r="J299" i="19" l="1"/>
  <c r="J320" i="19"/>
  <c r="I320" i="19"/>
  <c r="I299" i="19"/>
  <c r="I51" i="19"/>
  <c r="J129" i="19"/>
  <c r="J128" i="19"/>
  <c r="J127" i="19"/>
  <c r="J126" i="19"/>
  <c r="J125" i="19"/>
  <c r="A795" i="33"/>
  <c r="A415" i="33"/>
  <c r="A413" i="19"/>
  <c r="O820" i="19" s="1"/>
  <c r="I811" i="19"/>
  <c r="I810" i="19"/>
  <c r="I737" i="19"/>
  <c r="I736" i="19"/>
  <c r="I663" i="19"/>
  <c r="I662" i="19"/>
  <c r="I595" i="19"/>
  <c r="I594" i="19"/>
  <c r="I527" i="19"/>
  <c r="I526" i="19"/>
  <c r="I459" i="19"/>
  <c r="I458" i="19"/>
  <c r="P72" i="19"/>
  <c r="A859" i="33"/>
  <c r="F12" i="29"/>
  <c r="H34" i="40"/>
  <c r="H34" i="38"/>
  <c r="H34" i="37"/>
  <c r="H34" i="34"/>
  <c r="H34" i="28"/>
  <c r="H34" i="27"/>
  <c r="H34" i="16"/>
  <c r="A975" i="33"/>
  <c r="A829" i="33"/>
  <c r="A680" i="33"/>
  <c r="A618" i="33"/>
  <c r="J89" i="19"/>
  <c r="J50" i="19"/>
  <c r="A477" i="33" s="1"/>
  <c r="P73" i="19"/>
  <c r="P71" i="19"/>
  <c r="I61" i="19"/>
  <c r="G61" i="19"/>
  <c r="E156" i="19" s="1"/>
  <c r="J61" i="19"/>
  <c r="F366" i="19"/>
  <c r="F297" i="19" s="1"/>
  <c r="F293" i="19"/>
  <c r="E293" i="19"/>
  <c r="G302" i="19"/>
  <c r="J284" i="19"/>
  <c r="I294" i="19"/>
  <c r="E366" i="19"/>
  <c r="A986" i="33"/>
  <c r="J291" i="19"/>
  <c r="E297" i="19"/>
  <c r="A888" i="33"/>
  <c r="J365" i="19"/>
  <c r="P413" i="19"/>
  <c r="P412" i="19"/>
  <c r="J199" i="19"/>
  <c r="J198" i="19"/>
  <c r="J197" i="19"/>
  <c r="J196" i="19"/>
  <c r="J188" i="19"/>
  <c r="J187" i="19"/>
  <c r="J186" i="19"/>
  <c r="J185" i="19"/>
  <c r="J149" i="19"/>
  <c r="E52" i="19"/>
  <c r="T72" i="19"/>
  <c r="S72" i="19"/>
  <c r="N20" i="29"/>
  <c r="N19" i="29"/>
  <c r="G11" i="29"/>
  <c r="J323" i="19"/>
  <c r="J189" i="19"/>
  <c r="A769" i="33"/>
  <c r="I18" i="39"/>
  <c r="A151" i="19"/>
  <c r="M203" i="19"/>
  <c r="N203" i="19" s="1"/>
  <c r="M174" i="19"/>
  <c r="N174" i="19" s="1"/>
  <c r="H21" i="32"/>
  <c r="F21" i="32"/>
  <c r="D21" i="32"/>
  <c r="A873" i="19"/>
  <c r="J240" i="19"/>
  <c r="A630" i="33"/>
  <c r="J97" i="19"/>
  <c r="J221" i="19"/>
  <c r="A60" i="33"/>
  <c r="P214" i="19"/>
  <c r="P216" i="19"/>
  <c r="J114" i="19"/>
  <c r="A72" i="33"/>
  <c r="A73" i="33"/>
  <c r="A70" i="33"/>
  <c r="A71" i="33"/>
  <c r="A69" i="33"/>
  <c r="A872" i="19"/>
  <c r="A867" i="19"/>
  <c r="E962" i="33"/>
  <c r="E964" i="33"/>
  <c r="A967" i="33"/>
  <c r="A969" i="33"/>
  <c r="F343" i="33"/>
  <c r="F329" i="33"/>
  <c r="F317" i="33"/>
  <c r="F304" i="33"/>
  <c r="A864" i="33"/>
  <c r="A862" i="33"/>
  <c r="F279" i="33"/>
  <c r="F251" i="33"/>
  <c r="F763" i="33"/>
  <c r="F225" i="33"/>
  <c r="F206" i="33"/>
  <c r="F178" i="33"/>
  <c r="F160" i="33"/>
  <c r="F151" i="33"/>
  <c r="A921" i="33"/>
  <c r="F921" i="33" s="1"/>
  <c r="A922" i="33"/>
  <c r="F922" i="33" s="1"/>
  <c r="A920" i="33"/>
  <c r="F920" i="33" s="1"/>
  <c r="J689" i="19"/>
  <c r="J763" i="19"/>
  <c r="B40" i="40"/>
  <c r="B40" i="38"/>
  <c r="F7" i="40"/>
  <c r="F7" i="38"/>
  <c r="J276" i="19"/>
  <c r="N837" i="19"/>
  <c r="J440" i="19"/>
  <c r="Q798" i="19"/>
  <c r="N798" i="19"/>
  <c r="M798" i="19"/>
  <c r="N802" i="19"/>
  <c r="Q797" i="19"/>
  <c r="P797" i="19"/>
  <c r="M797" i="19"/>
  <c r="Q796" i="19"/>
  <c r="P796" i="19"/>
  <c r="M796" i="19"/>
  <c r="Q795" i="19"/>
  <c r="P795" i="19"/>
  <c r="N795" i="19"/>
  <c r="M795" i="19"/>
  <c r="Q794" i="19"/>
  <c r="P794" i="19"/>
  <c r="M794" i="19"/>
  <c r="Q724" i="19"/>
  <c r="N724" i="19"/>
  <c r="M724" i="19"/>
  <c r="I726" i="19" s="1"/>
  <c r="N728" i="19"/>
  <c r="Q723" i="19"/>
  <c r="P723" i="19"/>
  <c r="M723" i="19"/>
  <c r="N726" i="19" s="1"/>
  <c r="P726" i="19" s="1"/>
  <c r="O11" i="38" s="1"/>
  <c r="Q722" i="19"/>
  <c r="P722" i="19"/>
  <c r="M722" i="19"/>
  <c r="Q721" i="19"/>
  <c r="P721" i="19"/>
  <c r="N721" i="19"/>
  <c r="M721" i="19"/>
  <c r="Q720" i="19"/>
  <c r="P720" i="19"/>
  <c r="M720" i="19"/>
  <c r="Q650" i="19"/>
  <c r="N650" i="19"/>
  <c r="M650" i="19"/>
  <c r="I648" i="19" s="1"/>
  <c r="Q649" i="19"/>
  <c r="P649" i="19"/>
  <c r="M649" i="19"/>
  <c r="Q648" i="19"/>
  <c r="P648" i="19"/>
  <c r="M648" i="19"/>
  <c r="N652" i="19" s="1"/>
  <c r="K11" i="37" s="1"/>
  <c r="A864" i="19" s="1"/>
  <c r="Q647" i="19"/>
  <c r="P647" i="19"/>
  <c r="N647" i="19"/>
  <c r="M647" i="19"/>
  <c r="I647" i="19" s="1"/>
  <c r="Q646" i="19"/>
  <c r="P646" i="19"/>
  <c r="M646" i="19"/>
  <c r="Q582" i="19"/>
  <c r="N582" i="19"/>
  <c r="M582" i="19"/>
  <c r="N586" i="19"/>
  <c r="N587" i="19" s="1"/>
  <c r="N588" i="19" s="1"/>
  <c r="Q581" i="19"/>
  <c r="P581" i="19"/>
  <c r="M581" i="19"/>
  <c r="Q580" i="19"/>
  <c r="P580" i="19"/>
  <c r="M580" i="19"/>
  <c r="Q579" i="19"/>
  <c r="P579" i="19"/>
  <c r="N584" i="19" s="1"/>
  <c r="K11" i="34" s="1"/>
  <c r="N579" i="19"/>
  <c r="M579" i="19"/>
  <c r="Q578" i="19"/>
  <c r="P578" i="19"/>
  <c r="M578" i="19"/>
  <c r="N514" i="19"/>
  <c r="Q514" i="19"/>
  <c r="P513" i="19"/>
  <c r="Q513" i="19"/>
  <c r="P512" i="19"/>
  <c r="Q512" i="19"/>
  <c r="N511" i="19"/>
  <c r="P511" i="19"/>
  <c r="Q511" i="19"/>
  <c r="M514" i="19"/>
  <c r="I516" i="19"/>
  <c r="M513" i="19"/>
  <c r="H511" i="19" s="1"/>
  <c r="M512" i="19"/>
  <c r="N516" i="19" s="1"/>
  <c r="K11" i="28" s="1"/>
  <c r="A854" i="19" s="1"/>
  <c r="Q510" i="19"/>
  <c r="P510" i="19"/>
  <c r="M510" i="19"/>
  <c r="M511" i="19"/>
  <c r="M600" i="19"/>
  <c r="N600" i="19"/>
  <c r="N450" i="19"/>
  <c r="N449" i="19"/>
  <c r="N451" i="19" s="1"/>
  <c r="N452" i="19" s="1"/>
  <c r="N448" i="19"/>
  <c r="K11" i="27"/>
  <c r="J274" i="19"/>
  <c r="J214" i="19"/>
  <c r="N517" i="19"/>
  <c r="N518" i="19"/>
  <c r="N519" i="19" s="1"/>
  <c r="N520" i="19" s="1"/>
  <c r="I512" i="19"/>
  <c r="I520" i="19"/>
  <c r="I584" i="19"/>
  <c r="N585" i="19"/>
  <c r="I588" i="19"/>
  <c r="N727" i="19"/>
  <c r="N729" i="19"/>
  <c r="N730" i="19" s="1"/>
  <c r="I722" i="19"/>
  <c r="I580" i="19"/>
  <c r="I730" i="19"/>
  <c r="J576" i="19"/>
  <c r="J644" i="19"/>
  <c r="J792" i="19"/>
  <c r="N801" i="19"/>
  <c r="N803" i="19" s="1"/>
  <c r="N804" i="19" s="1"/>
  <c r="N653" i="19"/>
  <c r="I264" i="19"/>
  <c r="J249" i="19"/>
  <c r="K208" i="19"/>
  <c r="J207" i="19"/>
  <c r="J131" i="19"/>
  <c r="T74" i="19"/>
  <c r="S74" i="19"/>
  <c r="T71" i="19"/>
  <c r="S71" i="19"/>
  <c r="K12" i="34"/>
  <c r="N608" i="19"/>
  <c r="O230" i="19"/>
  <c r="R55" i="19"/>
  <c r="R56" i="19" s="1"/>
  <c r="R57" i="19"/>
  <c r="H52" i="19"/>
  <c r="G52" i="19"/>
  <c r="A52" i="19"/>
  <c r="G213" i="19"/>
  <c r="H213" i="19"/>
  <c r="H193" i="19"/>
  <c r="G193" i="19"/>
  <c r="D193" i="19"/>
  <c r="H182" i="19"/>
  <c r="G182" i="19"/>
  <c r="D182" i="19"/>
  <c r="A193" i="19"/>
  <c r="A182" i="19"/>
  <c r="I452" i="19"/>
  <c r="I448" i="19"/>
  <c r="I444" i="19"/>
  <c r="I443" i="19"/>
  <c r="I438" i="19"/>
  <c r="M791" i="19"/>
  <c r="M792" i="19"/>
  <c r="N792" i="19"/>
  <c r="N790" i="19"/>
  <c r="M790" i="19"/>
  <c r="I790" i="19"/>
  <c r="J789" i="19" s="1"/>
  <c r="M717" i="19"/>
  <c r="M718" i="19"/>
  <c r="N718" i="19"/>
  <c r="N716" i="19"/>
  <c r="M716" i="19"/>
  <c r="I716" i="19"/>
  <c r="M643" i="19"/>
  <c r="M644" i="19"/>
  <c r="N644" i="19"/>
  <c r="N642" i="19"/>
  <c r="M642" i="19"/>
  <c r="I642" i="19" s="1"/>
  <c r="A659" i="19"/>
  <c r="H659" i="19"/>
  <c r="G659" i="19"/>
  <c r="E659" i="19"/>
  <c r="A591" i="19"/>
  <c r="M575" i="19"/>
  <c r="M576" i="19"/>
  <c r="N576" i="19"/>
  <c r="N574" i="19"/>
  <c r="M574" i="19"/>
  <c r="I574" i="19"/>
  <c r="H591" i="19"/>
  <c r="G591" i="19"/>
  <c r="E591" i="19"/>
  <c r="H523" i="19"/>
  <c r="G523" i="19"/>
  <c r="E523" i="19"/>
  <c r="A523" i="19"/>
  <c r="N508" i="19"/>
  <c r="N506" i="19"/>
  <c r="M508" i="19"/>
  <c r="H510" i="19" s="1"/>
  <c r="M507" i="19"/>
  <c r="M506" i="19"/>
  <c r="I506" i="19" s="1"/>
  <c r="I795" i="19"/>
  <c r="I579" i="19"/>
  <c r="I511" i="19"/>
  <c r="E11" i="29"/>
  <c r="C12" i="29" s="1"/>
  <c r="G9" i="29"/>
  <c r="G7" i="29"/>
  <c r="H807" i="19"/>
  <c r="G807" i="19"/>
  <c r="H733" i="19"/>
  <c r="G733" i="19"/>
  <c r="G351" i="19"/>
  <c r="D134" i="17"/>
  <c r="H8" i="33"/>
  <c r="O189" i="19"/>
  <c r="P189" i="19"/>
  <c r="O145" i="19"/>
  <c r="P145" i="19"/>
  <c r="M109" i="19"/>
  <c r="N109" i="19" s="1"/>
  <c r="M98" i="19"/>
  <c r="N98" i="19" s="1"/>
  <c r="F33" i="17"/>
  <c r="D113" i="17"/>
  <c r="D119" i="17"/>
  <c r="D128" i="17"/>
  <c r="N362" i="19"/>
  <c r="O747" i="19"/>
  <c r="A683" i="19"/>
  <c r="A682" i="19"/>
  <c r="A615" i="19"/>
  <c r="A614" i="19"/>
  <c r="A547" i="19"/>
  <c r="A546" i="19"/>
  <c r="N686" i="19"/>
  <c r="N673" i="19"/>
  <c r="P674" i="19" s="1"/>
  <c r="N672" i="19"/>
  <c r="N674" i="19" s="1"/>
  <c r="N618" i="19"/>
  <c r="N605" i="19"/>
  <c r="N604" i="19"/>
  <c r="N550" i="19"/>
  <c r="N537" i="19"/>
  <c r="N536" i="19"/>
  <c r="N482" i="19"/>
  <c r="N468" i="19"/>
  <c r="N470" i="19" s="1"/>
  <c r="N469" i="19"/>
  <c r="N763" i="19"/>
  <c r="M775" i="19"/>
  <c r="J764" i="19"/>
  <c r="J690" i="19"/>
  <c r="J693" i="19"/>
  <c r="B40" i="37"/>
  <c r="B40" i="34"/>
  <c r="B40" i="28"/>
  <c r="B40" i="27"/>
  <c r="J573" i="19"/>
  <c r="P470" i="19"/>
  <c r="P606" i="19"/>
  <c r="O822" i="19"/>
  <c r="Q822" i="19" s="1"/>
  <c r="O821" i="19"/>
  <c r="O748" i="19"/>
  <c r="Q748" i="19" s="1"/>
  <c r="H9" i="40"/>
  <c r="A783" i="19"/>
  <c r="A782" i="19"/>
  <c r="A709" i="19"/>
  <c r="A708" i="19"/>
  <c r="A635" i="19"/>
  <c r="A634" i="19"/>
  <c r="A567" i="19"/>
  <c r="A566" i="19"/>
  <c r="A868" i="19"/>
  <c r="K38" i="28"/>
  <c r="K37" i="28"/>
  <c r="M38" i="28"/>
  <c r="M37" i="28"/>
  <c r="I785" i="19"/>
  <c r="I784" i="19"/>
  <c r="I711" i="19"/>
  <c r="I710" i="19"/>
  <c r="I637" i="19"/>
  <c r="I636" i="19"/>
  <c r="I569" i="19"/>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F773" i="19" s="1"/>
  <c r="J767" i="19"/>
  <c r="I300" i="19"/>
  <c r="I289" i="19"/>
  <c r="G746" i="19"/>
  <c r="F746" i="19"/>
  <c r="G745" i="19"/>
  <c r="F745" i="19"/>
  <c r="G672" i="19"/>
  <c r="F672" i="19"/>
  <c r="G671" i="19"/>
  <c r="F671" i="19"/>
  <c r="G604" i="19"/>
  <c r="F604" i="19"/>
  <c r="G603" i="19"/>
  <c r="H603" i="19" s="1"/>
  <c r="F603" i="19"/>
  <c r="G536" i="19"/>
  <c r="F536" i="19"/>
  <c r="G535" i="19"/>
  <c r="F535" i="19"/>
  <c r="F467" i="19"/>
  <c r="G467" i="19"/>
  <c r="F468" i="19"/>
  <c r="G468" i="19"/>
  <c r="Q79" i="19"/>
  <c r="Q81" i="19"/>
  <c r="R81" i="19" s="1"/>
  <c r="Q82" i="19"/>
  <c r="R82" i="19"/>
  <c r="Q83" i="19"/>
  <c r="R83" i="19"/>
  <c r="Q84" i="19"/>
  <c r="R84" i="19" s="1"/>
  <c r="Q80" i="19"/>
  <c r="R80" i="19" s="1"/>
  <c r="D788" i="19"/>
  <c r="D826" i="19" s="1"/>
  <c r="F776" i="19"/>
  <c r="F777" i="19" s="1"/>
  <c r="M335" i="19"/>
  <c r="O338" i="19"/>
  <c r="K38" i="38"/>
  <c r="K37" i="38"/>
  <c r="M38" i="37"/>
  <c r="K38" i="37"/>
  <c r="M37" i="37"/>
  <c r="K37" i="37"/>
  <c r="M38" i="34"/>
  <c r="K38" i="34"/>
  <c r="M37" i="34"/>
  <c r="K37" i="34"/>
  <c r="B37" i="34" s="1"/>
  <c r="K38" i="27"/>
  <c r="K37" i="27"/>
  <c r="P228" i="19"/>
  <c r="P227" i="19"/>
  <c r="P226" i="19"/>
  <c r="A215" i="19"/>
  <c r="J738" i="19"/>
  <c r="J664" i="19"/>
  <c r="J596" i="19"/>
  <c r="J528" i="19"/>
  <c r="J236" i="19"/>
  <c r="J460" i="19"/>
  <c r="I751" i="19"/>
  <c r="I677" i="19"/>
  <c r="I609" i="19"/>
  <c r="I541" i="19"/>
  <c r="I473" i="19"/>
  <c r="M343" i="19"/>
  <c r="N343" i="19" s="1"/>
  <c r="M344" i="19"/>
  <c r="N344" i="19" s="1"/>
  <c r="M345" i="19"/>
  <c r="N345" i="19" s="1"/>
  <c r="M346" i="19"/>
  <c r="M347" i="19"/>
  <c r="M348" i="19"/>
  <c r="M349" i="19"/>
  <c r="N349" i="19" s="1"/>
  <c r="M350" i="19"/>
  <c r="N350" i="19" s="1"/>
  <c r="A750" i="19"/>
  <c r="A676" i="19"/>
  <c r="A608" i="19"/>
  <c r="A540" i="19"/>
  <c r="I478" i="19"/>
  <c r="J356" i="19"/>
  <c r="J355" i="19"/>
  <c r="F6" i="27"/>
  <c r="F6" i="28"/>
  <c r="F6" i="34"/>
  <c r="F6" i="37"/>
  <c r="F6" i="38"/>
  <c r="F6" i="16"/>
  <c r="B6" i="27"/>
  <c r="B6" i="28"/>
  <c r="B6" i="34"/>
  <c r="B6" i="37"/>
  <c r="B6" i="38"/>
  <c r="B6" i="16"/>
  <c r="J28" i="19"/>
  <c r="M33" i="19"/>
  <c r="B40" i="16" s="1"/>
  <c r="B371" i="19"/>
  <c r="N346" i="19"/>
  <c r="N348" i="19"/>
  <c r="A143" i="19"/>
  <c r="J110" i="19"/>
  <c r="B6" i="19"/>
  <c r="I354" i="19"/>
  <c r="E295" i="19"/>
  <c r="A887" i="33" s="1"/>
  <c r="A907" i="33" s="1"/>
  <c r="F295" i="19"/>
  <c r="A257" i="19"/>
  <c r="A259" i="19"/>
  <c r="A258" i="19"/>
  <c r="O174" i="19"/>
  <c r="P230" i="19"/>
  <c r="P229" i="19"/>
  <c r="G265" i="19"/>
  <c r="F732" i="19"/>
  <c r="A729" i="19"/>
  <c r="F658" i="19"/>
  <c r="A655" i="19"/>
  <c r="F590" i="19"/>
  <c r="A587" i="19"/>
  <c r="A332" i="19"/>
  <c r="C332" i="19" s="1"/>
  <c r="A333" i="19"/>
  <c r="C333" i="19" s="1"/>
  <c r="D333" i="19" s="1"/>
  <c r="E333" i="19" s="1"/>
  <c r="A331" i="19"/>
  <c r="C331" i="19"/>
  <c r="A330" i="19"/>
  <c r="A329" i="19"/>
  <c r="G338" i="19"/>
  <c r="C922" i="33" s="1"/>
  <c r="F522" i="19"/>
  <c r="J521" i="19"/>
  <c r="J519" i="19"/>
  <c r="A519" i="19"/>
  <c r="J515" i="19"/>
  <c r="J512" i="19"/>
  <c r="A451" i="19"/>
  <c r="F389" i="19"/>
  <c r="G818" i="19"/>
  <c r="G744" i="19"/>
  <c r="H744" i="19" s="1"/>
  <c r="G336" i="19"/>
  <c r="G466" i="19"/>
  <c r="K36" i="27"/>
  <c r="G337" i="19"/>
  <c r="C921" i="33" s="1"/>
  <c r="G534" i="19"/>
  <c r="K36" i="28"/>
  <c r="G602" i="19"/>
  <c r="K36" i="34"/>
  <c r="B36" i="34" s="1"/>
  <c r="B333" i="19"/>
  <c r="K38" i="16"/>
  <c r="H535" i="19"/>
  <c r="H671" i="19"/>
  <c r="H467" i="19"/>
  <c r="M37" i="27"/>
  <c r="B332" i="19"/>
  <c r="D332" i="19" s="1"/>
  <c r="E332" i="19" s="1"/>
  <c r="G670" i="19"/>
  <c r="K36" i="37"/>
  <c r="F338" i="19"/>
  <c r="B922" i="33" s="1"/>
  <c r="D922" i="33" s="1"/>
  <c r="A928" i="33" s="1"/>
  <c r="A63" i="19"/>
  <c r="B17" i="32"/>
  <c r="B16" i="32"/>
  <c r="B15" i="32"/>
  <c r="B14" i="32"/>
  <c r="B13" i="32"/>
  <c r="B12" i="32"/>
  <c r="B11" i="32"/>
  <c r="B10" i="32"/>
  <c r="K14" i="16"/>
  <c r="P14" i="16"/>
  <c r="K36" i="38"/>
  <c r="H818" i="19"/>
  <c r="K36" i="40"/>
  <c r="K35" i="40"/>
  <c r="M34" i="19"/>
  <c r="B45" i="16" s="1"/>
  <c r="I741" i="19"/>
  <c r="I667" i="19"/>
  <c r="I599" i="19"/>
  <c r="I531" i="19"/>
  <c r="I463" i="19"/>
  <c r="A662" i="33"/>
  <c r="A664" i="33" s="1"/>
  <c r="A663" i="33"/>
  <c r="A661" i="33"/>
  <c r="A629" i="33"/>
  <c r="A628" i="33"/>
  <c r="A627" i="33"/>
  <c r="A626" i="33"/>
  <c r="A625" i="33"/>
  <c r="A624" i="33"/>
  <c r="A623" i="33"/>
  <c r="A580" i="33"/>
  <c r="A579" i="33"/>
  <c r="A578" i="33"/>
  <c r="A577" i="33"/>
  <c r="A576" i="33"/>
  <c r="A575" i="33"/>
  <c r="A560" i="33"/>
  <c r="A559" i="33"/>
  <c r="A558" i="33"/>
  <c r="A557" i="33"/>
  <c r="A556" i="33"/>
  <c r="A561" i="33" s="1"/>
  <c r="A562" i="33" s="1"/>
  <c r="A563" i="33" s="1"/>
  <c r="A1054" i="33"/>
  <c r="B26" i="20"/>
  <c r="B27" i="20"/>
  <c r="B28" i="20"/>
  <c r="B29" i="20"/>
  <c r="B30" i="20"/>
  <c r="B31" i="20"/>
  <c r="B32" i="20"/>
  <c r="B25" i="20"/>
  <c r="A1036" i="33"/>
  <c r="I22" i="32"/>
  <c r="G22" i="32"/>
  <c r="H20" i="20"/>
  <c r="A665" i="33"/>
  <c r="A666" i="33" s="1"/>
  <c r="D141" i="33"/>
  <c r="J18" i="19"/>
  <c r="B595" i="33"/>
  <c r="B594" i="33"/>
  <c r="B593" i="33"/>
  <c r="D596" i="33" s="1"/>
  <c r="B566" i="33"/>
  <c r="B567" i="33"/>
  <c r="B568" i="33"/>
  <c r="B569" i="33"/>
  <c r="B565" i="33"/>
  <c r="A303" i="19"/>
  <c r="J354" i="19"/>
  <c r="C407" i="19"/>
  <c r="D407" i="19"/>
  <c r="B407" i="19"/>
  <c r="J731" i="19"/>
  <c r="J729" i="19"/>
  <c r="J725" i="19"/>
  <c r="J722" i="19"/>
  <c r="B12" i="38"/>
  <c r="B15" i="38"/>
  <c r="B14" i="38"/>
  <c r="B13" i="38"/>
  <c r="B11" i="38"/>
  <c r="U10" i="38" s="1"/>
  <c r="H9" i="38"/>
  <c r="J657" i="19"/>
  <c r="J655" i="19"/>
  <c r="J651" i="19"/>
  <c r="J648" i="19"/>
  <c r="J589" i="19"/>
  <c r="J587" i="19"/>
  <c r="J583" i="19"/>
  <c r="J580" i="19"/>
  <c r="J444" i="19"/>
  <c r="J453" i="19"/>
  <c r="J451" i="19"/>
  <c r="J447" i="19"/>
  <c r="N535" i="19"/>
  <c r="N603" i="19"/>
  <c r="A302" i="19"/>
  <c r="A301" i="19"/>
  <c r="A300" i="19"/>
  <c r="E817" i="33"/>
  <c r="A723" i="33"/>
  <c r="A722" i="33"/>
  <c r="A721" i="33"/>
  <c r="A724" i="33" s="1"/>
  <c r="A725" i="33" s="1"/>
  <c r="A726" i="33" s="1"/>
  <c r="A762" i="33"/>
  <c r="A751" i="33"/>
  <c r="A750" i="33"/>
  <c r="A749" i="33"/>
  <c r="A748" i="33"/>
  <c r="A747" i="33"/>
  <c r="A737" i="33"/>
  <c r="A736" i="33"/>
  <c r="A735" i="33"/>
  <c r="A734" i="33"/>
  <c r="A733" i="33"/>
  <c r="J210" i="19"/>
  <c r="I223" i="19"/>
  <c r="I138" i="33"/>
  <c r="H138" i="33"/>
  <c r="C409" i="33"/>
  <c r="B409" i="33"/>
  <c r="E425" i="33"/>
  <c r="A752" i="33"/>
  <c r="A753" i="33" s="1"/>
  <c r="A754" i="33" s="1"/>
  <c r="I214" i="19"/>
  <c r="J200" i="19"/>
  <c r="J178" i="19"/>
  <c r="A60" i="19"/>
  <c r="J162" i="19"/>
  <c r="J157" i="19"/>
  <c r="F15" i="32"/>
  <c r="G15" i="32"/>
  <c r="I15" i="32" s="1"/>
  <c r="J15" i="32" s="1"/>
  <c r="F16" i="32"/>
  <c r="G16" i="32"/>
  <c r="I16" i="32" s="1"/>
  <c r="J16" i="32" s="1"/>
  <c r="F17" i="32"/>
  <c r="G17" i="32" s="1"/>
  <c r="I17" i="32" s="1"/>
  <c r="J17" i="32" s="1"/>
  <c r="L17" i="32" s="1"/>
  <c r="B31" i="32" s="1"/>
  <c r="I32" i="20"/>
  <c r="I29" i="20"/>
  <c r="I30" i="20"/>
  <c r="I31" i="20"/>
  <c r="C22" i="32"/>
  <c r="N1" i="19"/>
  <c r="A543" i="33"/>
  <c r="A498" i="33"/>
  <c r="G1" i="16"/>
  <c r="G1" i="40" s="1"/>
  <c r="F2" i="16"/>
  <c r="C4" i="16"/>
  <c r="C4" i="34" s="1"/>
  <c r="G4" i="16"/>
  <c r="H6" i="20" s="1"/>
  <c r="G4" i="32" s="1"/>
  <c r="F2" i="37"/>
  <c r="F2" i="34"/>
  <c r="F2" i="28"/>
  <c r="F2" i="27"/>
  <c r="C4" i="40"/>
  <c r="F14" i="32"/>
  <c r="G14" i="32"/>
  <c r="I14" i="32"/>
  <c r="J14" i="32" s="1"/>
  <c r="F13" i="32"/>
  <c r="G13" i="32"/>
  <c r="I13" i="32" s="1"/>
  <c r="J13" i="32" s="1"/>
  <c r="F12" i="32"/>
  <c r="G12" i="32"/>
  <c r="I12" i="32"/>
  <c r="J12" i="32" s="1"/>
  <c r="F11" i="32"/>
  <c r="G11" i="32"/>
  <c r="I11" i="32" s="1"/>
  <c r="J11" i="32" s="1"/>
  <c r="L11" i="32" s="1"/>
  <c r="F10" i="32"/>
  <c r="G10" i="32"/>
  <c r="I10" i="32"/>
  <c r="J10" i="32"/>
  <c r="L12" i="32"/>
  <c r="I4" i="17"/>
  <c r="B25" i="32"/>
  <c r="B10" i="27"/>
  <c r="A848" i="19" s="1"/>
  <c r="B10" i="37"/>
  <c r="A863" i="19" s="1"/>
  <c r="B10" i="34"/>
  <c r="A858" i="19" s="1"/>
  <c r="B10" i="28"/>
  <c r="A853" i="19" s="1"/>
  <c r="A47" i="27"/>
  <c r="A47" i="28"/>
  <c r="A47" i="34"/>
  <c r="A47" i="37"/>
  <c r="A47" i="38"/>
  <c r="A47" i="16"/>
  <c r="A32" i="32" s="1"/>
  <c r="L151" i="19"/>
  <c r="G154" i="19"/>
  <c r="I263" i="19"/>
  <c r="D436" i="19"/>
  <c r="C474" i="19" s="1"/>
  <c r="D504" i="19"/>
  <c r="C542" i="19" s="1"/>
  <c r="D572" i="19"/>
  <c r="C610" i="19" s="1"/>
  <c r="D640" i="19"/>
  <c r="C678" i="19"/>
  <c r="E700" i="19"/>
  <c r="E703" i="19"/>
  <c r="F702" i="19"/>
  <c r="F703" i="19"/>
  <c r="I114" i="19"/>
  <c r="I498" i="33"/>
  <c r="A506" i="33"/>
  <c r="C10" i="29"/>
  <c r="C8" i="29"/>
  <c r="B14" i="16"/>
  <c r="B15" i="16"/>
  <c r="B16" i="16"/>
  <c r="B17" i="16"/>
  <c r="B18" i="16"/>
  <c r="H10" i="37"/>
  <c r="H19" i="37"/>
  <c r="E629" i="19"/>
  <c r="H631" i="19" s="1"/>
  <c r="E626" i="19"/>
  <c r="G631" i="19" s="1"/>
  <c r="F662" i="19" s="1"/>
  <c r="H10" i="34"/>
  <c r="H19" i="34" s="1"/>
  <c r="E561" i="19"/>
  <c r="F560" i="19" s="1"/>
  <c r="F561" i="19" s="1"/>
  <c r="E558" i="19"/>
  <c r="L165" i="19"/>
  <c r="F628" i="19"/>
  <c r="F629" i="19" s="1"/>
  <c r="J631" i="19"/>
  <c r="A859" i="19"/>
  <c r="H563" i="19"/>
  <c r="A631" i="19"/>
  <c r="N14" i="29"/>
  <c r="O14" i="29"/>
  <c r="P14" i="29" s="1"/>
  <c r="B3" i="31"/>
  <c r="F3" i="31" s="1"/>
  <c r="B2" i="31"/>
  <c r="F2" i="31" s="1"/>
  <c r="D1054" i="33"/>
  <c r="D1058" i="33" s="1"/>
  <c r="B21" i="31"/>
  <c r="C21" i="31" s="1"/>
  <c r="B22" i="31"/>
  <c r="B6" i="31"/>
  <c r="C6" i="31" s="1"/>
  <c r="D6" i="31" s="1"/>
  <c r="B24" i="31"/>
  <c r="B20" i="31"/>
  <c r="A51" i="31"/>
  <c r="A849" i="19"/>
  <c r="E490" i="19"/>
  <c r="I166" i="19"/>
  <c r="I433" i="19"/>
  <c r="I235" i="19"/>
  <c r="I225" i="19"/>
  <c r="I71" i="19"/>
  <c r="F317" i="19"/>
  <c r="E425" i="19"/>
  <c r="J426" i="19" s="1"/>
  <c r="F424" i="19"/>
  <c r="F425" i="19" s="1"/>
  <c r="E493" i="19"/>
  <c r="H495" i="19"/>
  <c r="J495" i="19" s="1"/>
  <c r="F492" i="19"/>
  <c r="F493" i="19" s="1"/>
  <c r="J494" i="19"/>
  <c r="G495" i="19"/>
  <c r="F526" i="19"/>
  <c r="H10" i="28"/>
  <c r="H19" i="28" s="1"/>
  <c r="L5" i="20"/>
  <c r="K3" i="32" s="1"/>
  <c r="E422" i="19"/>
  <c r="I26" i="20"/>
  <c r="I27" i="20"/>
  <c r="I28" i="20"/>
  <c r="I25" i="20"/>
  <c r="G822" i="19"/>
  <c r="G825" i="19"/>
  <c r="G751" i="19"/>
  <c r="G677" i="19"/>
  <c r="G541" i="19"/>
  <c r="G748" i="19"/>
  <c r="G674" i="19"/>
  <c r="G606" i="19"/>
  <c r="G427" i="19"/>
  <c r="H10" i="27"/>
  <c r="H19" i="27" s="1"/>
  <c r="B11" i="16"/>
  <c r="B12" i="16"/>
  <c r="B13" i="16"/>
  <c r="B10" i="16"/>
  <c r="M6" i="16"/>
  <c r="M6" i="27" s="1"/>
  <c r="G609" i="19"/>
  <c r="G538" i="19"/>
  <c r="G470" i="19"/>
  <c r="C380" i="19"/>
  <c r="O87" i="19"/>
  <c r="P87" i="19"/>
  <c r="O62" i="19"/>
  <c r="P62" i="19"/>
  <c r="E797" i="19"/>
  <c r="E581" i="19"/>
  <c r="E445" i="19"/>
  <c r="J445" i="19" s="1"/>
  <c r="E723" i="19"/>
  <c r="J723" i="19" s="1"/>
  <c r="G94" i="19"/>
  <c r="G92" i="19"/>
  <c r="G93" i="19"/>
  <c r="G91" i="19"/>
  <c r="J797" i="19"/>
  <c r="J581" i="19"/>
  <c r="J147" i="19"/>
  <c r="J148" i="19"/>
  <c r="G102" i="19"/>
  <c r="G103" i="19"/>
  <c r="E801" i="19"/>
  <c r="P801" i="19"/>
  <c r="E585" i="19"/>
  <c r="P585" i="19"/>
  <c r="E517" i="19"/>
  <c r="P517" i="19"/>
  <c r="E449" i="19"/>
  <c r="J449" i="19" s="1"/>
  <c r="P449" i="19"/>
  <c r="E727" i="19"/>
  <c r="P727" i="19"/>
  <c r="E653" i="19"/>
  <c r="P653" i="19"/>
  <c r="A756" i="33"/>
  <c r="J195" i="19"/>
  <c r="J175" i="19"/>
  <c r="J176" i="19"/>
  <c r="E805" i="19"/>
  <c r="P802" i="19"/>
  <c r="J801" i="19"/>
  <c r="E589" i="19"/>
  <c r="E657" i="19"/>
  <c r="E521" i="19"/>
  <c r="E453" i="19"/>
  <c r="P450" i="19"/>
  <c r="E731" i="19"/>
  <c r="P728" i="19"/>
  <c r="J585" i="19"/>
  <c r="J653" i="19"/>
  <c r="J727" i="19"/>
  <c r="J517" i="19"/>
  <c r="J137" i="19"/>
  <c r="H61" i="19"/>
  <c r="C68" i="19"/>
  <c r="E137" i="19"/>
  <c r="O13" i="37"/>
  <c r="P586" i="19"/>
  <c r="P518" i="19"/>
  <c r="E792" i="19"/>
  <c r="F792" i="19" s="1"/>
  <c r="E718" i="19"/>
  <c r="F718" i="19" s="1"/>
  <c r="E644" i="19"/>
  <c r="F644" i="19" s="1"/>
  <c r="E576" i="19"/>
  <c r="F576" i="19"/>
  <c r="E508" i="19"/>
  <c r="F508" i="19" s="1"/>
  <c r="E440" i="19"/>
  <c r="F440" i="19" s="1"/>
  <c r="O13" i="27"/>
  <c r="A499" i="33"/>
  <c r="AD68" i="19"/>
  <c r="AE68" i="19" s="1"/>
  <c r="AF68" i="19" s="1"/>
  <c r="F175" i="19"/>
  <c r="F176" i="19"/>
  <c r="F602" i="19"/>
  <c r="F818" i="19"/>
  <c r="F337" i="19"/>
  <c r="F670" i="19"/>
  <c r="I674" i="19" s="1"/>
  <c r="F534" i="19"/>
  <c r="F466" i="19"/>
  <c r="F336" i="19"/>
  <c r="B920" i="33" s="1"/>
  <c r="F744" i="19"/>
  <c r="B921" i="33"/>
  <c r="D921" i="33" s="1"/>
  <c r="A927" i="33" s="1"/>
  <c r="M36" i="40"/>
  <c r="M39" i="40" s="1"/>
  <c r="I43" i="40" s="1"/>
  <c r="M43" i="40" s="1"/>
  <c r="M36" i="38"/>
  <c r="H431" i="19"/>
  <c r="H567" i="19"/>
  <c r="H499" i="19"/>
  <c r="G14" i="17"/>
  <c r="H17" i="29"/>
  <c r="H430" i="19"/>
  <c r="G209" i="19"/>
  <c r="D763" i="33" s="1"/>
  <c r="F109" i="19"/>
  <c r="H498" i="19"/>
  <c r="H566" i="19"/>
  <c r="F107" i="19"/>
  <c r="F108" i="19"/>
  <c r="H521" i="19"/>
  <c r="H657" i="19"/>
  <c r="G451" i="19"/>
  <c r="G799" i="19"/>
  <c r="G803" i="19"/>
  <c r="G447" i="19"/>
  <c r="A515" i="33"/>
  <c r="G725" i="19"/>
  <c r="G729" i="19"/>
  <c r="A466" i="33"/>
  <c r="F93" i="19"/>
  <c r="G651" i="19"/>
  <c r="G515" i="19"/>
  <c r="A799" i="33"/>
  <c r="H790" i="19"/>
  <c r="H794" i="19"/>
  <c r="K25" i="40" s="1"/>
  <c r="H438" i="19"/>
  <c r="H442" i="19" s="1"/>
  <c r="H574" i="19"/>
  <c r="H578" i="19" s="1"/>
  <c r="K25" i="34" s="1"/>
  <c r="G587" i="19"/>
  <c r="H716" i="19"/>
  <c r="H720" i="19"/>
  <c r="K25" i="38" s="1"/>
  <c r="H642" i="19"/>
  <c r="H646" i="19" s="1"/>
  <c r="K25" i="37" s="1"/>
  <c r="G655" i="19"/>
  <c r="H655" i="19"/>
  <c r="G658" i="19"/>
  <c r="H506" i="19"/>
  <c r="K25" i="28"/>
  <c r="G519" i="19"/>
  <c r="H519" i="19"/>
  <c r="G522" i="19"/>
  <c r="F94" i="19"/>
  <c r="F92" i="19"/>
  <c r="F102" i="19"/>
  <c r="F103" i="19"/>
  <c r="F91" i="19"/>
  <c r="F101" i="19"/>
  <c r="G583" i="19"/>
  <c r="H443" i="19"/>
  <c r="H647" i="19"/>
  <c r="H454" i="19"/>
  <c r="K26" i="27" s="1"/>
  <c r="P448" i="19"/>
  <c r="O11" i="27" s="1"/>
  <c r="H795" i="19"/>
  <c r="H806" i="19" s="1"/>
  <c r="K26" i="40"/>
  <c r="P584" i="19"/>
  <c r="O11" i="34" s="1"/>
  <c r="H579" i="19"/>
  <c r="H590" i="19" s="1"/>
  <c r="K26" i="34" s="1"/>
  <c r="K37" i="16"/>
  <c r="M35" i="38"/>
  <c r="M35" i="28"/>
  <c r="K35" i="34"/>
  <c r="M35" i="37"/>
  <c r="M35" i="27"/>
  <c r="K35" i="27"/>
  <c r="H604" i="19"/>
  <c r="G339" i="19"/>
  <c r="D43" i="33" s="1"/>
  <c r="M36" i="34"/>
  <c r="H672" i="19"/>
  <c r="H670" i="19"/>
  <c r="K35" i="38"/>
  <c r="K35" i="28"/>
  <c r="M35" i="34"/>
  <c r="K35" i="37"/>
  <c r="H534" i="19"/>
  <c r="M36" i="28"/>
  <c r="M36" i="37"/>
  <c r="M39" i="37" s="1"/>
  <c r="G862" i="19" s="1"/>
  <c r="H746" i="19"/>
  <c r="M38" i="38"/>
  <c r="B38" i="38" s="1"/>
  <c r="H326" i="19"/>
  <c r="J326" i="19" s="1"/>
  <c r="B37" i="27"/>
  <c r="B37" i="37"/>
  <c r="B37" i="28"/>
  <c r="B38" i="34"/>
  <c r="B38" i="28"/>
  <c r="B38" i="37"/>
  <c r="H466" i="19"/>
  <c r="H468" i="19"/>
  <c r="M38" i="27"/>
  <c r="M39" i="27" s="1"/>
  <c r="M44" i="27" s="1"/>
  <c r="I470" i="19"/>
  <c r="H303" i="19"/>
  <c r="F303" i="19" s="1"/>
  <c r="E303" i="19"/>
  <c r="J303" i="19" s="1"/>
  <c r="M36" i="27"/>
  <c r="A469" i="19"/>
  <c r="H294" i="19"/>
  <c r="F301" i="19" s="1"/>
  <c r="G294" i="19"/>
  <c r="F300" i="19" s="1"/>
  <c r="B38" i="27"/>
  <c r="E300" i="19"/>
  <c r="J300" i="19" s="1"/>
  <c r="E301" i="19"/>
  <c r="J301" i="19" s="1"/>
  <c r="B36" i="28"/>
  <c r="M39" i="28"/>
  <c r="B36" i="37"/>
  <c r="B36" i="38"/>
  <c r="M39" i="34"/>
  <c r="G857" i="19" s="1"/>
  <c r="B36" i="27"/>
  <c r="G852" i="19"/>
  <c r="G847" i="19"/>
  <c r="K25" i="27"/>
  <c r="C383" i="19"/>
  <c r="M37" i="16"/>
  <c r="B37" i="16"/>
  <c r="H536" i="19"/>
  <c r="H819" i="19"/>
  <c r="H745" i="19"/>
  <c r="I748" i="19" s="1"/>
  <c r="H324" i="19"/>
  <c r="J324" i="19"/>
  <c r="H325" i="19"/>
  <c r="J325" i="19" s="1"/>
  <c r="M38" i="16"/>
  <c r="B38" i="16" s="1"/>
  <c r="I538" i="19"/>
  <c r="A537" i="19"/>
  <c r="M37" i="38"/>
  <c r="M37" i="40"/>
  <c r="A821" i="19"/>
  <c r="E302" i="19"/>
  <c r="J302" i="19" s="1"/>
  <c r="B37" i="38"/>
  <c r="M39" i="38"/>
  <c r="I43" i="38" s="1"/>
  <c r="M43" i="38" s="1"/>
  <c r="I43" i="28"/>
  <c r="M43" i="28" s="1"/>
  <c r="M44" i="34"/>
  <c r="I43" i="27"/>
  <c r="M43" i="27" s="1"/>
  <c r="I43" i="37"/>
  <c r="M43" i="37" s="1"/>
  <c r="M44" i="28"/>
  <c r="G384" i="19"/>
  <c r="H384" i="19"/>
  <c r="V39" i="16" s="1"/>
  <c r="A389" i="19"/>
  <c r="B389" i="19"/>
  <c r="B390" i="19"/>
  <c r="C393" i="19"/>
  <c r="W45" i="16" s="1"/>
  <c r="D964" i="33"/>
  <c r="C392" i="19"/>
  <c r="G386" i="19"/>
  <c r="V45" i="16"/>
  <c r="H386" i="19"/>
  <c r="V44" i="16" s="1"/>
  <c r="E362" i="19"/>
  <c r="F362" i="19" s="1"/>
  <c r="A379" i="19"/>
  <c r="B379" i="19"/>
  <c r="C379" i="19"/>
  <c r="C389" i="19"/>
  <c r="X45" i="16"/>
  <c r="A980" i="33"/>
  <c r="A364" i="19"/>
  <c r="A363" i="19"/>
  <c r="G362" i="19"/>
  <c r="H387" i="19"/>
  <c r="B400" i="19"/>
  <c r="A348" i="19"/>
  <c r="E19" i="17"/>
  <c r="A12" i="17"/>
  <c r="B112" i="17"/>
  <c r="A884" i="19"/>
  <c r="C10" i="17"/>
  <c r="B19" i="17"/>
  <c r="C125" i="17"/>
  <c r="E22" i="17"/>
  <c r="E14" i="17"/>
  <c r="B80" i="17"/>
  <c r="C74" i="17"/>
  <c r="E880" i="19"/>
  <c r="C884" i="19"/>
  <c r="C127" i="17"/>
  <c r="A146" i="17"/>
  <c r="H880" i="19"/>
  <c r="C81" i="17"/>
  <c r="E879" i="19"/>
  <c r="B883" i="19"/>
  <c r="E11" i="17"/>
  <c r="A31" i="17"/>
  <c r="A104" i="17"/>
  <c r="B107" i="17"/>
  <c r="A50" i="17"/>
  <c r="A41" i="17"/>
  <c r="B44" i="17"/>
  <c r="E881" i="19"/>
  <c r="B43" i="17"/>
  <c r="E884" i="19"/>
  <c r="A882" i="19"/>
  <c r="C23" i="17"/>
  <c r="B17" i="17"/>
  <c r="B21" i="17"/>
  <c r="C78" i="17"/>
  <c r="C122" i="17"/>
  <c r="C157" i="17"/>
  <c r="A74" i="17"/>
  <c r="B148" i="17"/>
  <c r="A125" i="17"/>
  <c r="B89" i="17"/>
  <c r="H884" i="19"/>
  <c r="C82" i="17"/>
  <c r="A880" i="19"/>
  <c r="A95" i="17"/>
  <c r="C75" i="17"/>
  <c r="A145" i="17"/>
  <c r="C79" i="17"/>
  <c r="C28" i="17"/>
  <c r="B79" i="17"/>
  <c r="C83" i="17"/>
  <c r="E12" i="17"/>
  <c r="C27" i="17"/>
  <c r="A47" i="17"/>
  <c r="S82" i="19"/>
  <c r="B106" i="17"/>
  <c r="A54" i="17"/>
  <c r="B91" i="17"/>
  <c r="C102" i="17"/>
  <c r="E20" i="17"/>
  <c r="B10" i="17"/>
  <c r="A123" i="17"/>
  <c r="A16" i="17"/>
  <c r="C70" i="17"/>
  <c r="B7" i="17"/>
  <c r="B134" i="17"/>
  <c r="C123" i="17"/>
  <c r="B61" i="17"/>
  <c r="A91" i="17"/>
  <c r="D882" i="19"/>
  <c r="B16" i="17"/>
  <c r="A103" i="17"/>
  <c r="H883" i="19"/>
  <c r="A22" i="17"/>
  <c r="C72" i="17"/>
  <c r="B26" i="17"/>
  <c r="A23" i="17"/>
  <c r="E32" i="17"/>
  <c r="B24" i="17"/>
  <c r="C111" i="17"/>
  <c r="D883" i="19"/>
  <c r="A39" i="17"/>
  <c r="B108" i="17"/>
  <c r="A71" i="17"/>
  <c r="B82" i="17"/>
  <c r="C73" i="17"/>
  <c r="C11" i="17"/>
  <c r="B111" i="17"/>
  <c r="C52" i="17"/>
  <c r="B54" i="17"/>
  <c r="A142" i="17"/>
  <c r="C7" i="17"/>
  <c r="C84" i="17"/>
  <c r="B139" i="17"/>
  <c r="A18" i="17"/>
  <c r="B150" i="17"/>
  <c r="A87" i="17"/>
  <c r="S81" i="19"/>
  <c r="C80" i="17"/>
  <c r="B72" i="17"/>
  <c r="A46" i="17"/>
  <c r="A51" i="17"/>
  <c r="B127" i="17"/>
  <c r="B18" i="17"/>
  <c r="B84" i="17"/>
  <c r="C881" i="19"/>
  <c r="A9" i="17"/>
  <c r="B45" i="17"/>
  <c r="C50" i="17"/>
  <c r="A149" i="17"/>
  <c r="A112" i="17"/>
  <c r="B87" i="17"/>
  <c r="B126" i="17"/>
  <c r="H879" i="19"/>
  <c r="B93" i="17"/>
  <c r="A84" i="17"/>
  <c r="C16" i="17"/>
  <c r="C118" i="17"/>
  <c r="A141" i="17"/>
  <c r="A10" i="17"/>
  <c r="A44" i="17"/>
  <c r="B881" i="19"/>
  <c r="A28" i="17"/>
  <c r="B47" i="17"/>
  <c r="B146" i="17"/>
  <c r="C103" i="17"/>
  <c r="H881" i="19"/>
  <c r="A32" i="17"/>
  <c r="A29" i="17"/>
  <c r="C883" i="19"/>
  <c r="A144" i="17"/>
  <c r="B57" i="17"/>
  <c r="C92" i="17"/>
  <c r="C15" i="17"/>
  <c r="E29" i="17"/>
  <c r="C112" i="17"/>
  <c r="B40" i="17"/>
  <c r="C8" i="17"/>
  <c r="C24" i="17"/>
  <c r="B59" i="17"/>
  <c r="B141" i="17"/>
  <c r="A17" i="17"/>
  <c r="B53" i="17"/>
  <c r="A61" i="17"/>
  <c r="C94" i="17"/>
  <c r="C51" i="17"/>
  <c r="C882" i="19"/>
  <c r="E21" i="17"/>
  <c r="A117" i="17"/>
  <c r="B125" i="17"/>
  <c r="A53" i="17"/>
  <c r="C20" i="17"/>
  <c r="A24" i="17"/>
  <c r="B81" i="17"/>
  <c r="B51" i="17"/>
  <c r="A122" i="17"/>
  <c r="D881" i="19"/>
  <c r="C106" i="17"/>
  <c r="A40" i="17"/>
  <c r="A72" i="17"/>
  <c r="E26" i="17"/>
  <c r="B4" i="17"/>
  <c r="A79" i="17"/>
  <c r="B23" i="17"/>
  <c r="A15" i="17"/>
  <c r="A77" i="17"/>
  <c r="A106" i="17"/>
  <c r="B32" i="17"/>
  <c r="B52" i="17"/>
  <c r="D880" i="19"/>
  <c r="C18" i="17"/>
  <c r="C19" i="17"/>
  <c r="A147" i="17"/>
  <c r="C108" i="17"/>
  <c r="A126" i="17"/>
  <c r="B133" i="17"/>
  <c r="A110" i="17"/>
  <c r="A13" i="17"/>
  <c r="E15" i="17"/>
  <c r="S83" i="19"/>
  <c r="C29" i="17"/>
  <c r="A7" i="17"/>
  <c r="C85" i="17"/>
  <c r="C90" i="17"/>
  <c r="A148" i="17"/>
  <c r="A75" i="17"/>
  <c r="A30" i="17"/>
  <c r="B39" i="17"/>
  <c r="C110" i="17"/>
  <c r="C40" i="17"/>
  <c r="C91" i="17"/>
  <c r="C95" i="17"/>
  <c r="A881" i="19"/>
  <c r="B94" i="17"/>
  <c r="A73" i="17"/>
  <c r="E7" i="17"/>
  <c r="B77" i="17"/>
  <c r="C126" i="17"/>
  <c r="B90" i="17"/>
  <c r="B74" i="17"/>
  <c r="B140" i="17"/>
  <c r="A111" i="17"/>
  <c r="B149" i="17"/>
  <c r="D4" i="17"/>
  <c r="A8" i="17"/>
  <c r="C89" i="17"/>
  <c r="C879" i="19"/>
  <c r="B50" i="17"/>
  <c r="C156" i="17"/>
  <c r="C17" i="17"/>
  <c r="E13" i="17"/>
  <c r="C86" i="17"/>
  <c r="C116" i="17"/>
  <c r="C37" i="17"/>
  <c r="A90" i="17"/>
  <c r="B30" i="17"/>
  <c r="A85" i="17"/>
  <c r="C53" i="17"/>
  <c r="S80" i="19"/>
  <c r="C26" i="17"/>
  <c r="A26" i="17"/>
  <c r="A883" i="19"/>
  <c r="C41" i="17"/>
  <c r="B83" i="17"/>
  <c r="A52" i="17"/>
  <c r="B41" i="17"/>
  <c r="B882" i="19"/>
  <c r="B116" i="17"/>
  <c r="E28" i="17"/>
  <c r="E10" i="17"/>
  <c r="A81" i="17"/>
  <c r="B122" i="17"/>
  <c r="B76" i="17"/>
  <c r="D884" i="19"/>
  <c r="A108" i="17"/>
  <c r="C77" i="17"/>
  <c r="C88" i="17"/>
  <c r="B11" i="17"/>
  <c r="E24" i="17"/>
  <c r="S84" i="19"/>
  <c r="C9" i="17"/>
  <c r="E27" i="17"/>
  <c r="B143" i="17"/>
  <c r="B75" i="17"/>
  <c r="C109" i="17"/>
  <c r="C42" i="17"/>
  <c r="E16" i="17"/>
  <c r="B145" i="17"/>
  <c r="A82" i="17"/>
  <c r="E17" i="17"/>
  <c r="B13" i="17"/>
  <c r="B879" i="19"/>
  <c r="A83" i="17"/>
  <c r="A94" i="17"/>
  <c r="B103" i="17"/>
  <c r="A143" i="17"/>
  <c r="A42" i="17"/>
  <c r="C14" i="17"/>
  <c r="C54" i="17"/>
  <c r="B25" i="17"/>
  <c r="H882" i="19"/>
  <c r="C107" i="17"/>
  <c r="A109" i="17"/>
  <c r="B12" i="17"/>
  <c r="A93" i="17"/>
  <c r="A127" i="17"/>
  <c r="C87" i="17"/>
  <c r="B92" i="17"/>
  <c r="B8" i="17"/>
  <c r="C124" i="17"/>
  <c r="E31" i="17"/>
  <c r="C76" i="17"/>
  <c r="E9" i="17"/>
  <c r="C30" i="17"/>
  <c r="C13" i="17"/>
  <c r="C31" i="17"/>
  <c r="E883" i="19"/>
  <c r="C159" i="17"/>
  <c r="B22" i="17"/>
  <c r="A102" i="17"/>
  <c r="C21" i="17"/>
  <c r="E30" i="17"/>
  <c r="B42" i="17"/>
  <c r="A25" i="17"/>
  <c r="C43" i="17"/>
  <c r="C44" i="17"/>
  <c r="C32" i="17"/>
  <c r="A118" i="17"/>
  <c r="B110" i="17"/>
  <c r="B123" i="17"/>
  <c r="B884" i="19"/>
  <c r="A45" i="17"/>
  <c r="C158" i="17"/>
  <c r="C12" i="17"/>
  <c r="A59" i="17"/>
  <c r="B31" i="17"/>
  <c r="B78" i="17"/>
  <c r="C93" i="17"/>
  <c r="A76" i="17"/>
  <c r="A116" i="17"/>
  <c r="B28" i="17"/>
  <c r="B60" i="17"/>
  <c r="B20" i="17"/>
  <c r="B85" i="17"/>
  <c r="D879" i="19"/>
  <c r="A150" i="17"/>
  <c r="B70" i="17"/>
  <c r="B118" i="17"/>
  <c r="B109" i="17"/>
  <c r="C105" i="17"/>
  <c r="B15" i="17"/>
  <c r="E8" i="17"/>
  <c r="A92" i="17"/>
  <c r="B9" i="17"/>
  <c r="A105" i="17"/>
  <c r="A60" i="17"/>
  <c r="B142" i="17"/>
  <c r="C71" i="17"/>
  <c r="C45" i="17"/>
  <c r="E882" i="19"/>
  <c r="E25" i="17"/>
  <c r="B14" i="17"/>
  <c r="A139" i="17"/>
  <c r="C39" i="17"/>
  <c r="A70" i="17"/>
  <c r="A86" i="17"/>
  <c r="B880" i="19"/>
  <c r="A11" i="17"/>
  <c r="C47" i="17"/>
  <c r="B88" i="17"/>
  <c r="B29" i="17"/>
  <c r="C22" i="17"/>
  <c r="C117" i="17"/>
  <c r="A140" i="17"/>
  <c r="C46" i="17"/>
  <c r="E23" i="17"/>
  <c r="B102" i="17"/>
  <c r="B147" i="17"/>
  <c r="A879" i="19"/>
  <c r="A27" i="17"/>
  <c r="B124" i="17"/>
  <c r="B27" i="17"/>
  <c r="B138" i="17"/>
  <c r="A19" i="17"/>
  <c r="A80" i="17"/>
  <c r="A78" i="17"/>
  <c r="A43" i="17"/>
  <c r="A58" i="17"/>
  <c r="K2" i="17"/>
  <c r="E18" i="17"/>
  <c r="A14" i="17"/>
  <c r="A124" i="17"/>
  <c r="A107" i="17"/>
  <c r="B86" i="17"/>
  <c r="B73" i="17"/>
  <c r="B117" i="17"/>
  <c r="A89" i="17"/>
  <c r="C25" i="17"/>
  <c r="B104" i="17"/>
  <c r="B46" i="17"/>
  <c r="A20" i="17"/>
  <c r="B95" i="17"/>
  <c r="A21" i="17"/>
  <c r="C880" i="19"/>
  <c r="A57" i="17"/>
  <c r="A138" i="17"/>
  <c r="B58" i="17"/>
  <c r="A88" i="17"/>
  <c r="B71" i="17"/>
  <c r="B105" i="17"/>
  <c r="T73" i="19" l="1"/>
  <c r="T75" i="19" s="1"/>
  <c r="G101" i="19"/>
  <c r="E596" i="33"/>
  <c r="A597" i="33" s="1"/>
  <c r="A33" i="20"/>
  <c r="B7" i="31"/>
  <c r="C7" i="31" s="1"/>
  <c r="D7" i="31" s="1"/>
  <c r="N614" i="19"/>
  <c r="O749" i="19"/>
  <c r="J774" i="19"/>
  <c r="O823" i="19"/>
  <c r="N833" i="19" s="1"/>
  <c r="J562" i="19"/>
  <c r="G563" i="19"/>
  <c r="F594" i="19" s="1"/>
  <c r="N606" i="19"/>
  <c r="N613" i="19" s="1"/>
  <c r="F339" i="19"/>
  <c r="A932" i="33" s="1"/>
  <c r="S73" i="19"/>
  <c r="S75" i="19" s="1"/>
  <c r="S58" i="19"/>
  <c r="A58" i="19" s="1"/>
  <c r="D409" i="33"/>
  <c r="C410" i="33" s="1"/>
  <c r="A411" i="33" s="1"/>
  <c r="G4" i="34"/>
  <c r="G4" i="40"/>
  <c r="G4" i="28"/>
  <c r="H5" i="20"/>
  <c r="G3" i="32" s="1"/>
  <c r="G1" i="34"/>
  <c r="G1" i="37"/>
  <c r="G1" i="38"/>
  <c r="G1" i="27"/>
  <c r="G3" i="20"/>
  <c r="F1" i="32" s="1"/>
  <c r="B18" i="31"/>
  <c r="B23" i="31"/>
  <c r="B14" i="31"/>
  <c r="C14" i="31" s="1"/>
  <c r="D14" i="31" s="1"/>
  <c r="B8" i="31"/>
  <c r="C8" i="31" s="1"/>
  <c r="B9" i="31"/>
  <c r="C9" i="31" s="1"/>
  <c r="B13" i="31"/>
  <c r="B11" i="31"/>
  <c r="C11" i="31" s="1"/>
  <c r="D379" i="19"/>
  <c r="B372" i="19" s="1"/>
  <c r="B373" i="19" s="1"/>
  <c r="B374" i="19" s="1"/>
  <c r="C31" i="32"/>
  <c r="B36" i="40"/>
  <c r="D8" i="31"/>
  <c r="E8" i="31" s="1"/>
  <c r="C22" i="31"/>
  <c r="K11" i="38"/>
  <c r="A869" i="19" s="1"/>
  <c r="E304" i="19"/>
  <c r="E306" i="19" s="1"/>
  <c r="AB68" i="19"/>
  <c r="B329" i="19"/>
  <c r="D329" i="19" s="1"/>
  <c r="E329" i="19" s="1"/>
  <c r="J315" i="19"/>
  <c r="L15" i="32"/>
  <c r="B29" i="32" s="1"/>
  <c r="N544" i="19"/>
  <c r="J641" i="19"/>
  <c r="M6" i="34"/>
  <c r="M6" i="28"/>
  <c r="M6" i="37"/>
  <c r="M6" i="38"/>
  <c r="M6" i="40"/>
  <c r="C13" i="31"/>
  <c r="C25" i="32"/>
  <c r="N538" i="19"/>
  <c r="N545" i="19" s="1"/>
  <c r="P538" i="19"/>
  <c r="N546" i="19" s="1"/>
  <c r="I721" i="19"/>
  <c r="J715" i="19" s="1"/>
  <c r="J718" i="19"/>
  <c r="H721" i="19"/>
  <c r="H732" i="19" s="1"/>
  <c r="K26" i="38" s="1"/>
  <c r="N800" i="19"/>
  <c r="I804" i="19"/>
  <c r="I800" i="19"/>
  <c r="I796" i="19"/>
  <c r="K12" i="27"/>
  <c r="O12" i="27" s="1"/>
  <c r="N472" i="19"/>
  <c r="A915" i="33"/>
  <c r="I43" i="34"/>
  <c r="M43" i="34" s="1"/>
  <c r="A673" i="19"/>
  <c r="E6" i="31"/>
  <c r="C20" i="31"/>
  <c r="D20" i="31" s="1"/>
  <c r="F698" i="19"/>
  <c r="E363" i="19"/>
  <c r="A365" i="19"/>
  <c r="G365" i="19" s="1"/>
  <c r="M44" i="40"/>
  <c r="C24" i="31"/>
  <c r="A52" i="31"/>
  <c r="B5" i="31"/>
  <c r="F4" i="31"/>
  <c r="B12" i="31"/>
  <c r="B26" i="32"/>
  <c r="K36" i="16"/>
  <c r="C920" i="33"/>
  <c r="D920" i="33" s="1"/>
  <c r="A926" i="33" s="1"/>
  <c r="A929" i="33" s="1"/>
  <c r="A930" i="33" s="1"/>
  <c r="A931" i="33" s="1"/>
  <c r="L14" i="32"/>
  <c r="B28" i="32" s="1"/>
  <c r="N351" i="19"/>
  <c r="N352" i="19"/>
  <c r="M765" i="19"/>
  <c r="N832" i="19"/>
  <c r="N830" i="19"/>
  <c r="G872" i="19"/>
  <c r="D714" i="19"/>
  <c r="D752" i="19" s="1"/>
  <c r="H19" i="38"/>
  <c r="F699" i="19"/>
  <c r="F697" i="19"/>
  <c r="J700" i="19"/>
  <c r="F696" i="19"/>
  <c r="G705" i="19"/>
  <c r="F695" i="19"/>
  <c r="E570" i="33"/>
  <c r="D570" i="33"/>
  <c r="B38" i="40"/>
  <c r="B37" i="40"/>
  <c r="M35" i="40"/>
  <c r="A747" i="19"/>
  <c r="M44" i="38"/>
  <c r="G867" i="19"/>
  <c r="M44" i="37"/>
  <c r="D425" i="33"/>
  <c r="D817" i="33" s="1"/>
  <c r="D22" i="31"/>
  <c r="L10" i="32"/>
  <c r="B24" i="32" s="1"/>
  <c r="L16" i="32"/>
  <c r="B30" i="32" s="1"/>
  <c r="A581" i="33"/>
  <c r="A582" i="33" s="1"/>
  <c r="A583" i="33" s="1"/>
  <c r="I822" i="19"/>
  <c r="A605" i="19"/>
  <c r="H602" i="19"/>
  <c r="I606" i="19" s="1"/>
  <c r="H427" i="19"/>
  <c r="F595" i="19"/>
  <c r="J632" i="19"/>
  <c r="F663" i="19"/>
  <c r="A631" i="33"/>
  <c r="A632" i="33" s="1"/>
  <c r="A633" i="33" s="1"/>
  <c r="D331" i="19"/>
  <c r="E331" i="19" s="1"/>
  <c r="B331" i="19"/>
  <c r="J505" i="19"/>
  <c r="J437" i="19"/>
  <c r="B25" i="31"/>
  <c r="B19" i="31"/>
  <c r="B15" i="31"/>
  <c r="B17" i="31"/>
  <c r="B16" i="31"/>
  <c r="A563" i="19"/>
  <c r="A409" i="19"/>
  <c r="K1000" i="33"/>
  <c r="K12" i="28"/>
  <c r="N540" i="19"/>
  <c r="D21" i="31"/>
  <c r="E21" i="31" s="1"/>
  <c r="H705" i="19"/>
  <c r="J705" i="19"/>
  <c r="L13" i="32"/>
  <c r="B27" i="32" s="1"/>
  <c r="A738" i="33"/>
  <c r="A739" i="33" s="1"/>
  <c r="A740" i="33" s="1"/>
  <c r="J779" i="19"/>
  <c r="H779" i="19"/>
  <c r="N751" i="19"/>
  <c r="K12" i="38"/>
  <c r="F527" i="19"/>
  <c r="A495" i="19"/>
  <c r="C4" i="38"/>
  <c r="C4" i="28"/>
  <c r="C4" i="37"/>
  <c r="C4" i="27"/>
  <c r="K12" i="40"/>
  <c r="N825" i="19"/>
  <c r="J508" i="19"/>
  <c r="F923" i="33"/>
  <c r="G923" i="33" s="1"/>
  <c r="Q14" i="29"/>
  <c r="B14" i="29" s="1"/>
  <c r="A30" i="19"/>
  <c r="A410" i="19"/>
  <c r="N671" i="19"/>
  <c r="C413" i="19"/>
  <c r="G4" i="37"/>
  <c r="A403" i="33"/>
  <c r="N612" i="19"/>
  <c r="N467" i="19"/>
  <c r="F770" i="19"/>
  <c r="F769" i="19"/>
  <c r="N654" i="19"/>
  <c r="P654" i="19" s="1"/>
  <c r="G4" i="38"/>
  <c r="O746" i="19"/>
  <c r="J295" i="19"/>
  <c r="F771" i="19"/>
  <c r="B10" i="31"/>
  <c r="G4" i="27"/>
  <c r="F772" i="19"/>
  <c r="I656" i="19"/>
  <c r="G1" i="28"/>
  <c r="G779" i="19"/>
  <c r="I652" i="19"/>
  <c r="D7" i="17"/>
  <c r="F7" i="17" s="1"/>
  <c r="I9" i="17"/>
  <c r="I10" i="17"/>
  <c r="A136" i="17"/>
  <c r="C817" i="33"/>
  <c r="C134" i="17"/>
  <c r="E158" i="17"/>
  <c r="F256" i="19" s="1"/>
  <c r="E157" i="17"/>
  <c r="E256" i="19" s="1"/>
  <c r="G175" i="19"/>
  <c r="G176" i="19"/>
  <c r="M171" i="19"/>
  <c r="N171" i="19" s="1"/>
  <c r="H175" i="19"/>
  <c r="H176" i="19"/>
  <c r="M104" i="19"/>
  <c r="N104" i="19" s="1"/>
  <c r="F15" i="40"/>
  <c r="F14" i="38"/>
  <c r="F13" i="38"/>
  <c r="F15" i="16"/>
  <c r="F16" i="16"/>
  <c r="F17" i="16"/>
  <c r="F15" i="38"/>
  <c r="O36" i="19"/>
  <c r="P36" i="19" s="1"/>
  <c r="F18" i="16"/>
  <c r="F14" i="16"/>
  <c r="E728" i="19"/>
  <c r="H729" i="19" s="1"/>
  <c r="G732" i="19" s="1"/>
  <c r="T102" i="19"/>
  <c r="U102" i="19" s="1"/>
  <c r="E654" i="19"/>
  <c r="E586" i="19"/>
  <c r="H587" i="19" s="1"/>
  <c r="G590" i="19" s="1"/>
  <c r="T101" i="19"/>
  <c r="U101" i="19" s="1"/>
  <c r="M93" i="19"/>
  <c r="N93" i="19" s="1"/>
  <c r="E802" i="19"/>
  <c r="H803" i="19" s="1"/>
  <c r="G806" i="19" s="1"/>
  <c r="E518" i="19"/>
  <c r="T103" i="19"/>
  <c r="U103" i="19" s="1"/>
  <c r="E450" i="19"/>
  <c r="H451" i="19" s="1"/>
  <c r="G454" i="19" s="1"/>
  <c r="C87" i="19"/>
  <c r="E159" i="17"/>
  <c r="G256" i="19" s="1"/>
  <c r="G128" i="19"/>
  <c r="H128" i="19" s="1"/>
  <c r="G124" i="19"/>
  <c r="H124" i="19" s="1"/>
  <c r="G127" i="19"/>
  <c r="H127" i="19" s="1"/>
  <c r="G123" i="19"/>
  <c r="H123" i="19" s="1"/>
  <c r="F137" i="19"/>
  <c r="G792" i="19"/>
  <c r="G440" i="19"/>
  <c r="G148" i="19"/>
  <c r="H148" i="19" s="1"/>
  <c r="G718" i="19"/>
  <c r="G129" i="19"/>
  <c r="H129" i="19" s="1"/>
  <c r="G125" i="19"/>
  <c r="H125" i="19" s="1"/>
  <c r="G147" i="19"/>
  <c r="H147" i="19" s="1"/>
  <c r="G508" i="19"/>
  <c r="G644" i="19"/>
  <c r="G126" i="19"/>
  <c r="H126" i="19" s="1"/>
  <c r="G576" i="19"/>
  <c r="G149" i="19"/>
  <c r="H149" i="19" s="1"/>
  <c r="O119" i="19"/>
  <c r="P119" i="19" s="1"/>
  <c r="C160" i="17"/>
  <c r="E156" i="17"/>
  <c r="D26" i="17"/>
  <c r="F26" i="17" s="1"/>
  <c r="D106" i="17"/>
  <c r="D109" i="17"/>
  <c r="O122" i="19"/>
  <c r="P122" i="19" s="1"/>
  <c r="O54" i="19"/>
  <c r="P54" i="19" s="1"/>
  <c r="O37" i="19"/>
  <c r="P37" i="19" s="1"/>
  <c r="O183" i="19"/>
  <c r="P183" i="19" s="1"/>
  <c r="O185" i="19"/>
  <c r="P185" i="19" s="1"/>
  <c r="O129" i="19"/>
  <c r="P129" i="19" s="1"/>
  <c r="O126" i="19"/>
  <c r="P126" i="19" s="1"/>
  <c r="M201" i="19"/>
  <c r="N201" i="19" s="1"/>
  <c r="M107" i="19"/>
  <c r="N107" i="19" s="1"/>
  <c r="O121" i="19"/>
  <c r="P121" i="19" s="1"/>
  <c r="M172" i="19"/>
  <c r="N172" i="19" s="1"/>
  <c r="O42" i="19"/>
  <c r="P42" i="19" s="1"/>
  <c r="H196" i="19"/>
  <c r="H198" i="19"/>
  <c r="G197" i="19"/>
  <c r="G196" i="19"/>
  <c r="H195" i="19"/>
  <c r="G195" i="19"/>
  <c r="M197" i="19"/>
  <c r="N197" i="19" s="1"/>
  <c r="H197" i="19"/>
  <c r="H199" i="19"/>
  <c r="G199" i="19"/>
  <c r="G198" i="19"/>
  <c r="D127" i="17"/>
  <c r="D111" i="17"/>
  <c r="D20" i="17"/>
  <c r="F20" i="17" s="1"/>
  <c r="D126" i="17"/>
  <c r="O50" i="19"/>
  <c r="P50" i="19" s="1"/>
  <c r="D27" i="17"/>
  <c r="F27" i="17" s="1"/>
  <c r="O85" i="19"/>
  <c r="P85" i="19" s="1"/>
  <c r="O138" i="19"/>
  <c r="P138" i="19" s="1"/>
  <c r="O81" i="19"/>
  <c r="P81" i="19" s="1"/>
  <c r="M200" i="19"/>
  <c r="N200" i="19" s="1"/>
  <c r="O142" i="19"/>
  <c r="P142" i="19" s="1"/>
  <c r="O61" i="19"/>
  <c r="P61" i="19" s="1"/>
  <c r="M108" i="19"/>
  <c r="N108" i="19" s="1"/>
  <c r="T84" i="19"/>
  <c r="U84" i="19"/>
  <c r="K15" i="16"/>
  <c r="D107" i="17"/>
  <c r="D16" i="17"/>
  <c r="F16" i="17" s="1"/>
  <c r="D9" i="17"/>
  <c r="F9" i="17" s="1"/>
  <c r="D116" i="17"/>
  <c r="O40" i="19"/>
  <c r="P40" i="19" s="1"/>
  <c r="O140" i="19"/>
  <c r="P140" i="19" s="1"/>
  <c r="M105" i="19"/>
  <c r="N105" i="19" s="1"/>
  <c r="M94" i="19"/>
  <c r="N94" i="19" s="1"/>
  <c r="O182" i="19"/>
  <c r="P182" i="19" s="1"/>
  <c r="O184" i="19"/>
  <c r="P184" i="19" s="1"/>
  <c r="O47" i="19"/>
  <c r="P47" i="19" s="1"/>
  <c r="D11" i="17"/>
  <c r="F11" i="17" s="1"/>
  <c r="D24" i="17"/>
  <c r="F24" i="17" s="1"/>
  <c r="D18" i="17"/>
  <c r="F18" i="17" s="1"/>
  <c r="T81" i="19"/>
  <c r="K12" i="16"/>
  <c r="U81" i="19"/>
  <c r="D19" i="17"/>
  <c r="F19" i="17" s="1"/>
  <c r="D118" i="17"/>
  <c r="D8" i="17"/>
  <c r="F8" i="17" s="1"/>
  <c r="D29" i="17"/>
  <c r="F29" i="17" s="1"/>
  <c r="O136" i="19"/>
  <c r="P136" i="19" s="1"/>
  <c r="O130" i="19"/>
  <c r="P130" i="19" s="1"/>
  <c r="D110" i="17"/>
  <c r="D15" i="17"/>
  <c r="F15" i="17" s="1"/>
  <c r="H772" i="19" s="1"/>
  <c r="O57" i="19"/>
  <c r="P57" i="19" s="1"/>
  <c r="O132" i="19"/>
  <c r="P132" i="19" s="1"/>
  <c r="O133" i="19"/>
  <c r="P133" i="19" s="1"/>
  <c r="M202" i="19"/>
  <c r="N202" i="19" s="1"/>
  <c r="O38" i="19"/>
  <c r="P38" i="19" s="1"/>
  <c r="O84" i="19"/>
  <c r="P84" i="19" s="1"/>
  <c r="O120" i="19"/>
  <c r="P120" i="19" s="1"/>
  <c r="T83" i="19"/>
  <c r="U83" i="19"/>
  <c r="O14" i="16" s="1"/>
  <c r="D22" i="17"/>
  <c r="F22" i="17" s="1"/>
  <c r="D123" i="17"/>
  <c r="D105" i="17"/>
  <c r="D102" i="17"/>
  <c r="D25" i="17"/>
  <c r="F25" i="17" s="1"/>
  <c r="O48" i="19"/>
  <c r="P48" i="19" s="1"/>
  <c r="O53" i="19"/>
  <c r="P53" i="19" s="1"/>
  <c r="M106" i="19"/>
  <c r="N106" i="19" s="1"/>
  <c r="O186" i="19"/>
  <c r="P186" i="19" s="1"/>
  <c r="M97" i="19"/>
  <c r="N97" i="19" s="1"/>
  <c r="O80" i="19"/>
  <c r="P80" i="19" s="1"/>
  <c r="O144" i="19"/>
  <c r="P144" i="19" s="1"/>
  <c r="O45" i="19"/>
  <c r="P45" i="19" s="1"/>
  <c r="O58" i="19"/>
  <c r="P58" i="19" s="1"/>
  <c r="O125" i="19"/>
  <c r="P125" i="19" s="1"/>
  <c r="D32" i="17"/>
  <c r="F32" i="17" s="1"/>
  <c r="O143" i="19"/>
  <c r="P143" i="19" s="1"/>
  <c r="O180" i="19"/>
  <c r="P180" i="19" s="1"/>
  <c r="D28" i="17"/>
  <c r="F28" i="17" s="1"/>
  <c r="D33" i="17"/>
  <c r="T82" i="19"/>
  <c r="K13" i="16"/>
  <c r="U82" i="19"/>
  <c r="D30" i="17"/>
  <c r="F30" i="17" s="1"/>
  <c r="D31" i="17"/>
  <c r="F31" i="17" s="1"/>
  <c r="D10" i="17"/>
  <c r="F10" i="17" s="1"/>
  <c r="D14" i="17"/>
  <c r="F14" i="17" s="1"/>
  <c r="D108" i="17"/>
  <c r="O51" i="19"/>
  <c r="P51" i="19" s="1"/>
  <c r="O59" i="19"/>
  <c r="P59" i="19" s="1"/>
  <c r="O82" i="19"/>
  <c r="P82" i="19" s="1"/>
  <c r="O41" i="19"/>
  <c r="P41" i="19" s="1"/>
  <c r="O127" i="19"/>
  <c r="P127" i="19" s="1"/>
  <c r="O139" i="19"/>
  <c r="P139" i="19" s="1"/>
  <c r="D125" i="17"/>
  <c r="O83" i="19"/>
  <c r="P83" i="19" s="1"/>
  <c r="O49" i="19"/>
  <c r="P49" i="19" s="1"/>
  <c r="M198" i="19"/>
  <c r="N198" i="19" s="1"/>
  <c r="O141" i="19"/>
  <c r="P141" i="19" s="1"/>
  <c r="D23" i="17"/>
  <c r="F23" i="17" s="1"/>
  <c r="O134" i="19"/>
  <c r="P134" i="19" s="1"/>
  <c r="O44" i="19"/>
  <c r="P44" i="19" s="1"/>
  <c r="D117" i="17"/>
  <c r="D13" i="17"/>
  <c r="F13" i="17" s="1"/>
  <c r="D103" i="17"/>
  <c r="O137" i="19"/>
  <c r="P137" i="19" s="1"/>
  <c r="O135" i="19"/>
  <c r="P135" i="19" s="1"/>
  <c r="M173" i="19"/>
  <c r="N173" i="19" s="1"/>
  <c r="D12" i="17"/>
  <c r="F12" i="17" s="1"/>
  <c r="D21" i="17"/>
  <c r="F21" i="17" s="1"/>
  <c r="O79" i="19"/>
  <c r="P79" i="19" s="1"/>
  <c r="O124" i="19"/>
  <c r="P124" i="19" s="1"/>
  <c r="M96" i="19"/>
  <c r="N96" i="19" s="1"/>
  <c r="O131" i="19"/>
  <c r="P131" i="19" s="1"/>
  <c r="O86" i="19"/>
  <c r="P86" i="19" s="1"/>
  <c r="O187" i="19"/>
  <c r="P187" i="19" s="1"/>
  <c r="O60" i="19"/>
  <c r="P60" i="19" s="1"/>
  <c r="O179" i="19"/>
  <c r="P179" i="19" s="1"/>
  <c r="O56" i="19"/>
  <c r="P56" i="19" s="1"/>
  <c r="H34" i="19"/>
  <c r="O8" i="28"/>
  <c r="O8" i="40"/>
  <c r="O8" i="16"/>
  <c r="C425" i="33" s="1"/>
  <c r="I6" i="17"/>
  <c r="O8" i="37"/>
  <c r="O8" i="34"/>
  <c r="H11" i="17"/>
  <c r="I5" i="17"/>
  <c r="O8" i="38"/>
  <c r="O8" i="27"/>
  <c r="K11" i="16"/>
  <c r="T80" i="19"/>
  <c r="H184" i="19"/>
  <c r="H187" i="19"/>
  <c r="H186" i="19"/>
  <c r="G185" i="19"/>
  <c r="H188" i="19"/>
  <c r="G184" i="19"/>
  <c r="G188" i="19"/>
  <c r="G186" i="19"/>
  <c r="O178" i="19"/>
  <c r="P178" i="19" s="1"/>
  <c r="H185" i="19"/>
  <c r="G187" i="19"/>
  <c r="D122" i="17"/>
  <c r="D124" i="17"/>
  <c r="T93" i="19"/>
  <c r="U93" i="19" s="1"/>
  <c r="E649" i="19"/>
  <c r="E724" i="19"/>
  <c r="H725" i="19" s="1"/>
  <c r="N750" i="19" s="1"/>
  <c r="N754" i="19" s="1"/>
  <c r="T91" i="19"/>
  <c r="U91" i="19" s="1"/>
  <c r="E513" i="19"/>
  <c r="E650" i="19"/>
  <c r="E582" i="19"/>
  <c r="H583" i="19" s="1"/>
  <c r="N607" i="19" s="1"/>
  <c r="T92" i="19"/>
  <c r="U92" i="19" s="1"/>
  <c r="E798" i="19"/>
  <c r="H799" i="19" s="1"/>
  <c r="N824" i="19" s="1"/>
  <c r="N828" i="19" s="1"/>
  <c r="E514" i="19"/>
  <c r="O78" i="19"/>
  <c r="P78" i="19" s="1"/>
  <c r="G90" i="19"/>
  <c r="E446" i="19"/>
  <c r="H447" i="19" s="1"/>
  <c r="N471" i="19" s="1"/>
  <c r="T94" i="19"/>
  <c r="U94" i="19" s="1"/>
  <c r="T90" i="19"/>
  <c r="U90" i="19" s="1"/>
  <c r="D112" i="17"/>
  <c r="O123" i="19"/>
  <c r="P123" i="19" s="1"/>
  <c r="O55" i="19"/>
  <c r="P55" i="19" s="1"/>
  <c r="O181" i="19"/>
  <c r="P181" i="19" s="1"/>
  <c r="M199" i="19"/>
  <c r="N199" i="19" s="1"/>
  <c r="O39" i="19"/>
  <c r="P39" i="19" s="1"/>
  <c r="O52" i="19"/>
  <c r="P52" i="19" s="1"/>
  <c r="O46" i="19"/>
  <c r="P46" i="19" s="1"/>
  <c r="O43" i="19"/>
  <c r="P43" i="19" s="1"/>
  <c r="O128" i="19"/>
  <c r="P128" i="19" s="1"/>
  <c r="M95" i="19"/>
  <c r="N95" i="19" s="1"/>
  <c r="D17" i="17"/>
  <c r="F17" i="17" s="1"/>
  <c r="O188" i="19"/>
  <c r="P188" i="19" s="1"/>
  <c r="B3" i="17"/>
  <c r="C18" i="31" l="1"/>
  <c r="D18" i="31" s="1"/>
  <c r="E18" i="31" s="1"/>
  <c r="E14" i="31"/>
  <c r="D13" i="31"/>
  <c r="D11" i="31"/>
  <c r="E11" i="31" s="1"/>
  <c r="H771" i="19"/>
  <c r="N831" i="19"/>
  <c r="C827" i="19" s="1"/>
  <c r="B45" i="40" s="1"/>
  <c r="H769" i="19"/>
  <c r="H625" i="19"/>
  <c r="H626" i="19" s="1"/>
  <c r="E634" i="19" s="1"/>
  <c r="J563" i="19"/>
  <c r="A152" i="33"/>
  <c r="C23" i="31"/>
  <c r="E22" i="31"/>
  <c r="D24" i="31"/>
  <c r="E24" i="31" s="1"/>
  <c r="E13" i="31"/>
  <c r="H698" i="19"/>
  <c r="U104" i="19"/>
  <c r="J98" i="19" s="1"/>
  <c r="B8" i="38"/>
  <c r="B8" i="37"/>
  <c r="B8" i="40"/>
  <c r="B8" i="34"/>
  <c r="B8" i="28"/>
  <c r="B8" i="16"/>
  <c r="B34" i="19"/>
  <c r="N21" i="29" s="1"/>
  <c r="N22" i="29" s="1"/>
  <c r="B8" i="27"/>
  <c r="C28" i="32"/>
  <c r="C30" i="32"/>
  <c r="C29" i="32"/>
  <c r="C24" i="32"/>
  <c r="C27" i="32"/>
  <c r="C782" i="19"/>
  <c r="A779" i="19"/>
  <c r="N759" i="19"/>
  <c r="N757" i="19"/>
  <c r="C753" i="19" s="1"/>
  <c r="B45" i="38" s="1"/>
  <c r="M691" i="19"/>
  <c r="N758" i="19"/>
  <c r="N756" i="19"/>
  <c r="C25" i="31"/>
  <c r="D25" i="31" s="1"/>
  <c r="E25" i="31" s="1"/>
  <c r="C26" i="32"/>
  <c r="E7" i="31"/>
  <c r="K11" i="40"/>
  <c r="A874" i="19" s="1"/>
  <c r="P800" i="19"/>
  <c r="O11" i="40" s="1"/>
  <c r="A571" i="33"/>
  <c r="C12" i="31"/>
  <c r="E20" i="31"/>
  <c r="N680" i="19"/>
  <c r="N681" i="19"/>
  <c r="N682" i="19"/>
  <c r="C19" i="31"/>
  <c r="F774" i="19"/>
  <c r="H19" i="40" s="1"/>
  <c r="F459" i="19"/>
  <c r="F458" i="19"/>
  <c r="J427" i="19"/>
  <c r="C5" i="31"/>
  <c r="D5" i="31" s="1"/>
  <c r="E31" i="32"/>
  <c r="G31" i="32" s="1"/>
  <c r="J706" i="19"/>
  <c r="F736" i="19"/>
  <c r="F737" i="19"/>
  <c r="C709" i="19"/>
  <c r="C16" i="31"/>
  <c r="D16" i="31" s="1"/>
  <c r="F700" i="19"/>
  <c r="D9" i="31"/>
  <c r="E9" i="31" s="1"/>
  <c r="A427" i="19"/>
  <c r="M35" i="16"/>
  <c r="K35" i="16"/>
  <c r="C10" i="31"/>
  <c r="N476" i="19"/>
  <c r="N478" i="19"/>
  <c r="N481" i="19" s="1"/>
  <c r="N477" i="19"/>
  <c r="C475" i="19" s="1"/>
  <c r="B45" i="27" s="1"/>
  <c r="B15" i="29"/>
  <c r="B4" i="31"/>
  <c r="N655" i="19"/>
  <c r="N656" i="19" s="1"/>
  <c r="C17" i="31"/>
  <c r="D17" i="31" s="1"/>
  <c r="C708" i="19"/>
  <c r="A705" i="19"/>
  <c r="E25" i="32"/>
  <c r="C531" i="19"/>
  <c r="G531" i="19" s="1"/>
  <c r="K34" i="28" s="1"/>
  <c r="C667" i="19"/>
  <c r="G667" i="19" s="1"/>
  <c r="K34" i="37" s="1"/>
  <c r="C741" i="19"/>
  <c r="G741" i="19" s="1"/>
  <c r="K34" i="38" s="1"/>
  <c r="C463" i="19"/>
  <c r="G463" i="19" s="1"/>
  <c r="K34" i="27" s="1"/>
  <c r="C815" i="19"/>
  <c r="G815" i="19" s="1"/>
  <c r="K34" i="40" s="1"/>
  <c r="C599" i="19"/>
  <c r="G599" i="19" s="1"/>
  <c r="K34" i="34" s="1"/>
  <c r="K34" i="16"/>
  <c r="D40" i="33"/>
  <c r="C783" i="19"/>
  <c r="F810" i="19"/>
  <c r="F811" i="19"/>
  <c r="J780" i="19"/>
  <c r="C15" i="31"/>
  <c r="H702" i="19"/>
  <c r="H703" i="19" s="1"/>
  <c r="E709" i="19" s="1"/>
  <c r="H776" i="19"/>
  <c r="H777" i="19" s="1"/>
  <c r="E783" i="19" s="1"/>
  <c r="G698" i="19"/>
  <c r="U95" i="19"/>
  <c r="J84" i="19" s="1"/>
  <c r="H696" i="19"/>
  <c r="G697" i="19"/>
  <c r="H773" i="19"/>
  <c r="H150" i="19"/>
  <c r="H130" i="19"/>
  <c r="D424" i="19"/>
  <c r="J424" i="19" s="1"/>
  <c r="H695" i="19"/>
  <c r="G489" i="19"/>
  <c r="D560" i="19"/>
  <c r="J560" i="19" s="1"/>
  <c r="D697" i="19"/>
  <c r="J697" i="19" s="1"/>
  <c r="H699" i="19"/>
  <c r="H560" i="19"/>
  <c r="H561" i="19" s="1"/>
  <c r="E567" i="19" s="1"/>
  <c r="H628" i="19"/>
  <c r="H629" i="19" s="1"/>
  <c r="E635" i="19" s="1"/>
  <c r="G557" i="19"/>
  <c r="D771" i="19"/>
  <c r="J771" i="19" s="1"/>
  <c r="F11" i="40"/>
  <c r="H11" i="40" s="1"/>
  <c r="I11" i="40" s="1"/>
  <c r="D557" i="19"/>
  <c r="A553" i="19" s="1"/>
  <c r="G773" i="19"/>
  <c r="D699" i="19"/>
  <c r="J699" i="19" s="1"/>
  <c r="H770" i="19"/>
  <c r="F12" i="40"/>
  <c r="H12" i="40" s="1"/>
  <c r="I12" i="40" s="1"/>
  <c r="G625" i="19"/>
  <c r="F10" i="28"/>
  <c r="I10" i="28" s="1"/>
  <c r="F14" i="40"/>
  <c r="H14" i="40" s="1"/>
  <c r="I14" i="40" s="1"/>
  <c r="G772" i="19"/>
  <c r="H421" i="19"/>
  <c r="H422" i="19" s="1"/>
  <c r="E430" i="19" s="1"/>
  <c r="H489" i="19"/>
  <c r="H490" i="19" s="1"/>
  <c r="E498" i="19" s="1"/>
  <c r="D489" i="19"/>
  <c r="J489" i="19" s="1"/>
  <c r="G492" i="19"/>
  <c r="G493" i="19" s="1"/>
  <c r="D499" i="19" s="1"/>
  <c r="G499" i="19" s="1"/>
  <c r="F12" i="16"/>
  <c r="D625" i="19"/>
  <c r="A621" i="19" s="1"/>
  <c r="G424" i="19"/>
  <c r="G425" i="19" s="1"/>
  <c r="D431" i="19" s="1"/>
  <c r="G431" i="19" s="1"/>
  <c r="G696" i="19"/>
  <c r="F13" i="40"/>
  <c r="H13" i="40" s="1"/>
  <c r="I13" i="40" s="1"/>
  <c r="G776" i="19"/>
  <c r="G777" i="19" s="1"/>
  <c r="D783" i="19" s="1"/>
  <c r="G783" i="19" s="1"/>
  <c r="D772" i="19"/>
  <c r="J772" i="19" s="1"/>
  <c r="F13" i="16"/>
  <c r="H697" i="19"/>
  <c r="H557" i="19"/>
  <c r="H558" i="19" s="1"/>
  <c r="E566" i="19" s="1"/>
  <c r="D492" i="19"/>
  <c r="J492" i="19" s="1"/>
  <c r="D421" i="19"/>
  <c r="A417" i="19" s="1"/>
  <c r="H424" i="19"/>
  <c r="H425" i="19" s="1"/>
  <c r="E431" i="19" s="1"/>
  <c r="G769" i="19"/>
  <c r="F10" i="16"/>
  <c r="F11" i="38"/>
  <c r="H11" i="38" s="1"/>
  <c r="G771" i="19"/>
  <c r="D628" i="19"/>
  <c r="J628" i="19" s="1"/>
  <c r="D695" i="19"/>
  <c r="J695" i="19" s="1"/>
  <c r="H492" i="19"/>
  <c r="H493" i="19" s="1"/>
  <c r="E499" i="19" s="1"/>
  <c r="G560" i="19"/>
  <c r="G561" i="19" s="1"/>
  <c r="D567" i="19" s="1"/>
  <c r="G567" i="19" s="1"/>
  <c r="G628" i="19"/>
  <c r="G629" i="19" s="1"/>
  <c r="D635" i="19" s="1"/>
  <c r="G635" i="19" s="1"/>
  <c r="G699" i="19"/>
  <c r="D698" i="19"/>
  <c r="J698" i="19" s="1"/>
  <c r="F11" i="16"/>
  <c r="D171" i="19"/>
  <c r="D770" i="19"/>
  <c r="J770" i="19" s="1"/>
  <c r="G421" i="19"/>
  <c r="G770" i="19"/>
  <c r="D769" i="19"/>
  <c r="J769" i="19" s="1"/>
  <c r="D773" i="19"/>
  <c r="J773" i="19" s="1"/>
  <c r="F12" i="38"/>
  <c r="H12" i="38" s="1"/>
  <c r="I12" i="38" s="1"/>
  <c r="F10" i="37"/>
  <c r="I10" i="37" s="1"/>
  <c r="F10" i="34"/>
  <c r="I10" i="34" s="1"/>
  <c r="D702" i="19"/>
  <c r="J702" i="19" s="1"/>
  <c r="D776" i="19"/>
  <c r="J776" i="19" s="1"/>
  <c r="D696" i="19"/>
  <c r="J696" i="19" s="1"/>
  <c r="F10" i="27"/>
  <c r="I10" i="27" s="1"/>
  <c r="G695" i="19"/>
  <c r="G702" i="19"/>
  <c r="G703" i="19" s="1"/>
  <c r="D709" i="19" s="1"/>
  <c r="G709" i="19" s="1"/>
  <c r="C545" i="33"/>
  <c r="N204" i="19"/>
  <c r="N205" i="19"/>
  <c r="A3" i="17"/>
  <c r="A2" i="17"/>
  <c r="D142" i="33" s="1"/>
  <c r="J6" i="19"/>
  <c r="J16" i="19" s="1"/>
  <c r="G4" i="17"/>
  <c r="H508" i="19"/>
  <c r="N761" i="19"/>
  <c r="N762" i="19"/>
  <c r="N760" i="19"/>
  <c r="G200" i="19"/>
  <c r="D755" i="33" s="1"/>
  <c r="N175" i="19"/>
  <c r="N176" i="19"/>
  <c r="G817" i="33"/>
  <c r="G818" i="33" s="1"/>
  <c r="F817" i="33"/>
  <c r="J649" i="19"/>
  <c r="H651" i="19"/>
  <c r="P652" i="19"/>
  <c r="O11" i="37" s="1"/>
  <c r="H200" i="19"/>
  <c r="N100" i="19"/>
  <c r="N99" i="19"/>
  <c r="H14" i="38"/>
  <c r="I14" i="38" s="1"/>
  <c r="J513" i="19"/>
  <c r="P516" i="19"/>
  <c r="O11" i="28" s="1"/>
  <c r="H515" i="19"/>
  <c r="E160" i="17"/>
  <c r="H239" i="19" s="1"/>
  <c r="D256" i="19"/>
  <c r="N836" i="19"/>
  <c r="N835" i="19"/>
  <c r="N834" i="19"/>
  <c r="G189" i="19"/>
  <c r="P11" i="16"/>
  <c r="F425" i="33"/>
  <c r="G425" i="33"/>
  <c r="G426" i="33" s="1"/>
  <c r="H718" i="19"/>
  <c r="H15" i="38"/>
  <c r="I15" i="38" s="1"/>
  <c r="D536" i="33"/>
  <c r="H189" i="19"/>
  <c r="P13" i="16"/>
  <c r="O13" i="16"/>
  <c r="P12" i="16"/>
  <c r="O12" i="16"/>
  <c r="O15" i="16"/>
  <c r="P15" i="16"/>
  <c r="H576" i="19"/>
  <c r="E536" i="33"/>
  <c r="A234" i="19"/>
  <c r="J234" i="19"/>
  <c r="N617" i="19"/>
  <c r="N615" i="19"/>
  <c r="N616" i="19"/>
  <c r="C611" i="19" s="1"/>
  <c r="B45" i="34" s="1"/>
  <c r="H440" i="19"/>
  <c r="P9" i="34"/>
  <c r="J87" i="19"/>
  <c r="P9" i="28"/>
  <c r="P9" i="27"/>
  <c r="P9" i="40"/>
  <c r="H87" i="19"/>
  <c r="P9" i="38"/>
  <c r="P9" i="37"/>
  <c r="P9" i="16"/>
  <c r="H15" i="40"/>
  <c r="I15" i="40" s="1"/>
  <c r="N111" i="19"/>
  <c r="N110" i="19"/>
  <c r="N480" i="19"/>
  <c r="N479" i="19"/>
  <c r="J32" i="19"/>
  <c r="N3" i="19"/>
  <c r="N2" i="19"/>
  <c r="H644" i="19"/>
  <c r="H792" i="19"/>
  <c r="H13" i="38"/>
  <c r="I13" i="38" s="1"/>
  <c r="C536" i="33"/>
  <c r="M188" i="19"/>
  <c r="M43" i="19"/>
  <c r="M79" i="19"/>
  <c r="M187" i="19"/>
  <c r="M137" i="19"/>
  <c r="M144" i="19"/>
  <c r="M136" i="19"/>
  <c r="M135" i="19"/>
  <c r="M47" i="19"/>
  <c r="M55" i="19"/>
  <c r="M37" i="19"/>
  <c r="M45" i="19"/>
  <c r="M125" i="19"/>
  <c r="M185" i="19"/>
  <c r="M40" i="19"/>
  <c r="M36" i="19"/>
  <c r="M120" i="19"/>
  <c r="M84" i="19"/>
  <c r="M180" i="19"/>
  <c r="M59" i="19"/>
  <c r="M129" i="19"/>
  <c r="M81" i="19"/>
  <c r="M189" i="19"/>
  <c r="M123" i="19"/>
  <c r="M141" i="19"/>
  <c r="M183" i="19"/>
  <c r="M87" i="19"/>
  <c r="M179" i="19"/>
  <c r="M186" i="19"/>
  <c r="M83" i="19"/>
  <c r="M139" i="19"/>
  <c r="M126" i="19"/>
  <c r="M52" i="19"/>
  <c r="M42" i="19"/>
  <c r="M140" i="19"/>
  <c r="M133" i="19"/>
  <c r="M49" i="19"/>
  <c r="M58" i="19"/>
  <c r="M54" i="19"/>
  <c r="M62" i="19"/>
  <c r="M138" i="19"/>
  <c r="M48" i="19"/>
  <c r="M51" i="19"/>
  <c r="M134" i="19"/>
  <c r="M44" i="19"/>
  <c r="M127" i="19"/>
  <c r="M178" i="19"/>
  <c r="M182" i="19"/>
  <c r="M121" i="19"/>
  <c r="M82" i="19"/>
  <c r="M56" i="19"/>
  <c r="M86" i="19"/>
  <c r="M39" i="19"/>
  <c r="M85" i="19"/>
  <c r="M78" i="19"/>
  <c r="M46" i="19"/>
  <c r="M145" i="19"/>
  <c r="M128" i="19"/>
  <c r="M53" i="19"/>
  <c r="M122" i="19"/>
  <c r="M38" i="19"/>
  <c r="M184" i="19"/>
  <c r="M61" i="19"/>
  <c r="M119" i="19"/>
  <c r="M80" i="19"/>
  <c r="M41" i="19"/>
  <c r="M131" i="19"/>
  <c r="M60" i="19"/>
  <c r="M143" i="19"/>
  <c r="M130" i="19"/>
  <c r="M132" i="19"/>
  <c r="M50" i="19"/>
  <c r="M124" i="19"/>
  <c r="M181" i="19"/>
  <c r="M57" i="19"/>
  <c r="M142" i="19"/>
  <c r="M764" i="19" l="1"/>
  <c r="E636" i="19"/>
  <c r="H635" i="19" s="1"/>
  <c r="M690" i="19"/>
  <c r="A689" i="19" s="1"/>
  <c r="D23" i="31"/>
  <c r="E23" i="31" s="1"/>
  <c r="D10" i="31"/>
  <c r="E10" i="31" s="1"/>
  <c r="J625" i="19"/>
  <c r="D15" i="31"/>
  <c r="E15" i="31" s="1"/>
  <c r="Q15" i="29"/>
  <c r="H6" i="19"/>
  <c r="D19" i="31"/>
  <c r="E19" i="31" s="1"/>
  <c r="E24" i="32"/>
  <c r="E26" i="32"/>
  <c r="I26" i="32"/>
  <c r="G26" i="32"/>
  <c r="E29" i="32"/>
  <c r="I29" i="32" s="1"/>
  <c r="G29" i="32"/>
  <c r="E17" i="31"/>
  <c r="I31" i="32"/>
  <c r="J31" i="32" s="1"/>
  <c r="K31" i="32" s="1"/>
  <c r="F19" i="20" s="1"/>
  <c r="G19" i="20" s="1"/>
  <c r="H19" i="20" s="1"/>
  <c r="J19" i="20" s="1"/>
  <c r="K19" i="20" s="1"/>
  <c r="M19" i="20" s="1"/>
  <c r="C32" i="20" s="1"/>
  <c r="E30" i="32"/>
  <c r="I30" i="32" s="1"/>
  <c r="G30" i="32"/>
  <c r="E16" i="31"/>
  <c r="E27" i="32"/>
  <c r="I27" i="32" s="1"/>
  <c r="G27" i="32"/>
  <c r="K12" i="37"/>
  <c r="O12" i="37" s="1"/>
  <c r="N676" i="19"/>
  <c r="D12" i="31"/>
  <c r="G25" i="32"/>
  <c r="I25" i="32" s="1"/>
  <c r="B26" i="31"/>
  <c r="B28" i="31"/>
  <c r="B27" i="31"/>
  <c r="B29" i="31"/>
  <c r="B30" i="31"/>
  <c r="B46" i="31"/>
  <c r="B31" i="31"/>
  <c r="B41" i="31"/>
  <c r="E5" i="31"/>
  <c r="G28" i="32"/>
  <c r="E28" i="32"/>
  <c r="I28" i="32"/>
  <c r="J421" i="19"/>
  <c r="J557" i="19"/>
  <c r="A763" i="19"/>
  <c r="K135" i="19"/>
  <c r="A645" i="33"/>
  <c r="E568" i="19"/>
  <c r="E500" i="19"/>
  <c r="H774" i="19"/>
  <c r="E782" i="19" s="1"/>
  <c r="E784" i="19" s="1"/>
  <c r="H783" i="19" s="1"/>
  <c r="A485" i="19"/>
  <c r="H700" i="19"/>
  <c r="E708" i="19" s="1"/>
  <c r="E710" i="19" s="1"/>
  <c r="H709" i="19" s="1"/>
  <c r="I11" i="38"/>
  <c r="E432" i="19"/>
  <c r="N43" i="19"/>
  <c r="N62" i="19"/>
  <c r="N42" i="19"/>
  <c r="N121" i="19"/>
  <c r="N138" i="19"/>
  <c r="N120" i="19"/>
  <c r="N129" i="19"/>
  <c r="N85" i="19"/>
  <c r="N186" i="19"/>
  <c r="N60" i="19"/>
  <c r="N52" i="19"/>
  <c r="N59" i="19"/>
  <c r="N137" i="19"/>
  <c r="N125" i="19"/>
  <c r="N133" i="19"/>
  <c r="N126" i="19"/>
  <c r="N82" i="19"/>
  <c r="N180" i="19"/>
  <c r="N55" i="19"/>
  <c r="N50" i="19"/>
  <c r="N38" i="19"/>
  <c r="N36" i="19"/>
  <c r="N119" i="19"/>
  <c r="N127" i="19"/>
  <c r="N123" i="19"/>
  <c r="N84" i="19"/>
  <c r="N179" i="19"/>
  <c r="N181" i="19"/>
  <c r="N57" i="19"/>
  <c r="N122" i="19"/>
  <c r="N78" i="19"/>
  <c r="N80" i="19"/>
  <c r="N189" i="19"/>
  <c r="N41" i="19"/>
  <c r="N47" i="19"/>
  <c r="N49" i="19"/>
  <c r="N124" i="19"/>
  <c r="N139" i="19"/>
  <c r="N130" i="19"/>
  <c r="N79" i="19"/>
  <c r="N87" i="19"/>
  <c r="N183" i="19"/>
  <c r="N48" i="19"/>
  <c r="N44" i="19"/>
  <c r="N46" i="19"/>
  <c r="N132" i="19"/>
  <c r="N128" i="19"/>
  <c r="N143" i="19"/>
  <c r="N83" i="19"/>
  <c r="N188" i="19"/>
  <c r="N182" i="19"/>
  <c r="N37" i="19"/>
  <c r="N61" i="19"/>
  <c r="N58" i="19"/>
  <c r="N135" i="19"/>
  <c r="N144" i="19"/>
  <c r="N141" i="19"/>
  <c r="N81" i="19"/>
  <c r="N187" i="19"/>
  <c r="N185" i="19"/>
  <c r="N54" i="19"/>
  <c r="N39" i="19"/>
  <c r="N51" i="19"/>
  <c r="N145" i="19"/>
  <c r="N134" i="19"/>
  <c r="N53" i="19"/>
  <c r="N45" i="19"/>
  <c r="N56" i="19"/>
  <c r="N40" i="19"/>
  <c r="N131" i="19"/>
  <c r="N136" i="19"/>
  <c r="N142" i="19"/>
  <c r="N140" i="19"/>
  <c r="N86" i="19"/>
  <c r="N184" i="19"/>
  <c r="N178" i="19"/>
  <c r="A427" i="33"/>
  <c r="A426" i="33"/>
  <c r="H256" i="19"/>
  <c r="B536" i="33"/>
  <c r="J238" i="19"/>
  <c r="A241" i="19"/>
  <c r="C243" i="19"/>
  <c r="A534" i="33"/>
  <c r="H522" i="19"/>
  <c r="K26" i="28" s="1"/>
  <c r="N539" i="19"/>
  <c r="N675" i="19"/>
  <c r="H658" i="19"/>
  <c r="K26" i="37" s="1"/>
  <c r="C698" i="33"/>
  <c r="D741" i="33"/>
  <c r="A838" i="33"/>
  <c r="A819" i="33"/>
  <c r="A818" i="33"/>
  <c r="A201" i="19"/>
  <c r="O228" i="19"/>
  <c r="E755" i="33"/>
  <c r="A190" i="19"/>
  <c r="E741" i="33"/>
  <c r="O227" i="19"/>
  <c r="I24" i="32" l="1"/>
  <c r="S32" i="20"/>
  <c r="E32" i="20"/>
  <c r="G32" i="20"/>
  <c r="H32" i="20"/>
  <c r="M32" i="20" s="1"/>
  <c r="J26" i="32"/>
  <c r="K26" i="32" s="1"/>
  <c r="F14" i="20" s="1"/>
  <c r="G14" i="20" s="1"/>
  <c r="H14" i="20" s="1"/>
  <c r="J14" i="20" s="1"/>
  <c r="K14" i="20" s="1"/>
  <c r="M14" i="20" s="1"/>
  <c r="C27" i="20" s="1"/>
  <c r="J25" i="32"/>
  <c r="K25" i="32" s="1"/>
  <c r="F13" i="20" s="1"/>
  <c r="G13" i="20" s="1"/>
  <c r="H13" i="20" s="1"/>
  <c r="J13" i="20" s="1"/>
  <c r="K13" i="20" s="1"/>
  <c r="M13" i="20" s="1"/>
  <c r="C26" i="20" s="1"/>
  <c r="C30" i="31"/>
  <c r="D30" i="31" s="1"/>
  <c r="E30" i="31" s="1"/>
  <c r="C29" i="31"/>
  <c r="D29" i="31"/>
  <c r="J24" i="32"/>
  <c r="K24" i="32" s="1"/>
  <c r="F12" i="20" s="1"/>
  <c r="J28" i="32"/>
  <c r="K28" i="32" s="1"/>
  <c r="F16" i="20" s="1"/>
  <c r="G16" i="20" s="1"/>
  <c r="H16" i="20" s="1"/>
  <c r="J16" i="20" s="1"/>
  <c r="K16" i="20" s="1"/>
  <c r="M16" i="20" s="1"/>
  <c r="C29" i="20" s="1"/>
  <c r="C27" i="31"/>
  <c r="G24" i="32"/>
  <c r="C28" i="31"/>
  <c r="D28" i="31" s="1"/>
  <c r="C26" i="31"/>
  <c r="D26" i="31" s="1"/>
  <c r="B32" i="31"/>
  <c r="A55" i="31" s="1"/>
  <c r="J30" i="32"/>
  <c r="K30" i="32" s="1"/>
  <c r="F18" i="20" s="1"/>
  <c r="G18" i="20" s="1"/>
  <c r="H18" i="20" s="1"/>
  <c r="J18" i="20" s="1"/>
  <c r="K18" i="20" s="1"/>
  <c r="M18" i="20" s="1"/>
  <c r="C31" i="20" s="1"/>
  <c r="J29" i="32"/>
  <c r="K29" i="32" s="1"/>
  <c r="F17" i="20" s="1"/>
  <c r="G17" i="20" s="1"/>
  <c r="H17" i="20" s="1"/>
  <c r="J17" i="20" s="1"/>
  <c r="K17" i="20" s="1"/>
  <c r="M17" i="20" s="1"/>
  <c r="C30" i="20" s="1"/>
  <c r="E12" i="31"/>
  <c r="J27" i="32"/>
  <c r="K27" i="32" s="1"/>
  <c r="F15" i="20" s="1"/>
  <c r="G15" i="20" s="1"/>
  <c r="H15" i="20" s="1"/>
  <c r="J15" i="20" s="1"/>
  <c r="K15" i="20" s="1"/>
  <c r="M15" i="20" s="1"/>
  <c r="C28" i="20" s="1"/>
  <c r="C411" i="19"/>
  <c r="E411" i="19" s="1"/>
  <c r="C31" i="31"/>
  <c r="D31" i="31"/>
  <c r="E31" i="31" s="1"/>
  <c r="A820" i="33"/>
  <c r="A428" i="33"/>
  <c r="N88" i="19"/>
  <c r="N89" i="19"/>
  <c r="N146" i="19"/>
  <c r="N147" i="19"/>
  <c r="N63" i="19"/>
  <c r="N64" i="19"/>
  <c r="N548" i="19"/>
  <c r="C543" i="19" s="1"/>
  <c r="B45" i="28" s="1"/>
  <c r="N547" i="19"/>
  <c r="N549" i="19"/>
  <c r="N190" i="19"/>
  <c r="N191" i="19"/>
  <c r="A742" i="33"/>
  <c r="N685" i="19"/>
  <c r="N683" i="19"/>
  <c r="N684" i="19"/>
  <c r="C679" i="19" s="1"/>
  <c r="B45" i="37" s="1"/>
  <c r="E29" i="31" l="1"/>
  <c r="D27" i="31"/>
  <c r="D32" i="31" s="1"/>
  <c r="G12" i="20"/>
  <c r="H12" i="20" s="1"/>
  <c r="J12" i="20" s="1"/>
  <c r="E1054" i="33" s="1"/>
  <c r="D1036" i="33"/>
  <c r="E30" i="20"/>
  <c r="S30" i="20" s="1"/>
  <c r="G30" i="20"/>
  <c r="E28" i="31"/>
  <c r="E31" i="20"/>
  <c r="G31" i="20"/>
  <c r="H31" i="20"/>
  <c r="M31" i="20" s="1"/>
  <c r="S31" i="20"/>
  <c r="N31" i="32"/>
  <c r="A1024" i="33"/>
  <c r="O32" i="20"/>
  <c r="P32" i="20"/>
  <c r="E26" i="31"/>
  <c r="E27" i="20"/>
  <c r="G27" i="20"/>
  <c r="S27" i="20" s="1"/>
  <c r="H27" i="20"/>
  <c r="M27" i="20" s="1"/>
  <c r="E28" i="20"/>
  <c r="S28" i="20" s="1"/>
  <c r="G28" i="20"/>
  <c r="C32" i="31"/>
  <c r="T32" i="20"/>
  <c r="U32" i="20"/>
  <c r="E29" i="20"/>
  <c r="S29" i="20" s="1"/>
  <c r="G29" i="20"/>
  <c r="E26" i="20"/>
  <c r="H26" i="20" s="1"/>
  <c r="M26" i="20" s="1"/>
  <c r="G26" i="20"/>
  <c r="E27" i="31" l="1"/>
  <c r="E32" i="31" s="1"/>
  <c r="S26" i="20"/>
  <c r="T26" i="20" s="1"/>
  <c r="T29" i="20"/>
  <c r="U28" i="20"/>
  <c r="T28" i="20"/>
  <c r="T30" i="20"/>
  <c r="U30" i="20"/>
  <c r="H28" i="20"/>
  <c r="M28" i="20" s="1"/>
  <c r="H29" i="20"/>
  <c r="M29" i="20" s="1"/>
  <c r="H30" i="20"/>
  <c r="M30" i="20" s="1"/>
  <c r="N26" i="32"/>
  <c r="A1019" i="33"/>
  <c r="N25" i="32"/>
  <c r="G473" i="19"/>
  <c r="A1018" i="33"/>
  <c r="V32" i="20"/>
  <c r="W32" i="20"/>
  <c r="P31" i="20"/>
  <c r="O31" i="20"/>
  <c r="N30" i="32"/>
  <c r="A1023" i="33"/>
  <c r="D1040" i="33"/>
  <c r="T27" i="20"/>
  <c r="U27" i="20" s="1"/>
  <c r="B35" i="31"/>
  <c r="C35" i="31" s="1"/>
  <c r="D35" i="31" s="1"/>
  <c r="E35" i="31" s="1"/>
  <c r="F35" i="31" s="1"/>
  <c r="G35" i="31" s="1"/>
  <c r="H35" i="31" s="1"/>
  <c r="C33" i="31"/>
  <c r="B42" i="31" s="1"/>
  <c r="B38" i="31"/>
  <c r="C38" i="31" s="1"/>
  <c r="D38" i="31" s="1"/>
  <c r="E38" i="31" s="1"/>
  <c r="F38" i="31" s="1"/>
  <c r="G38" i="31" s="1"/>
  <c r="H38" i="31" s="1"/>
  <c r="K12" i="20"/>
  <c r="M12" i="20" s="1"/>
  <c r="F1054" i="33" s="1"/>
  <c r="E1036" i="33"/>
  <c r="D33" i="31"/>
  <c r="B43" i="31" s="1"/>
  <c r="B37" i="31"/>
  <c r="C37" i="31" s="1"/>
  <c r="D37" i="31" s="1"/>
  <c r="E37" i="31" s="1"/>
  <c r="F37" i="31" s="1"/>
  <c r="G37" i="31" s="1"/>
  <c r="H37" i="31" s="1"/>
  <c r="T31" i="20"/>
  <c r="U31" i="20" s="1"/>
  <c r="F32" i="31" l="1"/>
  <c r="B51" i="31" s="1"/>
  <c r="B52" i="31" s="1"/>
  <c r="E33" i="31"/>
  <c r="B44" i="31" s="1"/>
  <c r="B36" i="31"/>
  <c r="C36" i="31" s="1"/>
  <c r="D36" i="31" s="1"/>
  <c r="E36" i="31" s="1"/>
  <c r="F36" i="31" s="1"/>
  <c r="G36" i="31" s="1"/>
  <c r="H36" i="31" s="1"/>
  <c r="U26" i="20"/>
  <c r="P28" i="20"/>
  <c r="A1020" i="33"/>
  <c r="O28" i="20"/>
  <c r="N27" i="32"/>
  <c r="V29" i="20"/>
  <c r="W29" i="20"/>
  <c r="W26" i="20"/>
  <c r="P26" i="20" s="1"/>
  <c r="V26" i="20"/>
  <c r="O26" i="20" s="1"/>
  <c r="V30" i="20"/>
  <c r="W30" i="20"/>
  <c r="B39" i="31"/>
  <c r="C39" i="31" s="1"/>
  <c r="D39" i="31" s="1"/>
  <c r="E39" i="31" s="1"/>
  <c r="F39" i="31" s="1"/>
  <c r="G39" i="31" s="1"/>
  <c r="H39" i="31" s="1"/>
  <c r="W28" i="20"/>
  <c r="V28" i="20"/>
  <c r="C25" i="20"/>
  <c r="F1036" i="33"/>
  <c r="W27" i="20"/>
  <c r="P27" i="20" s="1"/>
  <c r="V27" i="20"/>
  <c r="O27" i="20" s="1"/>
  <c r="N29" i="32"/>
  <c r="P30" i="20"/>
  <c r="A1022" i="33"/>
  <c r="O30" i="20"/>
  <c r="V31" i="20"/>
  <c r="W31" i="20"/>
  <c r="A1021" i="33"/>
  <c r="P29" i="20"/>
  <c r="O29" i="20"/>
  <c r="N28" i="32"/>
  <c r="U29" i="20"/>
  <c r="F33" i="31" l="1"/>
  <c r="B45" i="31" s="1"/>
  <c r="B55" i="31"/>
  <c r="C55" i="31" s="1"/>
  <c r="D55" i="31" s="1"/>
  <c r="E55" i="31" s="1"/>
  <c r="F55" i="31" s="1"/>
  <c r="G55" i="31" s="1"/>
  <c r="H55" i="31" s="1"/>
  <c r="B48" i="31"/>
  <c r="F48" i="31" s="1"/>
  <c r="E49" i="31" s="1"/>
  <c r="E25" i="20"/>
  <c r="G25" i="20"/>
  <c r="C52" i="31"/>
  <c r="D52" i="31" s="1"/>
  <c r="E52" i="31" s="1"/>
  <c r="F52" i="31" s="1"/>
  <c r="G52" i="31" s="1"/>
  <c r="H52" i="31" s="1"/>
  <c r="Q11" i="29" l="1"/>
  <c r="E48" i="31"/>
  <c r="E50" i="31" s="1"/>
  <c r="H25" i="20"/>
  <c r="M25" i="20" s="1"/>
  <c r="I1054" i="33" s="1"/>
  <c r="D1055" i="33" s="1"/>
  <c r="H1036" i="33"/>
  <c r="H1054" i="33"/>
  <c r="G1036" i="33"/>
  <c r="G1054" i="33"/>
  <c r="S25" i="20"/>
  <c r="G345" i="19"/>
  <c r="H473" i="19" s="1"/>
  <c r="A53" i="31"/>
  <c r="B53" i="31" s="1"/>
  <c r="C53" i="31" s="1"/>
  <c r="D53" i="31" s="1"/>
  <c r="E53" i="31" s="1"/>
  <c r="F53" i="31" s="1"/>
  <c r="G53" i="31" s="1"/>
  <c r="G879" i="19"/>
  <c r="I1036" i="33" l="1"/>
  <c r="D1037" i="33" s="1"/>
  <c r="K43" i="27"/>
  <c r="J473" i="19"/>
  <c r="F1055" i="33"/>
  <c r="G1055" i="33"/>
  <c r="N24" i="32"/>
  <c r="E1055" i="33"/>
  <c r="I1055" i="33"/>
  <c r="A1017" i="33"/>
  <c r="A1025" i="33" s="1"/>
  <c r="A1026" i="33" s="1"/>
  <c r="A1027" i="33" s="1"/>
  <c r="A1029" i="33" s="1"/>
  <c r="H1055" i="33"/>
  <c r="B965" i="33"/>
  <c r="A955" i="33"/>
  <c r="D44" i="33"/>
  <c r="H677" i="19"/>
  <c r="K43" i="16"/>
  <c r="C385" i="19" s="1"/>
  <c r="J345" i="19"/>
  <c r="K345" i="19"/>
  <c r="H13" i="33" s="1"/>
  <c r="H541" i="19"/>
  <c r="A345" i="19"/>
  <c r="H609" i="19"/>
  <c r="H825" i="19"/>
  <c r="H751" i="19"/>
  <c r="T25" i="20"/>
  <c r="H53" i="31"/>
  <c r="A54" i="31"/>
  <c r="B54" i="31" s="1"/>
  <c r="C54" i="31" s="1"/>
  <c r="D54" i="31" s="1"/>
  <c r="E54" i="31" s="1"/>
  <c r="F54" i="31" s="1"/>
  <c r="G54" i="31" s="1"/>
  <c r="H54" i="31" s="1"/>
  <c r="G880" i="19"/>
  <c r="G881" i="19"/>
  <c r="G883" i="19"/>
  <c r="G882" i="19"/>
  <c r="G884" i="19"/>
  <c r="F1037" i="33" l="1"/>
  <c r="E1037" i="33"/>
  <c r="G1037" i="33"/>
  <c r="I1037" i="33"/>
  <c r="H1037" i="33"/>
  <c r="B56" i="31"/>
  <c r="Q10" i="29" s="1"/>
  <c r="Q16" i="29" s="1"/>
  <c r="W25" i="20"/>
  <c r="P25" i="20" s="1"/>
  <c r="V25" i="20"/>
  <c r="O25" i="20" s="1"/>
  <c r="K43" i="38"/>
  <c r="J751" i="19"/>
  <c r="K43" i="37"/>
  <c r="J677" i="19"/>
  <c r="K43" i="40"/>
  <c r="J825" i="19"/>
  <c r="J609" i="19"/>
  <c r="K43" i="34"/>
  <c r="K43" i="28"/>
  <c r="J541" i="19"/>
  <c r="U25" i="20"/>
  <c r="H14" i="29" l="1"/>
  <c r="I45" i="19"/>
  <c r="J46" i="19" s="1"/>
  <c r="J24" i="33"/>
  <c r="I558" i="19"/>
  <c r="Q5" i="19"/>
  <c r="I700" i="19"/>
  <c r="I490" i="19"/>
  <c r="D14" i="29"/>
  <c r="I774" i="19"/>
  <c r="I422" i="19"/>
  <c r="J47" i="19"/>
  <c r="H6" i="29"/>
  <c r="B22" i="29"/>
  <c r="I626" i="19"/>
  <c r="J237" i="19"/>
  <c r="J134" i="19"/>
  <c r="N18" i="29"/>
  <c r="H11" i="19" s="1"/>
  <c r="G774" i="19"/>
  <c r="I19" i="40" s="1"/>
  <c r="O21" i="40" s="1"/>
  <c r="G422" i="19"/>
  <c r="I19" i="27" s="1"/>
  <c r="O21" i="27" s="1"/>
  <c r="G626" i="19"/>
  <c r="I19" i="37" s="1"/>
  <c r="O21" i="37" s="1"/>
  <c r="G490" i="19"/>
  <c r="I19" i="28" s="1"/>
  <c r="O21" i="28" s="1"/>
  <c r="G558" i="19"/>
  <c r="I19" i="34" s="1"/>
  <c r="O21" i="34" s="1"/>
  <c r="G700" i="19"/>
  <c r="I19" i="38" s="1"/>
  <c r="O21" i="38" s="1"/>
  <c r="Q4" i="19"/>
  <c r="Q3" i="19"/>
  <c r="Q2" i="19"/>
  <c r="L6" i="19" l="1"/>
  <c r="D708" i="19"/>
  <c r="J703" i="19"/>
  <c r="G453" i="19"/>
  <c r="H453" i="19" s="1"/>
  <c r="C846" i="19"/>
  <c r="E441" i="19"/>
  <c r="F441" i="19" s="1"/>
  <c r="C871" i="19"/>
  <c r="G805" i="19"/>
  <c r="H805" i="19" s="1"/>
  <c r="E793" i="19"/>
  <c r="F793" i="19" s="1"/>
  <c r="D430" i="19"/>
  <c r="J425" i="19"/>
  <c r="D566" i="19"/>
  <c r="J561" i="19"/>
  <c r="N23" i="29"/>
  <c r="A17" i="29" s="1"/>
  <c r="L27" i="19" s="1"/>
  <c r="B24" i="29"/>
  <c r="D13" i="19" s="1"/>
  <c r="E719" i="19"/>
  <c r="F719" i="19" s="1"/>
  <c r="G731" i="19"/>
  <c r="H731" i="19" s="1"/>
  <c r="C866" i="19"/>
  <c r="D498" i="19"/>
  <c r="J493" i="19"/>
  <c r="J777" i="19"/>
  <c r="D782" i="19"/>
  <c r="D11" i="19"/>
  <c r="B29" i="29"/>
  <c r="J629" i="19"/>
  <c r="D634" i="19"/>
  <c r="B23" i="29"/>
  <c r="D12" i="19" s="1"/>
  <c r="E509" i="19"/>
  <c r="F509" i="19" s="1"/>
  <c r="G521" i="19"/>
  <c r="C851" i="19"/>
  <c r="E577" i="19"/>
  <c r="F577" i="19" s="1"/>
  <c r="G589" i="19"/>
  <c r="H589" i="19" s="1"/>
  <c r="C856" i="19"/>
  <c r="E645" i="19"/>
  <c r="F645" i="19" s="1"/>
  <c r="G657" i="19"/>
  <c r="C861" i="19"/>
  <c r="D6" i="19" l="1"/>
  <c r="D47" i="16"/>
  <c r="A4" i="20"/>
  <c r="K3" i="16"/>
  <c r="A2" i="32"/>
  <c r="A4" i="32"/>
  <c r="A6" i="20"/>
  <c r="K5" i="16"/>
  <c r="D90" i="19"/>
  <c r="D108" i="19"/>
  <c r="E126" i="19"/>
  <c r="F126" i="19" s="1"/>
  <c r="K126" i="19" s="1"/>
  <c r="E188" i="19"/>
  <c r="K188" i="19" s="1"/>
  <c r="C95" i="19"/>
  <c r="F174" i="19" s="1"/>
  <c r="E127" i="19"/>
  <c r="F127" i="19" s="1"/>
  <c r="K127" i="19" s="1"/>
  <c r="D107" i="19"/>
  <c r="D44" i="19"/>
  <c r="D36" i="19"/>
  <c r="E45" i="19"/>
  <c r="A46" i="19" s="1"/>
  <c r="D40" i="19"/>
  <c r="E125" i="19"/>
  <c r="F125" i="19" s="1"/>
  <c r="K125" i="19" s="1"/>
  <c r="E124" i="19"/>
  <c r="F124" i="19" s="1"/>
  <c r="K124" i="19" s="1"/>
  <c r="E197" i="19"/>
  <c r="K197" i="19" s="1"/>
  <c r="D93" i="19"/>
  <c r="E149" i="19"/>
  <c r="F149" i="19" s="1"/>
  <c r="K149" i="19" s="1"/>
  <c r="D41" i="19"/>
  <c r="E186" i="19"/>
  <c r="K186" i="19" s="1"/>
  <c r="E196" i="19"/>
  <c r="K196" i="19" s="1"/>
  <c r="D37" i="19"/>
  <c r="E174" i="19"/>
  <c r="K174" i="19" s="1"/>
  <c r="E185" i="19"/>
  <c r="K185" i="19" s="1"/>
  <c r="D101" i="19"/>
  <c r="E175" i="19"/>
  <c r="K175" i="19" s="1"/>
  <c r="E128" i="19"/>
  <c r="F128" i="19" s="1"/>
  <c r="K128" i="19" s="1"/>
  <c r="E148" i="19"/>
  <c r="F148" i="19" s="1"/>
  <c r="K148" i="19" s="1"/>
  <c r="D109" i="19"/>
  <c r="E147" i="19"/>
  <c r="F147" i="19" s="1"/>
  <c r="E199" i="19"/>
  <c r="K199" i="19" s="1"/>
  <c r="D92" i="19"/>
  <c r="D94" i="19"/>
  <c r="E184" i="19"/>
  <c r="K184" i="19" s="1"/>
  <c r="D39" i="19"/>
  <c r="E176" i="19"/>
  <c r="K176" i="19" s="1"/>
  <c r="D103" i="19"/>
  <c r="E195" i="19"/>
  <c r="K195" i="19" s="1"/>
  <c r="D43" i="19"/>
  <c r="F53" i="19"/>
  <c r="E123" i="19"/>
  <c r="F123" i="19" s="1"/>
  <c r="E129" i="19"/>
  <c r="F54" i="19"/>
  <c r="E187" i="19"/>
  <c r="K187" i="19" s="1"/>
  <c r="D38" i="19"/>
  <c r="D91" i="19"/>
  <c r="E198" i="19"/>
  <c r="K198" i="19" s="1"/>
  <c r="D102" i="19"/>
  <c r="D42" i="19"/>
  <c r="G566" i="19"/>
  <c r="G568" i="19" s="1"/>
  <c r="G570" i="19" s="1"/>
  <c r="K22" i="34" s="1"/>
  <c r="O22" i="34" s="1"/>
  <c r="O23" i="34" s="1"/>
  <c r="D568" i="19"/>
  <c r="G782" i="19"/>
  <c r="G784" i="19" s="1"/>
  <c r="G786" i="19" s="1"/>
  <c r="K22" i="40" s="1"/>
  <c r="O22" i="40" s="1"/>
  <c r="O23" i="40" s="1"/>
  <c r="D784" i="19"/>
  <c r="H782" i="19" s="1"/>
  <c r="H784" i="19" s="1"/>
  <c r="H786" i="19" s="1"/>
  <c r="K24" i="40" s="1"/>
  <c r="A3" i="32"/>
  <c r="A5" i="20"/>
  <c r="K4" i="16"/>
  <c r="G498" i="19"/>
  <c r="G500" i="19" s="1"/>
  <c r="G502" i="19" s="1"/>
  <c r="K22" i="28" s="1"/>
  <c r="O22" i="28" s="1"/>
  <c r="O23" i="28" s="1"/>
  <c r="D500" i="19"/>
  <c r="G634" i="19"/>
  <c r="G636" i="19" s="1"/>
  <c r="G638" i="19" s="1"/>
  <c r="K22" i="37" s="1"/>
  <c r="O22" i="37" s="1"/>
  <c r="O23" i="37" s="1"/>
  <c r="D636" i="19"/>
  <c r="H634" i="19" s="1"/>
  <c r="D432" i="19"/>
  <c r="G430" i="19"/>
  <c r="G432" i="19" s="1"/>
  <c r="G434" i="19" s="1"/>
  <c r="K22" i="27" s="1"/>
  <c r="O22" i="27" s="1"/>
  <c r="O23" i="27" s="1"/>
  <c r="G708" i="19"/>
  <c r="G710" i="19" s="1"/>
  <c r="G712" i="19" s="1"/>
  <c r="K22" i="38" s="1"/>
  <c r="O22" i="38" s="1"/>
  <c r="O23" i="38" s="1"/>
  <c r="D710" i="19"/>
  <c r="H708" i="19" s="1"/>
  <c r="J297" i="19" l="1"/>
  <c r="H174" i="19"/>
  <c r="H178" i="19" s="1"/>
  <c r="G174" i="19"/>
  <c r="J54" i="19"/>
  <c r="G54" i="19"/>
  <c r="H54" i="19" s="1"/>
  <c r="O25" i="27"/>
  <c r="D846" i="19"/>
  <c r="D849" i="19" s="1"/>
  <c r="O26" i="27"/>
  <c r="E55" i="19"/>
  <c r="G57" i="19" s="1"/>
  <c r="D52" i="19"/>
  <c r="AD67" i="19"/>
  <c r="G108" i="19"/>
  <c r="H108" i="19" s="1"/>
  <c r="J108" i="19"/>
  <c r="J39" i="19"/>
  <c r="F39" i="19"/>
  <c r="J41" i="19"/>
  <c r="F41" i="19"/>
  <c r="F36" i="19"/>
  <c r="J36" i="19"/>
  <c r="D453" i="33" a="1"/>
  <c r="D453" i="33" s="1"/>
  <c r="B453" i="33"/>
  <c r="J90" i="19"/>
  <c r="P93" i="19"/>
  <c r="U80" i="19"/>
  <c r="O11" i="16" s="1"/>
  <c r="K4" i="38"/>
  <c r="K4" i="34"/>
  <c r="K4" i="37"/>
  <c r="K4" i="40"/>
  <c r="K4" i="27"/>
  <c r="K4" i="28"/>
  <c r="F129" i="19"/>
  <c r="F130" i="19" s="1"/>
  <c r="J44" i="19"/>
  <c r="F44" i="19"/>
  <c r="K5" i="34"/>
  <c r="K5" i="38"/>
  <c r="K5" i="37"/>
  <c r="K5" i="28"/>
  <c r="K5" i="40"/>
  <c r="K5" i="27"/>
  <c r="D871" i="19"/>
  <c r="D874" i="19" s="1"/>
  <c r="O25" i="40"/>
  <c r="O26" i="40"/>
  <c r="O25" i="37"/>
  <c r="O26" i="37"/>
  <c r="D861" i="19"/>
  <c r="D864" i="19" s="1"/>
  <c r="F42" i="19"/>
  <c r="J42" i="19"/>
  <c r="K123" i="19"/>
  <c r="H94" i="19"/>
  <c r="J94" i="19"/>
  <c r="H101" i="19"/>
  <c r="J101" i="19"/>
  <c r="P110" i="19"/>
  <c r="J93" i="19"/>
  <c r="H93" i="19"/>
  <c r="G107" i="19"/>
  <c r="J107" i="19"/>
  <c r="D856" i="19"/>
  <c r="D859" i="19" s="1"/>
  <c r="O26" i="34"/>
  <c r="O25" i="34"/>
  <c r="J102" i="19"/>
  <c r="H102" i="19"/>
  <c r="J53" i="19"/>
  <c r="G53" i="19"/>
  <c r="J92" i="19"/>
  <c r="H92" i="19"/>
  <c r="D47" i="38"/>
  <c r="D47" i="27"/>
  <c r="C32" i="32"/>
  <c r="D47" i="34"/>
  <c r="D33" i="20"/>
  <c r="D47" i="40"/>
  <c r="D47" i="28"/>
  <c r="D47" i="37"/>
  <c r="J43" i="19"/>
  <c r="F43" i="19"/>
  <c r="M361" i="19"/>
  <c r="D242" i="19"/>
  <c r="A228" i="19"/>
  <c r="J95" i="19"/>
  <c r="H9" i="33" s="1"/>
  <c r="A227" i="19"/>
  <c r="H273" i="19"/>
  <c r="A113" i="19"/>
  <c r="P19" i="16"/>
  <c r="J91" i="19"/>
  <c r="H91" i="19"/>
  <c r="K147" i="19"/>
  <c r="F152" i="19"/>
  <c r="J37" i="19"/>
  <c r="F37" i="19"/>
  <c r="K3" i="27"/>
  <c r="K3" i="38"/>
  <c r="K3" i="28"/>
  <c r="K3" i="34"/>
  <c r="K3" i="37"/>
  <c r="K3" i="40"/>
  <c r="O25" i="38"/>
  <c r="O26" i="38"/>
  <c r="D866" i="19"/>
  <c r="D869" i="19" s="1"/>
  <c r="D851" i="19"/>
  <c r="D854" i="19" s="1"/>
  <c r="O25" i="28"/>
  <c r="O26" i="28"/>
  <c r="O24" i="40"/>
  <c r="J38" i="19"/>
  <c r="F38" i="19"/>
  <c r="H103" i="19"/>
  <c r="J103" i="19"/>
  <c r="J109" i="19"/>
  <c r="G109" i="19"/>
  <c r="H109" i="19" s="1"/>
  <c r="F40" i="19"/>
  <c r="J40" i="19"/>
  <c r="E727" i="33" l="1"/>
  <c r="A179" i="19"/>
  <c r="O226" i="19"/>
  <c r="F45" i="19"/>
  <c r="J45" i="19" s="1"/>
  <c r="AA67" i="19"/>
  <c r="AF67" i="19"/>
  <c r="G42" i="19"/>
  <c r="A440" i="33"/>
  <c r="H16" i="16"/>
  <c r="I16" i="16" s="1"/>
  <c r="H42" i="19"/>
  <c r="K129" i="19"/>
  <c r="H36" i="19"/>
  <c r="A434" i="33"/>
  <c r="G36" i="19"/>
  <c r="H10" i="16"/>
  <c r="J57" i="19"/>
  <c r="F63" i="19"/>
  <c r="E61" i="19"/>
  <c r="J124" i="19" s="1"/>
  <c r="G55" i="19"/>
  <c r="F153" i="19" s="1"/>
  <c r="H152" i="19" s="1"/>
  <c r="H53" i="19"/>
  <c r="H55" i="19" s="1"/>
  <c r="Q110" i="19"/>
  <c r="A439" i="33"/>
  <c r="H41" i="19"/>
  <c r="G41" i="19"/>
  <c r="H15" i="16"/>
  <c r="I15" i="16" s="1"/>
  <c r="E243" i="19"/>
  <c r="H243" i="19" s="1"/>
  <c r="A529" i="33"/>
  <c r="C697" i="33"/>
  <c r="A535" i="33"/>
  <c r="A542" i="33" s="1"/>
  <c r="J350" i="19"/>
  <c r="N361" i="19"/>
  <c r="P109" i="19"/>
  <c r="D95" i="19"/>
  <c r="H44" i="19"/>
  <c r="H18" i="16"/>
  <c r="I18" i="16" s="1"/>
  <c r="A442" i="33"/>
  <c r="G44" i="19"/>
  <c r="H38" i="19"/>
  <c r="G38" i="19"/>
  <c r="A436" i="33"/>
  <c r="H12" i="16"/>
  <c r="I12" i="16" s="1"/>
  <c r="G37" i="19"/>
  <c r="H37" i="19"/>
  <c r="A435" i="33"/>
  <c r="H11" i="16"/>
  <c r="I11" i="16" s="1"/>
  <c r="A441" i="33"/>
  <c r="H43" i="19"/>
  <c r="G43" i="19"/>
  <c r="H17" i="16"/>
  <c r="I17" i="16" s="1"/>
  <c r="A437" i="33"/>
  <c r="G39" i="19"/>
  <c r="H39" i="19"/>
  <c r="H13" i="16"/>
  <c r="I13" i="16" s="1"/>
  <c r="J55" i="19"/>
  <c r="H7" i="33" s="1"/>
  <c r="A484" i="33"/>
  <c r="AD69" i="19"/>
  <c r="A470" i="33"/>
  <c r="O218" i="19"/>
  <c r="A669" i="33"/>
  <c r="E141" i="19"/>
  <c r="J142" i="19" s="1"/>
  <c r="H57" i="19"/>
  <c r="A57" i="19" s="1"/>
  <c r="A56" i="19"/>
  <c r="J140" i="19"/>
  <c r="A33" i="19"/>
  <c r="P111" i="19"/>
  <c r="Q111" i="19" s="1"/>
  <c r="H107" i="19"/>
  <c r="H110" i="19" s="1"/>
  <c r="F132" i="19"/>
  <c r="H14" i="16"/>
  <c r="I14" i="16" s="1"/>
  <c r="H40" i="19"/>
  <c r="G40" i="19"/>
  <c r="A438" i="33"/>
  <c r="A865" i="33" l="1"/>
  <c r="A253" i="19"/>
  <c r="K16" i="16"/>
  <c r="E543" i="33"/>
  <c r="J174" i="19"/>
  <c r="J208" i="19"/>
  <c r="J184" i="19"/>
  <c r="J123" i="19"/>
  <c r="P112" i="19"/>
  <c r="D110" i="19" s="1"/>
  <c r="AE69" i="19"/>
  <c r="AF69" i="19" s="1"/>
  <c r="AC68" i="19"/>
  <c r="C67" i="19"/>
  <c r="E42" i="33"/>
  <c r="D321" i="19"/>
  <c r="F321" i="19" s="1"/>
  <c r="D50" i="33"/>
  <c r="E258" i="19"/>
  <c r="A851" i="33"/>
  <c r="G258" i="19"/>
  <c r="I10" i="16"/>
  <c r="H19" i="16"/>
  <c r="N363" i="19"/>
  <c r="O362" i="19"/>
  <c r="H45" i="19"/>
  <c r="Q112" i="19"/>
  <c r="G45" i="19"/>
  <c r="H63" i="19"/>
  <c r="C69" i="19"/>
  <c r="C485" i="33"/>
  <c r="A492" i="33" s="1"/>
  <c r="A486" i="33" s="1"/>
  <c r="A443" i="33"/>
  <c r="A444" i="33" s="1"/>
  <c r="A445" i="33" s="1"/>
  <c r="A447" i="33" s="1"/>
  <c r="AE67" i="19"/>
  <c r="AA68" i="19"/>
  <c r="I19" i="16" l="1"/>
  <c r="O21" i="16" s="1"/>
  <c r="P113" i="19"/>
  <c r="C70" i="19"/>
  <c r="O214" i="19"/>
  <c r="O213" i="19"/>
  <c r="F221" i="19" s="1"/>
  <c r="E67" i="19"/>
  <c r="D67" i="19"/>
  <c r="F133" i="19"/>
  <c r="F453" i="33"/>
  <c r="D68" i="19"/>
  <c r="E209" i="19"/>
  <c r="H209" i="19" s="1"/>
  <c r="H453" i="33"/>
  <c r="E68" i="19"/>
  <c r="G72" i="33"/>
  <c r="G69" i="33"/>
  <c r="E69" i="19"/>
  <c r="D69" i="19"/>
  <c r="O215" i="19"/>
  <c r="H327" i="19"/>
  <c r="B330" i="19"/>
  <c r="D330" i="19" s="1"/>
  <c r="E330" i="19" s="1"/>
  <c r="J319" i="19"/>
  <c r="G327" i="19"/>
  <c r="A275" i="19"/>
  <c r="G275" i="19"/>
  <c r="E72" i="33"/>
  <c r="E763" i="33" l="1"/>
  <c r="A764" i="33" s="1"/>
  <c r="A210" i="19"/>
  <c r="O229" i="19"/>
  <c r="H220" i="19"/>
  <c r="R213" i="19" s="1"/>
  <c r="G69" i="19"/>
  <c r="G162" i="19"/>
  <c r="I453" i="33"/>
  <c r="A454" i="33"/>
  <c r="E465" i="19"/>
  <c r="J465" i="19" s="1"/>
  <c r="E817" i="19"/>
  <c r="J817" i="19" s="1"/>
  <c r="E601" i="19"/>
  <c r="J601" i="19" s="1"/>
  <c r="E669" i="19"/>
  <c r="J669" i="19" s="1"/>
  <c r="E743" i="19"/>
  <c r="J743" i="19" s="1"/>
  <c r="E533" i="19"/>
  <c r="J533" i="19" s="1"/>
  <c r="H132" i="19"/>
  <c r="P213" i="19"/>
  <c r="P217" i="19" s="1"/>
  <c r="P215" i="19"/>
  <c r="G68" i="19"/>
  <c r="G161" i="19"/>
  <c r="D70" i="19"/>
  <c r="H68" i="19" s="1"/>
  <c r="E24" i="33"/>
  <c r="G163" i="19"/>
  <c r="E70" i="19"/>
  <c r="H69" i="19" s="1"/>
  <c r="A790" i="33"/>
  <c r="C841" i="19"/>
  <c r="H748" i="19"/>
  <c r="A600" i="19"/>
  <c r="A816" i="19"/>
  <c r="A742" i="19"/>
  <c r="A668" i="19"/>
  <c r="H538" i="19"/>
  <c r="H470" i="19"/>
  <c r="A464" i="19"/>
  <c r="H674" i="19"/>
  <c r="H606" i="19"/>
  <c r="A532" i="19"/>
  <c r="H822" i="19"/>
  <c r="F884" i="19"/>
  <c r="F882" i="19"/>
  <c r="F331" i="19"/>
  <c r="F333" i="19"/>
  <c r="F329" i="19"/>
  <c r="F330" i="19"/>
  <c r="F881" i="19"/>
  <c r="F879" i="19"/>
  <c r="F883" i="19"/>
  <c r="F332" i="19"/>
  <c r="F880" i="19"/>
  <c r="H221" i="19" l="1"/>
  <c r="H222" i="19" s="1"/>
  <c r="H223" i="19" s="1"/>
  <c r="H224" i="19" s="1"/>
  <c r="H225" i="19" s="1"/>
  <c r="H226" i="19" s="1"/>
  <c r="O231" i="19"/>
  <c r="N229" i="19" s="1"/>
  <c r="Q229" i="19" s="1"/>
  <c r="G330" i="19"/>
  <c r="G329" i="19"/>
  <c r="G333" i="19"/>
  <c r="G332" i="19"/>
  <c r="G331" i="19"/>
  <c r="G84" i="33"/>
  <c r="E54" i="33"/>
  <c r="H70" i="19"/>
  <c r="J748" i="19"/>
  <c r="J753" i="19"/>
  <c r="J475" i="19"/>
  <c r="J470" i="19"/>
  <c r="J674" i="19"/>
  <c r="J679" i="19"/>
  <c r="J538" i="19"/>
  <c r="J543" i="19"/>
  <c r="J822" i="19"/>
  <c r="J827" i="19"/>
  <c r="G164" i="19"/>
  <c r="J606" i="19"/>
  <c r="J611" i="19"/>
  <c r="R214" i="19"/>
  <c r="G30" i="33" s="1"/>
  <c r="G60" i="33" s="1"/>
  <c r="G70" i="19"/>
  <c r="O220" i="19" l="1"/>
  <c r="N226" i="19"/>
  <c r="Q226" i="19" s="1"/>
  <c r="N227" i="19"/>
  <c r="Q227" i="19" s="1"/>
  <c r="N230" i="19"/>
  <c r="Q230" i="19" s="1"/>
  <c r="N228" i="19"/>
  <c r="Q228" i="19" s="1"/>
  <c r="H229" i="19"/>
  <c r="H228" i="19"/>
  <c r="A509" i="33"/>
  <c r="A179" i="33" s="1"/>
  <c r="J73" i="19"/>
  <c r="H292" i="19"/>
  <c r="G72" i="19"/>
  <c r="H73" i="19"/>
  <c r="J71" i="19"/>
  <c r="A461" i="33"/>
  <c r="A161" i="33" s="1"/>
  <c r="E84" i="33"/>
  <c r="F84" i="33" s="1"/>
  <c r="H84" i="33"/>
  <c r="H332" i="19"/>
  <c r="H333" i="19"/>
  <c r="H636" i="19" l="1"/>
  <c r="H638" i="19" s="1"/>
  <c r="K24" i="37" s="1"/>
  <c r="O24" i="37" s="1"/>
  <c r="H710" i="19"/>
  <c r="H712" i="19" s="1"/>
  <c r="K24" i="38" s="1"/>
  <c r="O24" i="38" s="1"/>
  <c r="Q231" i="19"/>
  <c r="P233" i="19" s="1"/>
  <c r="P234" i="19" s="1"/>
  <c r="A433" i="19"/>
  <c r="A501" i="19"/>
  <c r="H568" i="19"/>
  <c r="H570" i="19" s="1"/>
  <c r="K24" i="34" s="1"/>
  <c r="O24" i="34" s="1"/>
  <c r="K24" i="16"/>
  <c r="L73" i="19"/>
  <c r="A637" i="19"/>
  <c r="A785" i="19"/>
  <c r="A711" i="19"/>
  <c r="H432" i="19"/>
  <c r="H434" i="19" s="1"/>
  <c r="K24" i="27" s="1"/>
  <c r="O24" i="27" s="1"/>
  <c r="A569" i="19"/>
  <c r="H500" i="19"/>
  <c r="H502" i="19" s="1"/>
  <c r="K24" i="28" s="1"/>
  <c r="O24" i="28" s="1"/>
  <c r="F24" i="33"/>
  <c r="H25" i="33"/>
  <c r="A221" i="19"/>
  <c r="K22" i="16"/>
  <c r="O22" i="16" s="1"/>
  <c r="G25" i="33"/>
  <c r="E26" i="33"/>
  <c r="F26" i="33"/>
  <c r="F56" i="33" s="1"/>
  <c r="E810" i="19"/>
  <c r="H810" i="19" s="1"/>
  <c r="O27" i="40" s="1"/>
  <c r="O28" i="40" s="1"/>
  <c r="E458" i="19"/>
  <c r="H458" i="19" s="1"/>
  <c r="O27" i="27" s="1"/>
  <c r="I30" i="33"/>
  <c r="E30" i="33" s="1"/>
  <c r="E60" i="33" s="1"/>
  <c r="I60" i="33" s="1"/>
  <c r="O27" i="16"/>
  <c r="E662" i="19"/>
  <c r="H662" i="19" s="1"/>
  <c r="O27" i="37" s="1"/>
  <c r="O28" i="37" s="1"/>
  <c r="E594" i="19"/>
  <c r="H594" i="19" s="1"/>
  <c r="O27" i="34" s="1"/>
  <c r="E736" i="19"/>
  <c r="H736" i="19" s="1"/>
  <c r="O27" i="38" s="1"/>
  <c r="O28" i="38" s="1"/>
  <c r="E526" i="19"/>
  <c r="H526" i="19" s="1"/>
  <c r="O27" i="28" s="1"/>
  <c r="O28" i="34" l="1"/>
  <c r="O28" i="28"/>
  <c r="E851" i="19" s="1"/>
  <c r="E854" i="19" s="1"/>
  <c r="O28" i="27"/>
  <c r="E846" i="19" s="1"/>
  <c r="E849" i="19" s="1"/>
  <c r="A72" i="19"/>
  <c r="O23" i="16"/>
  <c r="O24" i="16" s="1"/>
  <c r="E56" i="33"/>
  <c r="I56" i="33" s="1"/>
  <c r="I26" i="33"/>
  <c r="G86" i="33"/>
  <c r="H55" i="33"/>
  <c r="H31" i="33"/>
  <c r="H61" i="33" s="1"/>
  <c r="E871" i="19"/>
  <c r="E874" i="19" s="1"/>
  <c r="I25" i="33"/>
  <c r="G55" i="33"/>
  <c r="I24" i="33"/>
  <c r="F54" i="33"/>
  <c r="I54" i="33" s="1"/>
  <c r="G85" i="33"/>
  <c r="F31" i="33"/>
  <c r="F61" i="33" s="1"/>
  <c r="C535" i="33"/>
  <c r="N235" i="19"/>
  <c r="B696" i="33"/>
  <c r="E804" i="33"/>
  <c r="E866" i="19"/>
  <c r="E869" i="19" s="1"/>
  <c r="E861" i="19"/>
  <c r="E864" i="19" s="1"/>
  <c r="E856" i="19" l="1"/>
  <c r="E859" i="19" s="1"/>
  <c r="A73" i="19"/>
  <c r="E80" i="19"/>
  <c r="F542" i="33"/>
  <c r="F79" i="19"/>
  <c r="D841" i="19"/>
  <c r="D844" i="19" s="1"/>
  <c r="I55" i="33"/>
  <c r="E86" i="33"/>
  <c r="H86" i="33"/>
  <c r="P235" i="19"/>
  <c r="P236" i="19"/>
  <c r="H85" i="33"/>
  <c r="E85" i="33"/>
  <c r="F85" i="33" s="1"/>
  <c r="C534" i="33"/>
  <c r="F82" i="19" l="1"/>
  <c r="F81" i="19" s="1"/>
  <c r="E79" i="19"/>
  <c r="G79" i="19" s="1"/>
  <c r="F80" i="19"/>
  <c r="G80" i="19" s="1"/>
  <c r="G131" i="19" s="1"/>
  <c r="F543" i="33"/>
  <c r="G543" i="33" s="1"/>
  <c r="A586" i="33" s="1"/>
  <c r="F86" i="33"/>
  <c r="G577" i="19" l="1"/>
  <c r="H577" i="19" s="1"/>
  <c r="G645" i="19"/>
  <c r="H645" i="19" s="1"/>
  <c r="G793" i="19"/>
  <c r="H793" i="19" s="1"/>
  <c r="G719" i="19"/>
  <c r="H719" i="19" s="1"/>
  <c r="G509" i="19"/>
  <c r="H509" i="19" s="1"/>
  <c r="G441" i="19"/>
  <c r="H441" i="19" s="1"/>
  <c r="F90" i="19"/>
  <c r="B545" i="33" s="1"/>
  <c r="G151" i="19"/>
  <c r="H151" i="19" s="1"/>
  <c r="H131" i="19"/>
  <c r="G137" i="19"/>
  <c r="G139" i="19" s="1"/>
  <c r="H137" i="19"/>
  <c r="H90" i="19" l="1"/>
  <c r="H95" i="19" s="1"/>
  <c r="E542" i="33" s="1"/>
  <c r="J138" i="19"/>
  <c r="H138" i="19"/>
  <c r="F134" i="19" s="1"/>
  <c r="A716" i="33"/>
  <c r="A656" i="33"/>
  <c r="E177" i="19"/>
  <c r="F177" i="19" s="1"/>
  <c r="G177" i="19" s="1"/>
  <c r="G178" i="19" s="1"/>
  <c r="Q93" i="19" l="1"/>
  <c r="Q109" i="19" s="1"/>
  <c r="Q113" i="19" s="1"/>
  <c r="N445" i="19" s="1"/>
  <c r="N513" i="19" s="1"/>
  <c r="H112" i="19"/>
  <c r="H113" i="19" s="1"/>
  <c r="H115" i="19" s="1"/>
  <c r="G542" i="33"/>
  <c r="B535" i="33" s="1"/>
  <c r="H134" i="19"/>
  <c r="H154" i="19" s="1"/>
  <c r="D727" i="33"/>
  <c r="A728" i="33" s="1"/>
  <c r="G220" i="19"/>
  <c r="A546" i="33" l="1"/>
  <c r="N581" i="19"/>
  <c r="N797" i="19"/>
  <c r="N723" i="19"/>
  <c r="N649" i="19"/>
  <c r="J116" i="19"/>
  <c r="K26" i="16"/>
  <c r="O26" i="16" s="1"/>
  <c r="A601" i="33" s="1"/>
  <c r="D29" i="33"/>
  <c r="N444" i="19"/>
  <c r="D28" i="33"/>
  <c r="F163" i="19"/>
  <c r="H163" i="19" s="1"/>
  <c r="A775" i="33"/>
  <c r="Q214" i="19"/>
  <c r="G37" i="33" s="1"/>
  <c r="G67" i="33" s="1"/>
  <c r="G221" i="19"/>
  <c r="G222" i="19" s="1"/>
  <c r="G223" i="19" s="1"/>
  <c r="G224" i="19" s="1"/>
  <c r="Q213" i="19"/>
  <c r="F161" i="19"/>
  <c r="A207" i="33" l="1"/>
  <c r="N648" i="19"/>
  <c r="N796" i="19"/>
  <c r="N580" i="19"/>
  <c r="N722" i="19"/>
  <c r="N512" i="19"/>
  <c r="G29" i="33"/>
  <c r="G59" i="33" s="1"/>
  <c r="E29" i="33"/>
  <c r="E28" i="33"/>
  <c r="G28" i="33"/>
  <c r="G58" i="33" s="1"/>
  <c r="O252" i="19"/>
  <c r="A115" i="19"/>
  <c r="F162" i="19"/>
  <c r="H162" i="19" s="1"/>
  <c r="A652" i="33" s="1"/>
  <c r="H161" i="19"/>
  <c r="G225" i="19"/>
  <c r="G226" i="19" s="1"/>
  <c r="J226" i="19"/>
  <c r="O219" i="19"/>
  <c r="M221" i="19" s="1"/>
  <c r="E58" i="33" l="1"/>
  <c r="I58" i="33" s="1"/>
  <c r="I28" i="33"/>
  <c r="E59" i="33"/>
  <c r="I59" i="33" s="1"/>
  <c r="I29" i="33"/>
  <c r="G229" i="19"/>
  <c r="G227" i="19"/>
  <c r="H164" i="19"/>
  <c r="H165" i="19" s="1"/>
  <c r="E459" i="19" l="1"/>
  <c r="H459" i="19" s="1"/>
  <c r="O29" i="27" s="1"/>
  <c r="E595" i="19"/>
  <c r="H595" i="19" s="1"/>
  <c r="O29" i="34" s="1"/>
  <c r="E811" i="19"/>
  <c r="H811" i="19" s="1"/>
  <c r="O29" i="40" s="1"/>
  <c r="E737" i="19"/>
  <c r="H737" i="19" s="1"/>
  <c r="O29" i="38" s="1"/>
  <c r="E663" i="19"/>
  <c r="H663" i="19" s="1"/>
  <c r="O29" i="37" s="1"/>
  <c r="E527" i="19"/>
  <c r="H527" i="19" s="1"/>
  <c r="O29" i="28" s="1"/>
  <c r="A675" i="33"/>
  <c r="A670" i="33" s="1"/>
  <c r="A648" i="33"/>
  <c r="A635" i="33" s="1"/>
  <c r="J168" i="19"/>
  <c r="H167" i="19"/>
  <c r="I37" i="33"/>
  <c r="E37" i="33" s="1"/>
  <c r="E67" i="33" s="1"/>
  <c r="I67" i="33" s="1"/>
  <c r="O29" i="16"/>
  <c r="F871" i="19" l="1"/>
  <c r="F866" i="19"/>
  <c r="F861" i="19"/>
  <c r="F856" i="19"/>
  <c r="F851" i="19"/>
  <c r="F846" i="19"/>
  <c r="F841" i="19"/>
  <c r="G535" i="33"/>
  <c r="G534" i="33" s="1"/>
  <c r="H804" i="33"/>
  <c r="H696" i="33"/>
  <c r="D696" i="33" s="1"/>
  <c r="N439" i="19"/>
  <c r="J167" i="19"/>
  <c r="K25" i="16"/>
  <c r="O25" i="16" s="1"/>
  <c r="D27" i="33"/>
  <c r="G27" i="33" s="1"/>
  <c r="C27" i="33"/>
  <c r="E27" i="33" s="1"/>
  <c r="C691" i="33" l="1"/>
  <c r="A167" i="19"/>
  <c r="O251" i="19"/>
  <c r="H251" i="19" s="1"/>
  <c r="F539" i="33" s="1"/>
  <c r="G539" i="33" s="1"/>
  <c r="O28" i="16"/>
  <c r="E82" i="19"/>
  <c r="A685" i="33"/>
  <c r="A226" i="33" s="1"/>
  <c r="N643" i="19"/>
  <c r="N575" i="19"/>
  <c r="N791" i="19"/>
  <c r="N717" i="19"/>
  <c r="N507" i="19"/>
  <c r="F696" i="33"/>
  <c r="C696" i="33" s="1"/>
  <c r="E31" i="33"/>
  <c r="E57" i="33"/>
  <c r="I27" i="33"/>
  <c r="G31" i="33"/>
  <c r="G57" i="33"/>
  <c r="E696" i="33" l="1"/>
  <c r="E61" i="33"/>
  <c r="E33" i="33"/>
  <c r="I31" i="33"/>
  <c r="G87" i="33"/>
  <c r="I57" i="33"/>
  <c r="G82" i="19"/>
  <c r="E81" i="19"/>
  <c r="G81" i="19" s="1"/>
  <c r="B805" i="33"/>
  <c r="H268" i="19"/>
  <c r="E841" i="19"/>
  <c r="E844" i="19" s="1"/>
  <c r="D535" i="33"/>
  <c r="D534" i="33" s="1"/>
  <c r="D692" i="33"/>
  <c r="M235" i="19"/>
  <c r="G33" i="33"/>
  <c r="G61" i="33"/>
  <c r="I61" i="33" l="1"/>
  <c r="H269" i="19"/>
  <c r="H270" i="19"/>
  <c r="G63" i="33"/>
  <c r="M238" i="19"/>
  <c r="Q235" i="19"/>
  <c r="Q236" i="19"/>
  <c r="S234" i="19"/>
  <c r="S235" i="19" s="1"/>
  <c r="E87" i="33"/>
  <c r="F87" i="33" s="1"/>
  <c r="H87" i="33"/>
  <c r="I33" i="33"/>
  <c r="E63" i="33"/>
  <c r="I63" i="33" l="1"/>
  <c r="H539" i="33"/>
  <c r="I539" i="33" s="1"/>
  <c r="D539" i="33" s="1"/>
  <c r="E539" i="33" s="1"/>
  <c r="A252" i="19"/>
  <c r="S236" i="19"/>
  <c r="M240" i="19" s="1"/>
  <c r="J243" i="19" s="1"/>
  <c r="H252" i="19"/>
  <c r="H274" i="19"/>
  <c r="H275" i="19" s="1"/>
  <c r="H276" i="19" s="1"/>
  <c r="H247" i="19" l="1"/>
  <c r="B537" i="33" s="1"/>
  <c r="E740" i="19"/>
  <c r="O32" i="16"/>
  <c r="E462" i="19"/>
  <c r="E814" i="19"/>
  <c r="E598" i="19"/>
  <c r="E530" i="19"/>
  <c r="E666" i="19"/>
  <c r="H277" i="19"/>
  <c r="F259" i="19"/>
  <c r="A856" i="33"/>
  <c r="A854" i="33" l="1"/>
  <c r="D257" i="19"/>
  <c r="D260" i="19" s="1"/>
  <c r="H598" i="19"/>
  <c r="O32" i="34" s="1"/>
  <c r="K32" i="34" s="1"/>
  <c r="K32" i="16"/>
  <c r="A277" i="19"/>
  <c r="A869" i="33"/>
  <c r="D873" i="33"/>
  <c r="J278" i="19"/>
  <c r="D36" i="33"/>
  <c r="H666" i="19"/>
  <c r="O32" i="37" s="1"/>
  <c r="K32" i="37" s="1"/>
  <c r="G259" i="19"/>
  <c r="H814" i="19"/>
  <c r="O32" i="40" s="1"/>
  <c r="K32" i="40" s="1"/>
  <c r="H530" i="19"/>
  <c r="O32" i="28" s="1"/>
  <c r="K32" i="28" s="1"/>
  <c r="H462" i="19"/>
  <c r="O32" i="27" s="1"/>
  <c r="K32" i="27" s="1"/>
  <c r="C537" i="33"/>
  <c r="C540" i="33" s="1"/>
  <c r="D537" i="33"/>
  <c r="D540" i="33" s="1"/>
  <c r="E537" i="33"/>
  <c r="E540" i="33" s="1"/>
  <c r="B540" i="33"/>
  <c r="H740" i="19"/>
  <c r="O32" i="38" s="1"/>
  <c r="K32" i="38" s="1"/>
  <c r="I814" i="19" l="1"/>
  <c r="E257" i="19"/>
  <c r="E260" i="19" s="1"/>
  <c r="I740" i="19"/>
  <c r="G540" i="33"/>
  <c r="I462" i="19"/>
  <c r="I666" i="19"/>
  <c r="I598" i="19"/>
  <c r="E36" i="33"/>
  <c r="G36" i="33"/>
  <c r="G66" i="33" s="1"/>
  <c r="I530" i="19"/>
  <c r="C104" i="17"/>
  <c r="D104" i="17" l="1"/>
  <c r="F257" i="19"/>
  <c r="G257" i="19" s="1"/>
  <c r="G260" i="19" s="1"/>
  <c r="I36" i="33"/>
  <c r="E66" i="33"/>
  <c r="I66" i="33" s="1"/>
  <c r="F260" i="19" l="1"/>
  <c r="H260" i="19" s="1"/>
  <c r="H261" i="19" s="1"/>
  <c r="H264" i="19" s="1"/>
  <c r="H265" i="19" s="1"/>
  <c r="I540" i="33" l="1"/>
  <c r="J256" i="19"/>
  <c r="E665" i="19"/>
  <c r="K31" i="16"/>
  <c r="C873" i="33"/>
  <c r="D35" i="33"/>
  <c r="A841" i="33"/>
  <c r="J265" i="19"/>
  <c r="H10" i="33" s="1"/>
  <c r="E813" i="19"/>
  <c r="E739" i="19"/>
  <c r="E529" i="19"/>
  <c r="E597" i="19"/>
  <c r="E461" i="19"/>
  <c r="D99" i="17"/>
  <c r="B99" i="17"/>
  <c r="B697" i="33" l="1"/>
  <c r="H813" i="19"/>
  <c r="K31" i="40" s="1"/>
  <c r="O31" i="40" s="1"/>
  <c r="H461" i="19"/>
  <c r="K31" i="27" s="1"/>
  <c r="O31" i="27" s="1"/>
  <c r="E35" i="33"/>
  <c r="G35" i="33"/>
  <c r="H597" i="19"/>
  <c r="K31" i="34" s="1"/>
  <c r="O31" i="34" s="1"/>
  <c r="H529" i="19"/>
  <c r="K31" i="28" s="1"/>
  <c r="O31" i="28" s="1"/>
  <c r="A832" i="33"/>
  <c r="O31" i="16"/>
  <c r="H739" i="19"/>
  <c r="K31" i="38" s="1"/>
  <c r="O31" i="38" s="1"/>
  <c r="H665" i="19"/>
  <c r="K31" i="37" s="1"/>
  <c r="O31" i="37" s="1"/>
  <c r="O33" i="40" l="1"/>
  <c r="O33" i="38"/>
  <c r="O33" i="37"/>
  <c r="O33" i="34"/>
  <c r="A708" i="33"/>
  <c r="A700" i="33" s="1"/>
  <c r="A252" i="33" s="1"/>
  <c r="G697" i="33"/>
  <c r="E697" i="33"/>
  <c r="I665" i="19"/>
  <c r="I597" i="19"/>
  <c r="I461" i="19"/>
  <c r="G65" i="33"/>
  <c r="A265" i="19"/>
  <c r="I529" i="19"/>
  <c r="E65" i="33"/>
  <c r="I35" i="33"/>
  <c r="I739" i="19"/>
  <c r="I813" i="19"/>
  <c r="H743" i="19" l="1"/>
  <c r="H669" i="19"/>
  <c r="H601" i="19"/>
  <c r="I65" i="33"/>
  <c r="M36" i="16" l="1"/>
  <c r="M39" i="16" l="1"/>
  <c r="B36" i="16"/>
  <c r="A346" i="19"/>
  <c r="A334" i="19"/>
  <c r="G842" i="19" l="1"/>
  <c r="C962" i="33"/>
  <c r="I43" i="16"/>
  <c r="E384" i="19"/>
  <c r="M44" i="16"/>
  <c r="O34" i="40" l="1"/>
  <c r="O34" i="38"/>
  <c r="O34" i="37"/>
  <c r="O34" i="34"/>
  <c r="G871" i="19" l="1"/>
  <c r="O39" i="40"/>
  <c r="G866" i="19"/>
  <c r="O39" i="38"/>
  <c r="G861" i="19"/>
  <c r="O39" i="37"/>
  <c r="G856" i="19"/>
  <c r="O39" i="34"/>
  <c r="O43" i="40" l="1"/>
  <c r="H872" i="19" s="1"/>
  <c r="N40" i="40"/>
  <c r="O43" i="38"/>
  <c r="H867" i="19" s="1"/>
  <c r="N40" i="38"/>
  <c r="N40" i="37"/>
  <c r="O43" i="37"/>
  <c r="H862" i="19" s="1"/>
  <c r="N40" i="34"/>
  <c r="O43" i="34"/>
  <c r="H857" i="19" s="1"/>
  <c r="O44" i="38" l="1"/>
  <c r="N45" i="38" s="1"/>
  <c r="H714" i="19" s="1"/>
  <c r="O44" i="40"/>
  <c r="N45" i="40" s="1"/>
  <c r="H826" i="19" s="1"/>
  <c r="O44" i="37"/>
  <c r="N45" i="37" s="1"/>
  <c r="O44" i="34"/>
  <c r="N45" i="34" s="1"/>
  <c r="H572" i="19" s="1"/>
  <c r="H752" i="19" l="1"/>
  <c r="H788" i="19"/>
  <c r="H610" i="19"/>
  <c r="G610" i="19" s="1"/>
  <c r="H678" i="19"/>
  <c r="G678" i="19" s="1"/>
  <c r="H640" i="19"/>
  <c r="B144" i="17"/>
  <c r="B151" i="17" l="1"/>
  <c r="H234" i="19" s="1"/>
  <c r="H236" i="19" s="1"/>
  <c r="E664" i="19" l="1"/>
  <c r="E738" i="19"/>
  <c r="E596" i="19"/>
  <c r="E812" i="19"/>
  <c r="E460" i="19"/>
  <c r="E528" i="19"/>
  <c r="D34" i="33"/>
  <c r="B873" i="33"/>
  <c r="K30" i="16"/>
  <c r="J260" i="19"/>
  <c r="H11" i="33" s="1"/>
  <c r="E34" i="33" l="1"/>
  <c r="G34" i="33"/>
  <c r="H528" i="19"/>
  <c r="K30" i="28" s="1"/>
  <c r="O30" i="28" s="1"/>
  <c r="H460" i="19"/>
  <c r="K30" i="27" s="1"/>
  <c r="O30" i="27" s="1"/>
  <c r="H812" i="19"/>
  <c r="K30" i="40" s="1"/>
  <c r="O30" i="40" s="1"/>
  <c r="F872" i="19" s="1"/>
  <c r="F873" i="19" s="1"/>
  <c r="H596" i="19"/>
  <c r="K30" i="34" s="1"/>
  <c r="O30" i="34" s="1"/>
  <c r="F857" i="19" s="1"/>
  <c r="F858" i="19" s="1"/>
  <c r="C875" i="33"/>
  <c r="E873" i="33"/>
  <c r="B874" i="33" s="1"/>
  <c r="H738" i="19"/>
  <c r="K30" i="38" s="1"/>
  <c r="O30" i="38" s="1"/>
  <c r="F867" i="19" s="1"/>
  <c r="F868" i="19" s="1"/>
  <c r="A812" i="33"/>
  <c r="O30" i="16"/>
  <c r="E535" i="33"/>
  <c r="H664" i="19"/>
  <c r="K30" i="37" s="1"/>
  <c r="O30" i="37" s="1"/>
  <c r="F862" i="19" s="1"/>
  <c r="F863" i="19" s="1"/>
  <c r="I596" i="19" l="1"/>
  <c r="I812" i="19"/>
  <c r="I738" i="19"/>
  <c r="F874" i="19"/>
  <c r="G873" i="19"/>
  <c r="F869" i="19"/>
  <c r="G868" i="19"/>
  <c r="I460" i="19"/>
  <c r="F847" i="19"/>
  <c r="F848" i="19" s="1"/>
  <c r="F849" i="19" s="1"/>
  <c r="O33" i="27"/>
  <c r="I664" i="19"/>
  <c r="C874" i="33"/>
  <c r="D874" i="33"/>
  <c r="I528" i="19"/>
  <c r="F864" i="19"/>
  <c r="G863" i="19"/>
  <c r="F852" i="19"/>
  <c r="F853" i="19" s="1"/>
  <c r="F854" i="19" s="1"/>
  <c r="O33" i="28"/>
  <c r="F535" i="33"/>
  <c r="H535" i="33" s="1"/>
  <c r="E534" i="33"/>
  <c r="F534" i="33" s="1"/>
  <c r="H534" i="33" s="1"/>
  <c r="G64" i="33"/>
  <c r="G38" i="33"/>
  <c r="A236" i="19"/>
  <c r="F873" i="33"/>
  <c r="A876" i="33" s="1"/>
  <c r="A280" i="33" s="1"/>
  <c r="F842" i="19"/>
  <c r="F843" i="19" s="1"/>
  <c r="F844" i="19" s="1"/>
  <c r="O33" i="16"/>
  <c r="F859" i="19"/>
  <c r="G858" i="19"/>
  <c r="I34" i="33"/>
  <c r="E64" i="33"/>
  <c r="E38" i="33"/>
  <c r="G88" i="33"/>
  <c r="I64" i="33" l="1"/>
  <c r="H281" i="19"/>
  <c r="E323" i="19"/>
  <c r="D382" i="19"/>
  <c r="D380" i="19"/>
  <c r="E380" i="19" s="1"/>
  <c r="H533" i="19"/>
  <c r="H465" i="19"/>
  <c r="G864" i="19"/>
  <c r="H863" i="19"/>
  <c r="H864" i="19" s="1"/>
  <c r="G869" i="19"/>
  <c r="H868" i="19"/>
  <c r="H869" i="19" s="1"/>
  <c r="G40" i="33"/>
  <c r="G70" i="33" s="1"/>
  <c r="G68" i="33"/>
  <c r="F111" i="33" s="1"/>
  <c r="G43" i="33"/>
  <c r="E40" i="33"/>
  <c r="E70" i="33" s="1"/>
  <c r="E68" i="33"/>
  <c r="I38" i="33"/>
  <c r="E43" i="33"/>
  <c r="G874" i="19"/>
  <c r="H873" i="19"/>
  <c r="H874" i="19" s="1"/>
  <c r="E88" i="33"/>
  <c r="F88" i="33" s="1"/>
  <c r="H88" i="33"/>
  <c r="G859" i="19"/>
  <c r="H858" i="19"/>
  <c r="H859" i="19" s="1"/>
  <c r="I534" i="33"/>
  <c r="G41" i="33" l="1"/>
  <c r="G44" i="33" s="1"/>
  <c r="G74" i="33" s="1"/>
  <c r="I68" i="33"/>
  <c r="G73" i="33"/>
  <c r="H337" i="19"/>
  <c r="H338" i="19"/>
  <c r="H336" i="19"/>
  <c r="I42" i="33"/>
  <c r="G91" i="33" s="1"/>
  <c r="E73" i="33"/>
  <c r="M420" i="19"/>
  <c r="E308" i="19"/>
  <c r="H290" i="19"/>
  <c r="A405" i="19"/>
  <c r="G89" i="33" l="1"/>
  <c r="E89" i="33" s="1"/>
  <c r="F89" i="33" s="1"/>
  <c r="G71" i="33"/>
  <c r="G46" i="33"/>
  <c r="G76" i="33" s="1"/>
  <c r="I72" i="33"/>
  <c r="F114" i="33" s="1"/>
  <c r="H91" i="33"/>
  <c r="E91" i="33"/>
  <c r="A950" i="33"/>
  <c r="H339" i="19"/>
  <c r="G291" i="19"/>
  <c r="H291" i="19"/>
  <c r="H301" i="19"/>
  <c r="G303" i="19" s="1"/>
  <c r="F302" i="19" s="1"/>
  <c r="C405" i="19"/>
  <c r="B405" i="19"/>
  <c r="A406" i="19"/>
  <c r="D405" i="19"/>
  <c r="H89" i="33" l="1"/>
  <c r="F304" i="19"/>
  <c r="F307" i="19" s="1"/>
  <c r="A898" i="33"/>
  <c r="G346" i="19"/>
  <c r="J336" i="19"/>
  <c r="A939" i="33"/>
  <c r="A340" i="19"/>
  <c r="M336" i="19"/>
  <c r="J340" i="19"/>
  <c r="A936" i="33"/>
  <c r="B406" i="19"/>
  <c r="B408" i="19" s="1"/>
  <c r="C406" i="19"/>
  <c r="C408" i="19" s="1"/>
  <c r="D406" i="19"/>
  <c r="D408" i="19" s="1"/>
  <c r="E408" i="19" l="1"/>
  <c r="B395" i="19" s="1"/>
  <c r="J357" i="19" s="1"/>
  <c r="B375" i="19" s="1"/>
  <c r="A357" i="19" s="1"/>
  <c r="A318" i="33"/>
  <c r="A957" i="33"/>
  <c r="D45" i="33"/>
  <c r="C965" i="33"/>
  <c r="J346" i="19"/>
  <c r="M43" i="16"/>
  <c r="D599" i="19"/>
  <c r="H599" i="19" s="1"/>
  <c r="M34" i="34" s="1"/>
  <c r="D531" i="19"/>
  <c r="H531" i="19" s="1"/>
  <c r="D815" i="19"/>
  <c r="H815" i="19" s="1"/>
  <c r="M34" i="40" s="1"/>
  <c r="D667" i="19"/>
  <c r="H667" i="19" s="1"/>
  <c r="M34" i="37" s="1"/>
  <c r="D741" i="19"/>
  <c r="H741" i="19" s="1"/>
  <c r="M34" i="38" s="1"/>
  <c r="D463" i="19"/>
  <c r="H463" i="19" s="1"/>
  <c r="F308" i="19"/>
  <c r="F359" i="19" l="1"/>
  <c r="M34" i="16"/>
  <c r="D39" i="33" s="1"/>
  <c r="E39" i="33"/>
  <c r="A884" i="33"/>
  <c r="H308" i="19"/>
  <c r="E385" i="19"/>
  <c r="E386" i="19" s="1"/>
  <c r="H346" i="19"/>
  <c r="C963" i="33"/>
  <c r="B1056" i="33"/>
  <c r="G45" i="33"/>
  <c r="E45" i="33"/>
  <c r="M34" i="27"/>
  <c r="O34" i="27"/>
  <c r="M34" i="28"/>
  <c r="O34" i="28"/>
  <c r="G851" i="19" l="1"/>
  <c r="G853" i="19" s="1"/>
  <c r="G854" i="19" s="1"/>
  <c r="O39" i="28"/>
  <c r="G846" i="19"/>
  <c r="G848" i="19" s="1"/>
  <c r="G849" i="19" s="1"/>
  <c r="O39" i="27"/>
  <c r="G308" i="19"/>
  <c r="J307" i="19" s="1"/>
  <c r="O34" i="16"/>
  <c r="A883" i="33"/>
  <c r="A890" i="33" s="1"/>
  <c r="G366" i="19"/>
  <c r="E75" i="33"/>
  <c r="I45" i="33"/>
  <c r="E47" i="33"/>
  <c r="E69" i="33"/>
  <c r="I69" i="33" s="1"/>
  <c r="F113" i="33" s="1"/>
  <c r="G90" i="33"/>
  <c r="I39" i="33"/>
  <c r="E41" i="33"/>
  <c r="C964" i="33"/>
  <c r="G75" i="33"/>
  <c r="G47" i="33"/>
  <c r="F1056" i="33"/>
  <c r="B1057" i="33"/>
  <c r="D1056" i="33"/>
  <c r="G1056" i="33"/>
  <c r="I1056" i="33"/>
  <c r="E1056" i="33"/>
  <c r="H1056" i="33"/>
  <c r="I75" i="33" l="1"/>
  <c r="G841" i="19"/>
  <c r="G843" i="19" s="1"/>
  <c r="G844" i="19" s="1"/>
  <c r="B383" i="19"/>
  <c r="D383" i="19" s="1"/>
  <c r="D384" i="19" s="1"/>
  <c r="U39" i="16"/>
  <c r="AA40" i="16" s="1"/>
  <c r="AA42" i="16" s="1"/>
  <c r="O39" i="16"/>
  <c r="W39" i="16"/>
  <c r="W43" i="16" s="1"/>
  <c r="W44" i="16" s="1"/>
  <c r="A309" i="19"/>
  <c r="H12" i="33"/>
  <c r="A14" i="33" s="1"/>
  <c r="A137" i="33" s="1"/>
  <c r="A902" i="33"/>
  <c r="A305" i="33" s="1"/>
  <c r="N40" i="27"/>
  <c r="O43" i="27"/>
  <c r="H847" i="19" s="1"/>
  <c r="H848" i="19" s="1"/>
  <c r="H849" i="19" s="1"/>
  <c r="E90" i="33"/>
  <c r="F90" i="33" s="1"/>
  <c r="F91" i="33" s="1"/>
  <c r="H90" i="33"/>
  <c r="G77" i="33"/>
  <c r="G48" i="33"/>
  <c r="G78" i="33" s="1"/>
  <c r="I47" i="33"/>
  <c r="E77" i="33"/>
  <c r="I41" i="33"/>
  <c r="E71" i="33"/>
  <c r="E44" i="33"/>
  <c r="O43" i="28"/>
  <c r="H852" i="19" s="1"/>
  <c r="H853" i="19" s="1"/>
  <c r="H854" i="19" s="1"/>
  <c r="N40" i="28"/>
  <c r="H1057" i="33"/>
  <c r="H1058" i="33" s="1"/>
  <c r="G1057" i="33"/>
  <c r="G1058" i="33" s="1"/>
  <c r="F1057" i="33"/>
  <c r="F1058" i="33" s="1"/>
  <c r="I1057" i="33"/>
  <c r="I1058" i="33" s="1"/>
  <c r="D1057" i="33"/>
  <c r="E1057" i="33"/>
  <c r="E1058" i="33" s="1"/>
  <c r="O44" i="28" l="1"/>
  <c r="N45" i="28" s="1"/>
  <c r="H504" i="19" s="1"/>
  <c r="O44" i="27"/>
  <c r="N45" i="27" s="1"/>
  <c r="H474" i="19" s="1"/>
  <c r="G474" i="19" s="1"/>
  <c r="A1060" i="33"/>
  <c r="E46" i="33"/>
  <c r="E74" i="33"/>
  <c r="I74" i="33" s="1"/>
  <c r="F115" i="33" s="1"/>
  <c r="I44" i="33"/>
  <c r="G92" i="33" s="1"/>
  <c r="X39" i="16"/>
  <c r="B806" i="33"/>
  <c r="C806" i="33" s="1"/>
  <c r="E806" i="33" s="1"/>
  <c r="B1038" i="33"/>
  <c r="O43" i="16"/>
  <c r="O44" i="16" s="1"/>
  <c r="U43" i="16"/>
  <c r="D693" i="33"/>
  <c r="E693" i="33" s="1"/>
  <c r="G693" i="33" s="1"/>
  <c r="B962" i="33"/>
  <c r="U40" i="16"/>
  <c r="O412" i="19"/>
  <c r="Q412" i="19" s="1"/>
  <c r="D393" i="19"/>
  <c r="E393" i="19" s="1"/>
  <c r="H542" i="19"/>
  <c r="G542" i="19" s="1"/>
  <c r="F384" i="19"/>
  <c r="D385" i="19"/>
  <c r="F385" i="19" s="1"/>
  <c r="I71" i="33"/>
  <c r="F112" i="33"/>
  <c r="I77" i="33"/>
  <c r="H436" i="19" l="1"/>
  <c r="G116" i="33"/>
  <c r="A947" i="33"/>
  <c r="A330" i="33" s="1"/>
  <c r="B963" i="33"/>
  <c r="H345" i="19"/>
  <c r="H842" i="19"/>
  <c r="H843" i="19" s="1"/>
  <c r="H844" i="19" s="1"/>
  <c r="U44" i="16"/>
  <c r="F1038" i="33"/>
  <c r="D1038" i="33"/>
  <c r="E1038" i="33"/>
  <c r="H1038" i="33"/>
  <c r="I1038" i="33"/>
  <c r="G1038" i="33"/>
  <c r="B1039" i="33"/>
  <c r="M40" i="16"/>
  <c r="F962" i="33" s="1"/>
  <c r="U45" i="16"/>
  <c r="D694" i="33"/>
  <c r="E694" i="33" s="1"/>
  <c r="G694" i="33" s="1"/>
  <c r="B807" i="33"/>
  <c r="C807" i="33" s="1"/>
  <c r="E807" i="33" s="1"/>
  <c r="O413" i="19"/>
  <c r="Q413" i="19" s="1"/>
  <c r="Z40" i="16"/>
  <c r="Z42" i="16" s="1"/>
  <c r="Y42" i="16"/>
  <c r="X44" i="16"/>
  <c r="M45" i="16" s="1"/>
  <c r="F964" i="33" s="1"/>
  <c r="D962" i="33"/>
  <c r="A970" i="33"/>
  <c r="H92" i="33"/>
  <c r="H93" i="33" s="1"/>
  <c r="E92" i="33"/>
  <c r="F92" i="33" s="1"/>
  <c r="G93" i="33"/>
  <c r="D386" i="19"/>
  <c r="F386" i="19" s="1"/>
  <c r="I46" i="33"/>
  <c r="E76" i="33"/>
  <c r="I76" i="33" s="1"/>
  <c r="E48" i="33"/>
  <c r="N40" i="16" l="1"/>
  <c r="K1001" i="33" s="1"/>
  <c r="I48" i="33"/>
  <c r="E78" i="33"/>
  <c r="I78" i="33" s="1"/>
  <c r="I79" i="33" s="1"/>
  <c r="E49" i="33"/>
  <c r="I50" i="33"/>
  <c r="AA45" i="16"/>
  <c r="AA47" i="16" s="1"/>
  <c r="AA48" i="16" s="1"/>
  <c r="Y47" i="16"/>
  <c r="Z45" i="16"/>
  <c r="Z47" i="16" s="1"/>
  <c r="Z48" i="16" s="1"/>
  <c r="F390" i="19"/>
  <c r="I1039" i="33"/>
  <c r="I1040" i="33" s="1"/>
  <c r="H1039" i="33"/>
  <c r="H1040" i="33" s="1"/>
  <c r="E1039" i="33"/>
  <c r="E1040" i="33" s="1"/>
  <c r="G1039" i="33"/>
  <c r="G1040" i="33" s="1"/>
  <c r="F1039" i="33"/>
  <c r="F1040" i="33" s="1"/>
  <c r="D1039" i="33"/>
  <c r="G117" i="33"/>
  <c r="G110" i="33"/>
  <c r="B964" i="33"/>
  <c r="A972" i="33" s="1"/>
  <c r="D963" i="33"/>
  <c r="D965" i="33" s="1"/>
  <c r="A971" i="33" l="1"/>
  <c r="E409" i="19"/>
  <c r="A999" i="33"/>
  <c r="N45" i="16"/>
  <c r="Y48" i="16"/>
  <c r="G350" i="19" s="1"/>
  <c r="A992" i="33" s="1"/>
  <c r="E50" i="33"/>
  <c r="I49" i="33"/>
  <c r="A1042" i="33"/>
  <c r="A369" i="33" s="1"/>
  <c r="H110" i="33"/>
  <c r="H116" i="33"/>
  <c r="H117" i="33"/>
  <c r="A344" i="33" l="1"/>
  <c r="R22" i="20"/>
  <c r="N21" i="32" s="1"/>
  <c r="E410" i="19"/>
  <c r="A19" i="33" l="1"/>
  <c r="A139" i="33" s="1"/>
  <c r="A74" i="19"/>
  <c r="A341" i="19" l="1"/>
  <c r="A278" i="19"/>
  <c r="A168" i="19"/>
  <c r="A310" i="19"/>
  <c r="A230" i="19"/>
  <c r="A367" i="19"/>
  <c r="A347" i="19"/>
  <c r="A11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E6.a und E6.b sowie ohne Wert E1.a (Ermittlung Regiepreis ohne Zulagen).</t>
        </r>
      </text>
    </comment>
    <comment ref="H229" authorId="0" shapeId="0" xr:uid="{71EB4AEC-CAE9-4BDA-9939-5A23C9EAAA0E}">
      <text>
        <r>
          <rPr>
            <sz val="9"/>
            <color indexed="81"/>
            <rFont val="Segoe UI"/>
            <family val="2"/>
          </rPr>
          <t>Wert bereinigt um allf. Zuschläge gem E6.a und E6.b.</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<sst xmlns="http://schemas.openxmlformats.org/spreadsheetml/2006/main" count="2379" uniqueCount="1139">
  <si>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</si>
  <si>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</si>
  <si>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</si>
  <si>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</si>
  <si>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</si>
  <si>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</si>
  <si>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</si>
  <si>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</si>
  <si>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</si>
  <si>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</si>
  <si>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</si>
  <si>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</si>
  <si>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</si>
  <si>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</si>
  <si>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</si>
  <si>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</si>
  <si>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</si>
  <si>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</si>
  <si>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</si>
  <si>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</si>
  <si>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</si>
  <si>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</si>
  <si>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</si>
  <si>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</si>
  <si>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</si>
  <si>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</si>
  <si>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</si>
  <si>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</si>
  <si>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</si>
  <si>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</si>
  <si>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</si>
  <si>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</si>
  <si>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</si>
  <si>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</si>
  <si>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</si>
  <si>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</si>
  <si>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</si>
  <si>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</si>
  <si>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</si>
  <si>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</si>
  <si>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</si>
  <si>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</si>
  <si>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</si>
  <si>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</si>
  <si>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</si>
  <si>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</si>
  <si>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</si>
  <si>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</si>
  <si>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</si>
  <si>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</si>
  <si>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</si>
  <si>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</si>
  <si>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</si>
  <si>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</si>
  <si>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</si>
  <si>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</si>
  <si>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</si>
  <si>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</si>
  <si>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</si>
  <si>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</si>
  <si>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</si>
  <si>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</si>
  <si>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</si>
  <si>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</si>
  <si>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</si>
  <si>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</si>
  <si>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</si>
  <si>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</si>
  <si>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</si>
  <si>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</si>
  <si>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</si>
  <si>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</si>
  <si>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</si>
  <si>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</si>
  <si>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</si>
  <si>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</si>
  <si>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</si>
  <si>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</si>
  <si>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</si>
  <si>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</si>
  <si>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</si>
  <si>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</si>
  <si>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</si>
  <si>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</si>
  <si>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</si>
  <si>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</si>
  <si>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</si>
  <si>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</si>
  <si>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</si>
  <si>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</si>
  <si>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</si>
  <si>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</si>
  <si>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</si>
  <si>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</si>
  <si>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</si>
  <si>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</si>
  <si>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</si>
  <si>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</si>
  <si>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</si>
  <si>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</si>
  <si>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</si>
  <si>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</si>
  <si>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</si>
  <si>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</si>
  <si>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</si>
  <si>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</si>
  <si>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</si>
  <si>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</si>
  <si>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</si>
  <si>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</si>
  <si>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</si>
  <si>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</si>
  <si>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</si>
  <si>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</si>
  <si>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</si>
  <si>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</si>
  <si>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</si>
  <si>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</si>
  <si>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</si>
  <si>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</si>
  <si>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</si>
  <si>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</si>
  <si>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</si>
  <si>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</si>
  <si>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</si>
  <si>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</si>
  <si>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</si>
  <si>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</si>
  <si>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</si>
  <si>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</si>
  <si>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</si>
  <si>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</si>
  <si>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</si>
  <si>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</si>
  <si>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</si>
  <si>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</si>
  <si>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</si>
  <si>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</si>
  <si>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</si>
  <si>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</si>
  <si>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</si>
  <si>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</si>
  <si>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</si>
  <si>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</si>
  <si>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</si>
  <si>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</si>
  <si>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</si>
  <si>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</si>
  <si>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</si>
  <si>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</si>
  <si>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</si>
  <si>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</si>
  <si>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</si>
  <si>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</si>
  <si>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</si>
  <si>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</si>
  <si>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</si>
  <si>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</si>
  <si>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</si>
  <si>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</si>
  <si>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</si>
  <si>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</si>
  <si>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</si>
  <si>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</si>
  <si>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</si>
  <si>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</si>
  <si>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</si>
  <si>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</si>
  <si>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</si>
  <si>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</si>
  <si>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</si>
  <si>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</si>
  <si>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</si>
  <si>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</si>
  <si>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</si>
  <si>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</si>
  <si>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</si>
  <si>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</si>
  <si>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</si>
  <si>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</si>
  <si>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</si>
  <si>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</si>
  <si>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</si>
  <si>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</si>
  <si>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</si>
  <si>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</si>
  <si>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</si>
  <si>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</si>
  <si>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</si>
  <si>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</si>
  <si>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</si>
  <si>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</si>
  <si>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</si>
  <si>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</si>
  <si>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</si>
  <si>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</si>
  <si>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</si>
  <si>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</si>
  <si>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</si>
  <si>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</si>
  <si>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</si>
  <si>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</si>
  <si>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</si>
  <si>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</si>
  <si>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</si>
  <si>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</si>
  <si>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</si>
  <si>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</si>
  <si>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</si>
  <si>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</si>
  <si>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</si>
  <si>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</si>
  <si>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</si>
  <si>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</si>
  <si>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</si>
  <si>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</si>
  <si>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</si>
  <si>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</si>
  <si>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</si>
  <si>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</si>
  <si>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</si>
  <si>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</si>
  <si>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</si>
  <si>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</si>
  <si>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</si>
  <si>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</si>
  <si>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</si>
  <si>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</si>
  <si>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</si>
  <si>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</si>
  <si>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</si>
  <si>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</si>
  <si>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</si>
  <si>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</si>
  <si>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</si>
  <si>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</si>
  <si>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</si>
  <si>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</si>
  <si>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</si>
  <si>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</si>
  <si>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</si>
  <si>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</si>
  <si>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</si>
  <si>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</si>
  <si>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</si>
  <si>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</si>
  <si>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</si>
  <si>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</si>
  <si>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</si>
  <si>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</si>
  <si>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</si>
  <si>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</si>
  <si>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</si>
  <si>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</si>
  <si>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</si>
  <si>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</si>
  <si>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</si>
  <si>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</si>
  <si>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</si>
  <si>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</si>
  <si>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</si>
  <si>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</si>
  <si>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</si>
  <si>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</si>
  <si>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</si>
  <si>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</si>
  <si>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</si>
  <si>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</si>
  <si>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</si>
  <si>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</si>
  <si>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</si>
  <si>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</si>
  <si>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</si>
  <si>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</si>
  <si>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</si>
  <si>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</si>
  <si>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</si>
  <si>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</si>
  <si>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</si>
  <si>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</si>
  <si>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</si>
  <si>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</si>
  <si>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</si>
  <si>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</si>
  <si>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</si>
  <si>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</si>
  <si>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</si>
  <si>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</si>
  <si>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</si>
  <si>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</si>
  <si>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</si>
  <si>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</si>
  <si>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</si>
  <si>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</si>
  <si>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</si>
  <si>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</si>
  <si>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</si>
  <si>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</si>
  <si>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</si>
  <si>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</si>
  <si>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</si>
  <si>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</si>
  <si>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</si>
  <si>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</si>
  <si>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</si>
  <si>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</si>
  <si>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</si>
  <si>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</si>
  <si>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</si>
  <si>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</si>
  <si>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</si>
  <si>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</si>
  <si>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</si>
  <si>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</si>
  <si>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</si>
  <si>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</si>
  <si>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</si>
  <si>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</si>
  <si>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</si>
  <si>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</si>
  <si>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</si>
  <si>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</si>
  <si>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</si>
  <si>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</si>
  <si>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</si>
  <si>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</si>
  <si>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</si>
  <si>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</si>
  <si>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</si>
  <si>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</si>
  <si>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</si>
  <si>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</si>
  <si>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</si>
  <si>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</si>
  <si>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</si>
  <si>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</si>
  <si>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</si>
  <si>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</si>
  <si>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</si>
  <si>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</si>
  <si>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</si>
  <si>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</si>
  <si>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</si>
  <si>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</si>
  <si>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</si>
  <si>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</si>
  <si>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</si>
  <si>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</si>
  <si>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</si>
  <si>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</si>
  <si>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</si>
  <si>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</si>
  <si>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</si>
  <si>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</si>
  <si>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</si>
  <si>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</si>
  <si>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</si>
  <si>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</si>
  <si>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</si>
  <si>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</si>
  <si>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</si>
  <si>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</si>
  <si>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</si>
  <si>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</si>
  <si>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</si>
  <si>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</si>
  <si>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</si>
  <si>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</si>
  <si>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</si>
  <si>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</si>
  <si>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</si>
  <si>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</si>
  <si>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</si>
  <si>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</si>
  <si>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</si>
  <si>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</si>
  <si>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</si>
  <si>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</si>
  <si>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</si>
  <si>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</si>
  <si>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</si>
  <si>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</si>
  <si>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</si>
  <si>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</si>
  <si>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</si>
  <si>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</si>
  <si>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</si>
  <si>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</si>
  <si>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</si>
  <si>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</si>
  <si>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</si>
  <si>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</si>
  <si>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</si>
  <si>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</si>
  <si>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</si>
  <si>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</si>
  <si>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</si>
  <si>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</si>
  <si>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</si>
  <si>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</si>
  <si>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</si>
  <si>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</si>
  <si>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</si>
  <si>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</si>
  <si>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</si>
  <si>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</si>
  <si>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</si>
  <si>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</si>
  <si>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</si>
  <si>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</si>
  <si>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</si>
  <si>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</si>
  <si>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</si>
  <si>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</si>
  <si>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</si>
  <si>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</si>
  <si>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</si>
  <si>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</si>
  <si>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</si>
  <si>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</si>
  <si>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</si>
  <si>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</si>
  <si>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</si>
  <si>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</si>
  <si>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</si>
  <si>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</si>
  <si>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</si>
  <si>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</si>
  <si>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</si>
  <si>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</si>
  <si>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</si>
  <si>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</si>
  <si>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</si>
  <si>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</si>
  <si>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</si>
  <si>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</si>
  <si>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</si>
  <si>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</si>
  <si>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</si>
  <si>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</si>
  <si>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</si>
  <si>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</si>
  <si>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</si>
  <si>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</si>
  <si>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</si>
  <si>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</si>
  <si>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</si>
  <si>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</si>
  <si>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</si>
  <si>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</si>
  <si>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</si>
  <si>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</si>
  <si>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</si>
  <si>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</si>
  <si>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</si>
  <si>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</si>
  <si>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</si>
  <si>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</si>
  <si>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</si>
  <si>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</si>
  <si>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</si>
  <si>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</si>
  <si>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</si>
  <si>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</si>
  <si>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</si>
  <si>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</si>
  <si>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</si>
  <si>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</si>
  <si>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</si>
  <si>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</si>
  <si>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</si>
  <si>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</si>
  <si>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</si>
  <si>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</si>
  <si>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</si>
  <si>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</si>
  <si>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</si>
  <si>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</si>
  <si>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</si>
  <si>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</si>
  <si>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</si>
  <si>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</si>
  <si>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</si>
  <si>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</si>
  <si>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</si>
  <si>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</si>
  <si>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</si>
  <si>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</si>
  <si>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</si>
  <si>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</si>
  <si>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</si>
  <si>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</si>
  <si>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</si>
  <si>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</si>
  <si>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</si>
  <si>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</si>
  <si>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</si>
  <si>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</si>
  <si>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</si>
  <si>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</si>
  <si>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</si>
  <si>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</si>
  <si>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</si>
  <si>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</si>
  <si>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</si>
  <si>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</si>
  <si>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</si>
  <si>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</si>
  <si>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</si>
  <si>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</si>
  <si>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</si>
  <si>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</si>
  <si>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</si>
  <si>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</si>
  <si>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</si>
  <si>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</si>
  <si>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</si>
  <si>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</si>
  <si>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</si>
  <si>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</si>
  <si>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</si>
  <si>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</si>
  <si>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</si>
  <si>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</si>
  <si>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</si>
  <si>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</si>
  <si>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</si>
  <si>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</si>
  <si>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</si>
  <si>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</si>
  <si>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</si>
  <si>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</si>
  <si>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</si>
  <si>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</si>
  <si>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</si>
  <si>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</si>
  <si>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</si>
  <si>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</si>
  <si>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</si>
  <si>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</si>
  <si>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</si>
  <si>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</si>
  <si>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</si>
  <si>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</si>
  <si>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</si>
  <si>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</si>
  <si>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</si>
  <si>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</si>
  <si>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</si>
  <si>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</si>
  <si>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</si>
  <si>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</si>
  <si>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</si>
  <si>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</si>
  <si>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</si>
  <si>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</si>
  <si>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</si>
  <si>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</si>
  <si>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</si>
  <si>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</si>
  <si>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</si>
  <si>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</si>
  <si>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</si>
  <si>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</si>
  <si>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</si>
  <si>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</si>
  <si>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</si>
  <si>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</si>
  <si>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</si>
  <si>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</si>
  <si>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</si>
  <si>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</si>
  <si>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</si>
  <si>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</si>
  <si>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</si>
  <si>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</si>
  <si>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</si>
  <si>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</si>
  <si>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</si>
  <si>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</si>
  <si>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</si>
  <si>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</si>
  <si>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</si>
  <si>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</si>
  <si>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</si>
  <si>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</si>
  <si>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</si>
  <si>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</si>
  <si>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</si>
  <si>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</si>
  <si>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</si>
  <si>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</si>
  <si>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</si>
  <si>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</si>
  <si>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</si>
  <si>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</si>
  <si>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</si>
  <si>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</si>
  <si>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</si>
  <si>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</si>
  <si>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</si>
  <si>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</si>
  <si>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</si>
  <si>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</si>
  <si>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</si>
  <si>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</si>
  <si>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</si>
  <si>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</si>
  <si>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</si>
  <si>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</si>
  <si>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</si>
  <si>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</si>
  <si>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</si>
  <si>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</si>
  <si>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</si>
  <si>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</si>
  <si>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</si>
  <si>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</si>
  <si>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</si>
  <si>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</si>
  <si>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</si>
  <si>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</si>
  <si>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</si>
  <si>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</si>
  <si>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</si>
  <si>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</si>
  <si>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</si>
  <si>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</si>
  <si>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</si>
  <si>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</si>
  <si>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</si>
  <si>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</si>
  <si>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</si>
  <si>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</si>
  <si>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</si>
  <si>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</si>
  <si>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</si>
  <si>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</si>
  <si>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</si>
  <si>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</si>
  <si>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</si>
  <si>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</si>
  <si>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</si>
  <si>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</si>
  <si>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</si>
  <si>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</si>
  <si>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</si>
  <si>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</si>
  <si>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</si>
  <si>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</si>
  <si>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</si>
  <si>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</si>
  <si>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</si>
  <si>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</si>
  <si>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</si>
  <si>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</si>
  <si>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</si>
  <si>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</si>
  <si>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</si>
  <si>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</si>
  <si>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</si>
  <si>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</si>
  <si>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</si>
  <si>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</si>
  <si>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</si>
  <si>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</si>
  <si>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</si>
  <si>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</si>
  <si>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</si>
  <si>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</si>
  <si>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</si>
  <si>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</si>
  <si>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</si>
  <si>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</si>
  <si>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</si>
  <si>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</si>
  <si>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</si>
  <si>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</si>
  <si>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</si>
  <si>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</si>
  <si>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</si>
  <si>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</si>
  <si>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</si>
  <si>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</si>
  <si>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</si>
  <si>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</si>
  <si>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</si>
  <si>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</si>
  <si>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</si>
  <si>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</si>
  <si>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</si>
  <si>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</si>
  <si>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</si>
  <si>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</si>
  <si>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</si>
  <si>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</si>
  <si>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</si>
  <si>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</si>
  <si>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</si>
  <si>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</si>
  <si>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</si>
  <si>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</si>
  <si>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</si>
  <si>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</si>
  <si>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</si>
  <si>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</si>
  <si>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</si>
  <si>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</si>
  <si>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</si>
  <si>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</si>
  <si>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</si>
  <si>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</si>
  <si>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</si>
  <si>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</si>
  <si>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</si>
  <si>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</si>
  <si>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</si>
  <si>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</si>
  <si>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</si>
  <si>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</si>
  <si>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</si>
  <si>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</si>
  <si>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</si>
  <si>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</si>
  <si>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</si>
  <si>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</si>
  <si>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</si>
  <si>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</si>
  <si>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</si>
  <si>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</si>
  <si>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</si>
  <si>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</si>
  <si>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</si>
  <si>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</si>
  <si>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</si>
  <si>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</si>
  <si>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</si>
  <si>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</si>
  <si>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</si>
  <si>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</si>
  <si>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</si>
  <si>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</si>
  <si>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</si>
  <si>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</si>
  <si>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</si>
  <si>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</si>
  <si>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</si>
  <si>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</si>
  <si>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</si>
  <si>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</si>
  <si>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</si>
  <si>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</si>
  <si>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</si>
  <si>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</si>
  <si>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</si>
  <si>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</si>
  <si>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</si>
  <si>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</si>
  <si>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</si>
  <si>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</si>
  <si>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</si>
  <si>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</si>
  <si>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</si>
  <si>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</si>
  <si>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</si>
  <si>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</si>
  <si>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</si>
  <si>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</si>
  <si>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</si>
  <si>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</si>
  <si>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</si>
  <si>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</si>
  <si>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</si>
  <si>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</si>
  <si>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</si>
  <si>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</si>
  <si>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</si>
  <si>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</si>
  <si>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</si>
  <si>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</si>
  <si>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</si>
  <si>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</si>
  <si>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</si>
  <si>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</si>
  <si>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</si>
  <si>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</si>
  <si>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</si>
  <si>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</si>
  <si>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</si>
  <si>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</si>
  <si>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</si>
  <si>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</si>
  <si>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</si>
  <si>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</si>
  <si>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</si>
  <si>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</si>
  <si>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</si>
  <si>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</si>
  <si>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</si>
  <si>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</si>
  <si>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</si>
  <si>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</si>
  <si>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</si>
  <si>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</si>
  <si>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</si>
  <si>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</si>
  <si>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</si>
  <si>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</si>
  <si>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</si>
  <si>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</si>
  <si>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</si>
  <si>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</si>
  <si>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</si>
  <si>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</si>
  <si>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</si>
  <si>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</si>
  <si>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</si>
  <si>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</si>
  <si>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</si>
  <si>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</si>
  <si>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</si>
  <si>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</si>
  <si>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</si>
  <si>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</si>
  <si>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</si>
  <si>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</si>
  <si>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</si>
  <si>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</si>
  <si>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</si>
  <si>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</si>
  <si>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</si>
  <si>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</si>
  <si>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</si>
  <si>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</si>
  <si>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</si>
  <si>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</si>
  <si>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</si>
  <si>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</si>
  <si>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</si>
  <si>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</si>
  <si>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</si>
  <si>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</si>
  <si>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</si>
  <si>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</si>
  <si>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</si>
  <si>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</si>
  <si>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</si>
  <si>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</si>
  <si>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</si>
  <si>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</si>
  <si>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</si>
  <si>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</si>
  <si>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</si>
  <si>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</si>
  <si>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</si>
  <si>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</si>
  <si>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</si>
  <si>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</si>
  <si>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</si>
  <si>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</si>
  <si>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</si>
  <si>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</si>
  <si>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</si>
  <si>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</si>
  <si>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</si>
  <si>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</si>
  <si>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</si>
  <si>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</si>
  <si>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</si>
  <si>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</si>
  <si>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</si>
  <si>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</si>
  <si>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</si>
  <si>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</si>
  <si>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</si>
  <si>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</si>
  <si>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</si>
  <si>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</si>
  <si>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</si>
  <si>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</si>
  <si>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</si>
  <si>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</si>
  <si>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</si>
  <si>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</si>
  <si>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</si>
  <si>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</si>
  <si>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</si>
  <si>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</si>
  <si>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</si>
  <si>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</si>
  <si>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</si>
  <si>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</si>
  <si>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</si>
  <si>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</si>
  <si>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</si>
  <si>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</si>
  <si>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</si>
  <si>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</si>
  <si>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</si>
  <si>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</si>
  <si>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</si>
  <si>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</si>
  <si>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</si>
  <si>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</si>
  <si>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</si>
  <si>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</si>
  <si>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</si>
  <si>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</si>
  <si>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</si>
  <si>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</si>
  <si>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</si>
  <si>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</si>
  <si>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</si>
  <si>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</si>
  <si>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</si>
  <si>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</si>
  <si>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</si>
  <si>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</si>
  <si>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</si>
  <si>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</si>
  <si>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</si>
  <si>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</si>
  <si>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</si>
  <si>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</si>
  <si>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</si>
  <si>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</si>
  <si>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</si>
  <si>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</si>
  <si>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</si>
  <si>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</si>
  <si>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</si>
  <si>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</si>
  <si>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</si>
  <si>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</si>
  <si>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</si>
  <si>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</si>
  <si>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</si>
  <si>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</si>
  <si>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</si>
  <si>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</si>
  <si>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</si>
  <si>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</si>
  <si>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</si>
  <si>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</si>
  <si>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</si>
  <si>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</si>
  <si>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</si>
  <si>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</si>
  <si>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</si>
  <si>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</si>
  <si>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</si>
  <si>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</si>
  <si>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</si>
  <si>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</si>
  <si>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</si>
  <si>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</si>
  <si>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</si>
  <si>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</si>
  <si>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</si>
  <si>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</si>
  <si>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</si>
  <si>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</si>
  <si>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</si>
  <si>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</si>
  <si>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</si>
  <si>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</si>
  <si>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</si>
  <si>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</si>
  <si>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</si>
  <si>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</si>
  <si>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</si>
  <si>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</si>
  <si>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</si>
  <si>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</si>
  <si>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</si>
  <si>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</si>
  <si>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</si>
  <si>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</si>
  <si>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</si>
  <si>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</si>
  <si>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</si>
  <si>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</si>
  <si>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</si>
  <si>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</si>
  <si>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</si>
  <si>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</si>
  <si>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</si>
  <si>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</si>
  <si>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</si>
  <si>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</si>
  <si>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</si>
  <si>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</si>
  <si>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</si>
  <si>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</si>
  <si>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</si>
  <si>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</si>
  <si>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</si>
  <si>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</si>
  <si>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</si>
  <si>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</si>
  <si>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</si>
  <si>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</si>
  <si>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</si>
  <si>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</si>
  <si>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</si>
  <si>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</si>
  <si>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</si>
  <si>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</si>
  <si>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</si>
  <si>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</si>
  <si>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</si>
  <si>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</si>
  <si>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</si>
  <si>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</si>
  <si>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</si>
  <si>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</si>
  <si>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</si>
  <si>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</si>
  <si>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</si>
  <si>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</si>
  <si>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</si>
  <si>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</si>
  <si>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</si>
  <si>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</si>
  <si>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</si>
  <si>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</si>
  <si>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</si>
  <si>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</si>
  <si>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</si>
  <si>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</si>
  <si>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</si>
  <si>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</si>
  <si>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</si>
  <si>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</si>
  <si>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</si>
  <si>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</si>
  <si>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</si>
  <si>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</si>
  <si>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</si>
  <si>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</si>
  <si>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</si>
  <si>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t>G4.a1)</t>
  </si>
  <si>
    <t>G4.a2)</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</si>
  <si>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</si>
  <si>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</si>
  <si>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</si>
  <si>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</si>
  <si>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</si>
  <si>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</si>
  <si>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</si>
  <si>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</si>
  <si>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</si>
  <si>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</si>
  <si>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</si>
  <si>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</si>
  <si>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</si>
  <si>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</si>
  <si>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</si>
  <si>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</si>
  <si>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</si>
  <si>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</si>
  <si>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</si>
  <si>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</si>
  <si>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</si>
  <si>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</si>
  <si>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</si>
  <si>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</si>
  <si>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</si>
  <si>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</si>
  <si>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</si>
  <si>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</si>
  <si>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</si>
  <si>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</si>
  <si>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</si>
  <si>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</si>
  <si>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</si>
  <si>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</si>
  <si>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</si>
  <si>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</si>
  <si>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</si>
  <si>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</si>
  <si>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</si>
  <si>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</si>
  <si>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</si>
  <si>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</si>
  <si>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</si>
  <si>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</si>
  <si>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</si>
  <si>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</si>
  <si>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</si>
  <si>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</si>
  <si>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</si>
  <si>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</si>
  <si>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</si>
  <si>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</si>
  <si>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</si>
  <si>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</si>
  <si>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</si>
  <si>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</si>
  <si>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</si>
  <si>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</si>
  <si>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t>Zu J4) Zunächst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</si>
  <si>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MusterBau GmbH</t>
  </si>
  <si>
    <t>Vers V4.1</t>
  </si>
  <si>
    <r>
      <t xml:space="preserve">G4) Hilfsrechner Ermittlung projektb ezogener PGK </t>
    </r>
    <r>
      <rPr>
        <sz val="9"/>
        <rFont val="Calibri"/>
        <family val="2"/>
        <scheme val="minor"/>
      </rPr>
      <t>(Übertrag in G4.a1 bis G4.b2)</t>
    </r>
  </si>
  <si>
    <t>Mannschaftstransport zur Baustelle</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</si>
  <si>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</si>
  <si>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</si>
  <si>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</si>
  <si>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</si>
  <si>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</si>
  <si>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</si>
  <si>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xml:space="preserve">; Aktivierung durch Überstreichen mit dem Cursor). Bei den Regiekalkulationen finden sich Kommentare nur bei Regie01.
(4) Ein </t>
    </r>
    <r>
      <rPr>
        <b/>
        <sz val="14"/>
        <color rgb="FFFF0000"/>
        <rFont val="Calibri"/>
        <family val="2"/>
        <scheme val="minor"/>
      </rPr>
      <t xml:space="preserve">X </t>
    </r>
    <r>
      <rPr>
        <sz val="11"/>
        <rFont val="Calibri"/>
        <family val="2"/>
        <scheme val="minor"/>
      </rPr>
      <t>am rechten Rand des Kalkulationsbereichs weist Sie darauf hin, dass eine besondere individuelle Eingabe getätigt wurde. Darüber hinaus weist ein</t>
    </r>
    <r>
      <rPr>
        <b/>
        <sz val="14"/>
        <color rgb="FFFF0000"/>
        <rFont val="Calibri"/>
        <family val="2"/>
        <scheme val="minor"/>
      </rPr>
      <t xml:space="preserve"> P</t>
    </r>
    <r>
      <rPr>
        <sz val="11"/>
        <rFont val="Calibri"/>
        <family val="2"/>
        <scheme val="minor"/>
      </rPr>
      <t xml:space="preserve"> darauf hin, dass ein Wert ermittelt ist, der auf Änderung der Personalanzahl (B1) nicht reagiert.
(5) Weitere Anleitungen siehe </t>
    </r>
    <r>
      <rPr>
        <b/>
        <sz val="11"/>
        <color rgb="FF0070C0"/>
        <rFont val="Calibri"/>
        <family val="2"/>
        <scheme val="minor"/>
      </rPr>
      <t>www.bauwesen.at/k3</t>
    </r>
    <r>
      <rPr>
        <sz val="11"/>
        <rFont val="Calibri"/>
        <family val="2"/>
        <scheme val="minor"/>
      </rPr>
      <t xml:space="preserve"> (umfangreiches Manual vorhanden). Darüber hinaus gibt es eine umfangreiche </t>
    </r>
    <r>
      <rPr>
        <b/>
        <sz val="11"/>
        <color rgb="FFFF0000"/>
        <rFont val="Calibri"/>
        <family val="2"/>
        <scheme val="minor"/>
      </rPr>
      <t>YouTube</t>
    </r>
    <r>
      <rPr>
        <sz val="11"/>
        <rFont val="Calibri"/>
        <family val="2"/>
        <scheme val="minor"/>
      </rPr>
      <t xml:space="preserve"> Videoserie: </t>
    </r>
    <r>
      <rPr>
        <b/>
        <sz val="11"/>
        <color rgb="FF0070C0"/>
        <rFont val="Calibri"/>
        <family val="2"/>
        <scheme val="minor"/>
      </rPr>
      <t>www.bauwesen.at/yt</t>
    </r>
    <r>
      <rPr>
        <sz val="11"/>
        <rFont val="Calibri"/>
        <family val="2"/>
        <scheme val="minor"/>
      </rPr>
      <t>.</t>
    </r>
  </si>
  <si>
    <t>G4.a) Kosten/Wo für
 EINEN Arbeitnehmer</t>
  </si>
  <si>
    <t>G4.b) Kosten/Wo für 
ALLE Arbeitnehmer</t>
  </si>
  <si>
    <t>(Ihre Daten in LIZENZ u LIES MICH eintragen)</t>
  </si>
  <si>
    <t>K3_EuM_Quelle</t>
  </si>
  <si>
    <t>Mittellohnpreisbroschüre EuM 2025</t>
  </si>
  <si>
    <t>Laufzeit bis 1.3.2025</t>
  </si>
  <si>
    <t>045t057W252k279X717k207</t>
  </si>
  <si>
    <t>RHEr</t>
  </si>
  <si>
    <t>LG 2 Qualifizierter Facharbeiter</t>
  </si>
  <si>
    <t>LG 5 Qualifizierter Arbeitnehmer</t>
  </si>
  <si>
    <t>Vorarbeiterzuschlag</t>
  </si>
  <si>
    <t>Montagezulage</t>
  </si>
  <si>
    <t>kleine Entfernungszul. (&gt;6Std)</t>
  </si>
  <si>
    <t># Beispiel: Ausrüstung mitTelefon, EDV, Software udgl.</t>
  </si>
  <si>
    <t>Regielohnkalkulation Facharbeiter</t>
  </si>
  <si>
    <t>Regielohnkalkulation Helfer</t>
  </si>
  <si>
    <t>(V4.1: 20.11.2024)</t>
  </si>
  <si>
    <t>Mittellohnpreis Spengler (nach KollV EuM, BUAG &amp; BSchwEG)</t>
  </si>
  <si>
    <t>Musterprojekt Spenglerarbeiten</t>
  </si>
  <si>
    <t>001/25</t>
  </si>
  <si>
    <t>??</t>
  </si>
  <si>
    <t>Gefahrenzulage</t>
  </si>
  <si>
    <t>auf #1,0%</t>
  </si>
  <si>
    <t>EuM_Spengler_25</t>
  </si>
  <si>
    <r>
      <t>B1) Zwischenergebnis (</t>
    </r>
    <r>
      <rPr>
        <sz val="11"/>
        <rFont val="Calibri"/>
        <family val="2"/>
      </rPr>
      <t>Ø Entgelt &amp; AKV-Entg. / Person)</t>
    </r>
  </si>
  <si>
    <r>
      <rPr>
        <b/>
        <sz val="12"/>
        <color rgb="FFFF0000"/>
        <rFont val="Calibri"/>
        <family val="2"/>
        <scheme val="minor"/>
      </rPr>
      <t>Version 4.1.1 (27.12.2024):</t>
    </r>
    <r>
      <rPr>
        <sz val="12"/>
        <rFont val="Calibri"/>
        <family val="2"/>
        <scheme val="minor"/>
      </rPr>
      <t xml:space="preserve"> Korrektur von Tippfehlern und Verbesserung der Warnungen (zB bei B, E.4 oder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</si>
</sst>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3"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
      <b/>
      <sz val="11"/>
      <color rgb="FF0070C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Alignment="1" applyProtection="1">
      <alignment horizontal="center" vertical="center"/>
      <protection hidden="1"/>
    </xf>
    <xf numFmtId="0" fontId="64" fillId="0" borderId="0" xfId="0" applyFont="1" applyAlignment="1" applyProtection="1">
      <alignment wrapText="1"/>
      <protection hidden="1"/>
    </xf>
    <xf numFmtId="0" fontId="64" fillId="0" borderId="0" xfId="0" applyFont="1" applyAlignment="1" applyProtection="1">
      <alignment vertical="center"/>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hidden="1"/>
    </xf>
    <xf numFmtId="0" fontId="23" fillId="0" borderId="0" xfId="0" applyFont="1" applyAlignment="1" applyProtection="1">
      <alignment wrapText="1"/>
      <protection hidden="1"/>
    </xf>
    <xf numFmtId="0" fontId="64" fillId="3" borderId="0" xfId="0" applyFont="1" applyFill="1" applyProtection="1">
      <protection hidden="1"/>
    </xf>
    <xf numFmtId="3" fontId="64" fillId="3" borderId="0" xfId="5" applyNumberFormat="1" applyFont="1" applyFill="1" applyProtection="1">
      <protection hidden="1"/>
    </xf>
    <xf numFmtId="3" fontId="64" fillId="0" borderId="0" xfId="5" applyNumberFormat="1" applyFont="1" applyProtection="1">
      <protection hidden="1"/>
    </xf>
    <xf numFmtId="0" fontId="64" fillId="0" borderId="26" xfId="0" applyFont="1" applyBorder="1" applyProtection="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65" fillId="4" borderId="0" xfId="0" applyFont="1" applyFill="1" applyAlignment="1">
      <alignment vertical="center"/>
    </xf>
    <xf numFmtId="0" fontId="65" fillId="4" borderId="0" xfId="0" applyFont="1" applyFill="1"/>
    <xf numFmtId="0" fontId="25"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66" xfId="0" applyNumberFormat="1" applyFont="1" applyFill="1" applyBorder="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22" borderId="0" xfId="0" applyFont="1" applyFill="1" applyAlignment="1" applyProtection="1">
      <alignment horizontal="left"/>
      <protection hidden="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0" xfId="0" applyNumberFormat="1" applyFont="1" applyFill="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0" fontId="25" fillId="0" borderId="0" xfId="0"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3" borderId="18" xfId="0" applyNumberFormat="1" applyFont="1" applyFill="1" applyBorder="1" applyAlignment="1" applyProtection="1">
      <alignment horizontal="left" vertical="center"/>
      <protection locked="0"/>
    </xf>
    <xf numFmtId="49" fontId="20" fillId="3" borderId="19" xfId="0" applyNumberFormat="1" applyFont="1" applyFill="1" applyBorder="1" applyAlignment="1" applyProtection="1">
      <alignment horizontal="left" vertical="center"/>
      <protection locked="0"/>
    </xf>
    <xf numFmtId="49" fontId="20" fillId="3"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3" fillId="0" borderId="21" xfId="0" applyFont="1" applyBorder="1" applyAlignment="1">
      <alignment horizontal="left" vertical="center"/>
    </xf>
    <xf numFmtId="0" fontId="23" fillId="0" borderId="23" xfId="0" applyFont="1" applyBorder="1" applyAlignment="1">
      <alignment horizontal="left" vertical="center"/>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11" xfId="0" applyFont="1" applyBorder="1" applyAlignment="1">
      <alignment horizontal="center" vertical="top" wrapText="1"/>
    </xf>
    <xf numFmtId="0" fontId="23" fillId="0" borderId="24" xfId="0" applyFont="1" applyBorder="1" applyAlignment="1">
      <alignment horizontal="center" vertical="top" wrapText="1"/>
    </xf>
    <xf numFmtId="0" fontId="23" fillId="0" borderId="13"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wrapText="1"/>
    </xf>
    <xf numFmtId="0" fontId="43" fillId="0" borderId="0" xfId="0" applyFont="1" applyAlignment="1">
      <alignment horizontal="left" vertical="top"/>
    </xf>
    <xf numFmtId="0" fontId="43" fillId="0" borderId="14" xfId="0" applyFont="1" applyBorder="1" applyAlignment="1">
      <alignment horizontal="left" vertical="top"/>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100" fillId="0" borderId="0" xfId="0" applyFont="1" applyAlignment="1">
      <alignment horizontal="left" vertical="center"/>
    </xf>
    <xf numFmtId="0" fontId="100" fillId="0" borderId="14" xfId="0" applyFont="1" applyBorder="1" applyAlignment="1">
      <alignment horizontal="left" vertical="center"/>
    </xf>
    <xf numFmtId="0" fontId="43" fillId="0" borderId="14" xfId="0" applyFont="1" applyBorder="1" applyAlignment="1">
      <alignment horizontal="left" vertical="top" wrapText="1"/>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3" xfId="0" applyFont="1" applyBorder="1" applyAlignment="1">
      <alignment horizontal="left" vertical="top" wrapText="1"/>
    </xf>
    <xf numFmtId="0" fontId="115" fillId="0" borderId="19" xfId="0" applyFont="1" applyBorder="1" applyAlignment="1">
      <alignment horizontal="right" vertical="center"/>
    </xf>
    <xf numFmtId="0" fontId="115" fillId="0" borderId="22" xfId="0"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23" fillId="0" borderId="17" xfId="0" applyFont="1" applyBorder="1" applyAlignment="1">
      <alignment horizontal="left" vertical="center"/>
    </xf>
    <xf numFmtId="49" fontId="23" fillId="3" borderId="28" xfId="0" applyNumberFormat="1" applyFont="1" applyFill="1" applyBorder="1" applyAlignment="1" applyProtection="1">
      <alignment horizontal="left" vertical="center"/>
      <protection locked="0"/>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32" xfId="0" applyFont="1" applyBorder="1" applyAlignment="1">
      <alignment horizontal="lef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0" fontId="14" fillId="0" borderId="26" xfId="0" applyFont="1" applyBorder="1" applyAlignment="1">
      <alignment horizontal="center" vertical="center" wrapText="1"/>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17" xfId="0" applyNumberFormat="1" applyFont="1" applyFill="1" applyBorder="1" applyAlignment="1" applyProtection="1">
      <alignment horizontal="left" vertical="center" wrapText="1"/>
      <protection locked="0"/>
    </xf>
    <xf numFmtId="49" fontId="23" fillId="3" borderId="29" xfId="0" applyNumberFormat="1" applyFont="1" applyFill="1" applyBorder="1" applyAlignment="1" applyProtection="1">
      <alignment vertical="center"/>
      <protection locked="0"/>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49" fontId="23" fillId="3" borderId="11" xfId="0" applyNumberFormat="1" applyFont="1" applyFill="1" applyBorder="1" applyAlignment="1" applyProtection="1">
      <alignment horizontal="left" vertical="center"/>
      <protection locked="0"/>
    </xf>
    <xf numFmtId="49" fontId="23" fillId="3" borderId="24" xfId="0" applyNumberFormat="1" applyFont="1" applyFill="1" applyBorder="1" applyAlignment="1" applyProtection="1">
      <alignment horizontal="left" vertical="center"/>
      <protection locked="0"/>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49" fontId="23" fillId="3" borderId="26" xfId="0" applyNumberFormat="1" applyFont="1" applyFill="1" applyBorder="1" applyAlignment="1" applyProtection="1">
      <alignment horizontal="left" vertical="center"/>
      <protection locked="0"/>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49" fillId="20" borderId="0" xfId="0" applyFont="1" applyFill="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wrapText="1"/>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0" fontId="99" fillId="0" borderId="0" xfId="0" applyFont="1" applyAlignment="1">
      <alignment horizontal="left" vertical="top" wrapText="1"/>
    </xf>
    <xf numFmtId="0" fontId="99" fillId="0" borderId="14" xfId="0" applyFont="1" applyBorder="1" applyAlignment="1">
      <alignment horizontal="left" vertical="top" wrapText="1"/>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49" fontId="27" fillId="3" borderId="2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99" fillId="0" borderId="0" xfId="0" applyFont="1" applyAlignment="1">
      <alignment horizontal="left" vertical="center"/>
    </xf>
    <xf numFmtId="0" fontId="99" fillId="0" borderId="14" xfId="0" applyFont="1" applyBorder="1" applyAlignment="1">
      <alignment horizontal="left" vertical="center"/>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27" fillId="29" borderId="22"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6" xfId="0" applyFont="1" applyFill="1" applyBorder="1" applyAlignment="1">
      <alignment horizontal="center" vertical="center" wrapText="1"/>
    </xf>
    <xf numFmtId="0" fontId="27" fillId="30" borderId="20" xfId="0" applyFont="1" applyFill="1" applyBorder="1" applyAlignment="1">
      <alignment vertical="center"/>
    </xf>
    <xf numFmtId="0" fontId="27" fillId="30" borderId="11" xfId="0" applyFont="1" applyFill="1" applyBorder="1" applyAlignment="1">
      <alignment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22" xfId="0" applyNumberFormat="1" applyFont="1" applyFill="1" applyBorder="1" applyAlignment="1" applyProtection="1">
      <alignment horizontal="left" vertical="center" wrapText="1"/>
      <protection locked="0"/>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173" fontId="99" fillId="0" borderId="13" xfId="0" applyNumberFormat="1" applyFont="1" applyBorder="1" applyAlignment="1">
      <alignment horizontal="left" vertical="center"/>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23" fillId="3" borderId="0" xfId="0" applyNumberFormat="1" applyFont="1" applyFill="1" applyAlignment="1" applyProtection="1">
      <alignment horizontal="left" wrapText="1"/>
      <protection locked="0"/>
    </xf>
    <xf numFmtId="0" fontId="49" fillId="24" borderId="0" xfId="0" applyFont="1" applyFill="1" applyAlignment="1">
      <alignment horizontal="left" vertical="center"/>
    </xf>
    <xf numFmtId="0" fontId="49" fillId="6" borderId="0" xfId="0" applyFont="1" applyFill="1" applyAlignment="1">
      <alignment horizontal="left" vertical="center"/>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134" fillId="8" borderId="0" xfId="0" applyFont="1" applyFill="1" applyAlignment="1">
      <alignment horizontal="left"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3" fillId="29" borderId="13" xfId="0" applyFont="1" applyFill="1" applyBorder="1" applyAlignment="1">
      <alignment vertical="center"/>
    </xf>
    <xf numFmtId="0" fontId="23" fillId="29" borderId="0" xfId="0" applyFont="1" applyFill="1" applyAlignment="1">
      <alignment vertic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3" fillId="0" borderId="24" xfId="0" applyFont="1" applyBorder="1" applyAlignment="1">
      <alignment horizontal="left" vertical="top" wrapText="1"/>
    </xf>
    <xf numFmtId="0" fontId="23" fillId="0" borderId="13" xfId="0" applyFont="1" applyBorder="1" applyAlignment="1">
      <alignment horizontal="left" vertical="center"/>
    </xf>
    <xf numFmtId="0" fontId="23" fillId="0" borderId="0" xfId="0" applyFont="1" applyAlignment="1">
      <alignment horizontal="left" vertical="center"/>
    </xf>
    <xf numFmtId="0" fontId="99" fillId="0" borderId="0" xfId="0" applyFont="1" applyAlignment="1">
      <alignment horizontal="left" wrapText="1"/>
    </xf>
    <xf numFmtId="0" fontId="99" fillId="0" borderId="14" xfId="0" applyFont="1" applyBorder="1" applyAlignment="1">
      <alignment horizontal="left" wrapText="1"/>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49" fontId="23" fillId="3" borderId="13" xfId="0" applyNumberFormat="1" applyFont="1" applyFill="1" applyBorder="1" applyAlignment="1" applyProtection="1">
      <alignment horizontal="left" vertical="top" wrapText="1"/>
      <protection locked="0"/>
    </xf>
    <xf numFmtId="49" fontId="23" fillId="3" borderId="0" xfId="0" applyNumberFormat="1" applyFont="1" applyFill="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49" fontId="23" fillId="3" borderId="19" xfId="0" applyNumberFormat="1" applyFont="1" applyFill="1" applyBorder="1" applyAlignment="1" applyProtection="1">
      <alignment horizontal="left" vertical="center" wrapText="1"/>
      <protection locked="0"/>
    </xf>
    <xf numFmtId="0" fontId="27" fillId="0" borderId="71" xfId="0" applyFont="1" applyBorder="1" applyAlignment="1">
      <alignment horizontal="left" vertical="center"/>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7" fillId="0" borderId="19" xfId="15" applyNumberFormat="1" applyFont="1" applyBorder="1" applyAlignment="1">
      <alignment horizontal="left" vertical="center"/>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7" fillId="0" borderId="23" xfId="0" applyFont="1" applyBorder="1" applyAlignment="1">
      <alignment horizontal="left" vertical="center"/>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49" fontId="23" fillId="3" borderId="11" xfId="0" applyNumberFormat="1" applyFont="1" applyFill="1" applyBorder="1" applyAlignment="1" applyProtection="1">
      <alignment horizontal="left" vertical="top" wrapText="1"/>
      <protection locked="0"/>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27" fillId="0" borderId="24" xfId="0" applyFont="1" applyBorder="1" applyAlignment="1">
      <alignment horizontal="center" vertical="center"/>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22" xfId="0" applyFont="1" applyBorder="1" applyAlignment="1">
      <alignment horizontal="left" vertical="center"/>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0" fontId="27" fillId="0" borderId="11"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27" fillId="0" borderId="17" xfId="0" applyFont="1" applyBorder="1" applyAlignment="1">
      <alignment horizontal="right" vertical="top" wrapText="1"/>
    </xf>
    <xf numFmtId="0" fontId="23" fillId="0" borderId="11"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23" fillId="0" borderId="21" xfId="0" applyFont="1" applyBorder="1" applyAlignment="1">
      <alignment horizontal="left" vertical="top" wrapText="1"/>
    </xf>
    <xf numFmtId="0" fontId="23" fillId="0" borderId="17" xfId="0" applyFont="1" applyBorder="1" applyAlignment="1">
      <alignment horizontal="left" vertical="top" wrapText="1"/>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0" fontId="151" fillId="6" borderId="0" xfId="20" applyFont="1" applyFill="1" applyBorder="1" applyAlignment="1" applyProtection="1">
      <alignment horizontal="center" vertical="center"/>
      <protection hidden="1"/>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67" fillId="0" borderId="11" xfId="0" applyFont="1" applyBorder="1" applyAlignment="1">
      <alignment horizontal="center"/>
    </xf>
    <xf numFmtId="0" fontId="27" fillId="0" borderId="11" xfId="0" applyFont="1" applyBorder="1" applyAlignment="1">
      <alignment horizontal="right" vertical="top" wrapText="1"/>
    </xf>
    <xf numFmtId="0" fontId="14" fillId="4" borderId="0" xfId="0" applyFont="1" applyFill="1" applyAlignment="1">
      <alignment horizontal="center" vertical="center"/>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181" fontId="11" fillId="4" borderId="0" xfId="0" applyNumberFormat="1" applyFont="1" applyFill="1" applyAlignment="1">
      <alignment horizontal="center"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0" fontId="151" fillId="0"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49" fontId="64" fillId="0" borderId="19" xfId="0" applyNumberFormat="1" applyFont="1" applyBorder="1" applyAlignment="1">
      <alignment horizontal="center" vertical="center"/>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3" fillId="0" borderId="4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0" fontId="34" fillId="0" borderId="17" xfId="0" applyFont="1" applyBorder="1" applyAlignment="1">
      <alignment horizontal="righ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34" fillId="0" borderId="26"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4" fillId="0" borderId="26" xfId="0" applyFont="1" applyBorder="1" applyAlignment="1">
      <alignment horizontal="center"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 fontId="14" fillId="0" borderId="27" xfId="0" applyNumberFormat="1" applyFont="1" applyBorder="1" applyAlignment="1">
      <alignment horizontal="center" vertical="top"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9" fontId="23" fillId="3" borderId="26" xfId="0" applyNumberFormat="1" applyFont="1" applyFill="1" applyBorder="1" applyAlignment="1" applyProtection="1">
      <alignment horizontal="left" vertical="center" wrapText="1"/>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23" xfId="0" applyNumberFormat="1" applyFont="1" applyBorder="1" applyAlignment="1">
      <alignment horizontal="right" vertical="center"/>
    </xf>
    <xf numFmtId="49" fontId="23" fillId="3" borderId="28" xfId="0" applyNumberFormat="1" applyFont="1" applyFill="1" applyBorder="1" applyAlignment="1" applyProtection="1">
      <alignment vertical="center"/>
      <protection locked="0"/>
    </xf>
    <xf numFmtId="4" fontId="23" fillId="0" borderId="17" xfId="0" applyNumberFormat="1" applyFont="1" applyBorder="1" applyAlignment="1">
      <alignment horizontal="left" vertical="center"/>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 fontId="14" fillId="0" borderId="20"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34" fillId="4" borderId="0" xfId="0" applyNumberFormat="1" applyFont="1" applyFill="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26" xfId="0" applyNumberFormat="1" applyFont="1" applyBorder="1" applyAlignment="1">
      <alignment horizontal="center" vertical="center" wrapText="1"/>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0" fontId="14" fillId="0" borderId="26" xfId="0" applyFont="1" applyBorder="1" applyAlignment="1">
      <alignment horizontal="center"/>
    </xf>
    <xf numFmtId="4" fontId="14" fillId="0" borderId="71" xfId="0" applyNumberFormat="1" applyFont="1" applyBorder="1" applyAlignment="1">
      <alignment horizontal="center" vertical="center" wrapText="1"/>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49" fontId="71" fillId="3" borderId="18"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43" fillId="0" borderId="0" xfId="0" applyFont="1" applyAlignment="1">
      <alignment vertical="center" wrapText="1"/>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 fontId="23" fillId="0" borderId="38" xfId="0" applyNumberFormat="1" applyFont="1" applyBorder="1" applyAlignment="1">
      <alignment horizontal="right" vertical="center"/>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0" fontId="23" fillId="0" borderId="23" xfId="0" applyFont="1" applyBorder="1" applyAlignment="1">
      <alignment horizontal="left" vertical="top" wrapText="1"/>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14" fillId="0" borderId="25" xfId="0" applyFont="1" applyBorder="1" applyAlignment="1">
      <alignment horizontal="center" vertical="top" wrapText="1"/>
    </xf>
    <xf numFmtId="0" fontId="14" fillId="0" borderId="9" xfId="0" applyFont="1" applyBorder="1" applyAlignment="1">
      <alignment horizontal="center" vertical="top"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0" fontId="23" fillId="0" borderId="13"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0" fontId="23" fillId="0" borderId="13" xfId="0" applyFont="1" applyBorder="1" applyAlignment="1">
      <alignment horizontal="center"/>
    </xf>
    <xf numFmtId="0" fontId="23" fillId="0" borderId="0" xfId="0" applyFont="1" applyAlignment="1">
      <alignment horizontal="center"/>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protection locked="0"/>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27" fillId="0" borderId="13" xfId="0" applyFont="1" applyBorder="1" applyAlignment="1">
      <alignment horizontal="center"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34" fillId="0" borderId="18" xfId="0" applyFont="1" applyBorder="1" applyAlignment="1">
      <alignment horizontal="center" vertical="center"/>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7" fillId="4" borderId="17" xfId="0" applyNumberFormat="1" applyFont="1" applyFill="1" applyBorder="1" applyAlignment="1">
      <alignment horizontal="left" vertical="center" wrapText="1"/>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 fontId="23" fillId="5" borderId="27" xfId="0" applyNumberFormat="1" applyFont="1" applyFill="1" applyBorder="1" applyAlignment="1">
      <alignment horizontal="center" vertical="center"/>
    </xf>
    <xf numFmtId="0" fontId="14" fillId="0" borderId="0" xfId="0" applyFont="1" applyAlignment="1">
      <alignment horizontal="left" wrapText="1"/>
    </xf>
    <xf numFmtId="0" fontId="14" fillId="0" borderId="14" xfId="0" applyFont="1" applyBorder="1" applyAlignment="1">
      <alignment horizontal="left"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23" fillId="0" borderId="37" xfId="0" applyNumberFormat="1" applyFont="1" applyBorder="1" applyAlignment="1">
      <alignment horizontal="right" vertical="center"/>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13"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71" xfId="0" applyFont="1" applyBorder="1" applyAlignment="1">
      <alignment horizontal="center" vertical="center" wrapText="1"/>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18" xfId="0" applyFont="1" applyBorder="1" applyAlignment="1">
      <alignment horizontal="center"/>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107" fillId="16" borderId="19" xfId="0" applyFont="1" applyFill="1" applyBorder="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49" fontId="23" fillId="3" borderId="30" xfId="0" applyNumberFormat="1" applyFont="1" applyFill="1" applyBorder="1" applyAlignment="1" applyProtection="1">
      <alignment horizontal="left" vertical="center"/>
      <protection locked="0"/>
    </xf>
    <xf numFmtId="49" fontId="147" fillId="0" borderId="0" xfId="0" applyNumberFormat="1" applyFont="1" applyAlignment="1" applyProtection="1">
      <alignment horizontal="center"/>
      <protection locked="0"/>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134" fillId="17" borderId="0" xfId="0" applyFont="1" applyFill="1" applyAlignment="1">
      <alignment horizontal="lef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0" fontId="16" fillId="0" borderId="13" xfId="0" applyFont="1" applyBorder="1" applyAlignment="1">
      <alignment horizontal="right" vertical="center"/>
    </xf>
    <xf numFmtId="0" fontId="16" fillId="0" borderId="0" xfId="0" applyFont="1" applyAlignment="1">
      <alignment horizontal="right" vertical="center"/>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49" fontId="23" fillId="3" borderId="26" xfId="0" applyNumberFormat="1" applyFont="1" applyFill="1" applyBorder="1" applyAlignment="1" applyProtection="1">
      <alignment vertical="center"/>
      <protection locked="0"/>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2" xfId="0" applyNumberFormat="1" applyFont="1" applyBorder="1" applyAlignment="1">
      <alignment horizontal="left"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0" borderId="19" xfId="0" applyNumberFormat="1" applyFont="1" applyBorder="1" applyAlignment="1">
      <alignment horizontal="center"/>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23" fillId="0" borderId="24" xfId="0" applyFont="1" applyBorder="1" applyAlignment="1">
      <alignment horizontal="center"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49" fontId="23" fillId="3" borderId="20" xfId="0" applyNumberFormat="1" applyFont="1" applyFill="1" applyBorder="1" applyAlignment="1" applyProtection="1">
      <alignment horizontal="left" vertical="top"/>
      <protection locked="0"/>
    </xf>
    <xf numFmtId="0" fontId="23" fillId="0" borderId="14" xfId="0" applyFont="1" applyBorder="1" applyAlignment="1">
      <alignment horizontal="left" vertical="center" wrapText="1"/>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0" fontId="104" fillId="0" borderId="0" xfId="0" applyFont="1" applyAlignment="1">
      <alignment horizontal="left" wrapText="1"/>
    </xf>
    <xf numFmtId="0" fontId="104" fillId="0" borderId="14" xfId="0" applyFont="1" applyBorder="1" applyAlignment="1">
      <alignment horizontal="left" wrapText="1"/>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70" xfId="0" applyFont="1" applyBorder="1" applyAlignment="1">
      <alignment horizontal="left" vertical="center"/>
    </xf>
    <xf numFmtId="0" fontId="134" fillId="16" borderId="0" xfId="0" applyFont="1" applyFill="1" applyAlignment="1">
      <alignment horizontal="left" vertical="center"/>
    </xf>
    <xf numFmtId="0" fontId="20" fillId="4" borderId="0" xfId="0" applyFont="1" applyFill="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11"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23" fillId="0" borderId="20"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74" fillId="23" borderId="19" xfId="0" applyFont="1" applyFill="1" applyBorder="1" applyAlignment="1" applyProtection="1">
      <alignment horizontal="center" vertical="center"/>
      <protection hidden="1"/>
    </xf>
    <xf numFmtId="0" fontId="20" fillId="29" borderId="0" xfId="0" applyFont="1" applyFill="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0" fontId="12" fillId="0" borderId="29" xfId="0" applyFont="1" applyBorder="1" applyAlignment="1">
      <alignment horizontal="center" wrapText="1"/>
    </xf>
    <xf numFmtId="0" fontId="12" fillId="0" borderId="28" xfId="0" applyFont="1" applyBorder="1" applyAlignment="1">
      <alignment horizont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47" fillId="0" borderId="3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56" xfId="0" applyFont="1" applyBorder="1" applyAlignment="1">
      <alignment horizontal="center" vertical="center" wrapText="1"/>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12" fillId="0" borderId="27" xfId="21" applyFont="1" applyBorder="1" applyAlignment="1">
      <alignment horizontal="center" vertical="center" wrapText="1"/>
    </xf>
    <xf numFmtId="0" fontId="12" fillId="0" borderId="28" xfId="21" applyFont="1" applyBorder="1" applyAlignment="1">
      <alignment horizontal="center" vertical="center" wrapText="1"/>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82" fontId="47" fillId="0" borderId="26" xfId="21" applyNumberFormat="1" applyFont="1" applyBorder="1" applyAlignment="1">
      <alignment horizontal="left"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182" fontId="47" fillId="0" borderId="30" xfId="21" applyNumberFormat="1" applyFont="1" applyBorder="1" applyAlignment="1">
      <alignment horizontal="left" vertical="center"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167" fontId="45" fillId="0" borderId="13"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2" fillId="0" borderId="17" xfId="0" applyFont="1" applyBorder="1" applyAlignment="1">
      <alignment horizontal="left"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67" fontId="45" fillId="0" borderId="25" xfId="0" applyNumberFormat="1" applyFont="1" applyBorder="1" applyAlignment="1">
      <alignment horizontal="center" vertical="center"/>
    </xf>
    <xf numFmtId="167" fontId="45" fillId="0" borderId="15"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4" xfId="0" applyFont="1" applyBorder="1" applyAlignment="1">
      <alignment horizontal="left"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8" xfId="0" applyFont="1" applyBorder="1" applyAlignment="1">
      <alignment vertical="top" wrapText="1"/>
    </xf>
    <xf numFmtId="0" fontId="12" fillId="0" borderId="19" xfId="0" applyFont="1" applyBorder="1" applyAlignment="1">
      <alignment vertical="top"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0" fontId="12" fillId="0" borderId="13" xfId="0" applyFont="1" applyBorder="1" applyAlignment="1">
      <alignment horizontal="left" vertical="center"/>
    </xf>
    <xf numFmtId="0" fontId="12" fillId="0" borderId="0" xfId="0" applyFont="1" applyAlignment="1">
      <alignment horizontal="left"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15" xfId="0" applyFont="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167" fontId="45" fillId="0" borderId="9" xfId="0" applyNumberFormat="1" applyFont="1" applyBorder="1" applyAlignment="1">
      <alignment horizontal="center" vertical="center"/>
    </xf>
    <xf numFmtId="167" fontId="45" fillId="0" borderId="0" xfId="0" applyNumberFormat="1"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5" fillId="0" borderId="17" xfId="0" applyFont="1" applyBorder="1" applyAlignment="1">
      <alignment horizontal="left"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4" fontId="24" fillId="11" borderId="0" xfId="0" applyNumberFormat="1" applyFont="1" applyFill="1"/>
    <xf numFmtId="0" fontId="24" fillId="11" borderId="0" xfId="0" applyFont="1" applyFill="1"/>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0" fontId="30" fillId="0" borderId="0" xfId="0" applyFont="1" applyAlignment="1">
      <alignment horizontal="left" vertical="center"/>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11">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font>
        <b/>
        <i val="0"/>
        <color rgb="FF00B05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C7CE"/>
        </patternFill>
      </fill>
    </dxf>
    <dxf>
      <font>
        <color auto="1"/>
      </font>
      <fill>
        <patternFill>
          <bgColor rgb="FF92D050"/>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auto="1"/>
      </font>
      <fill>
        <patternFill>
          <bgColor rgb="FFFF0000"/>
        </patternFill>
      </fill>
    </dxf>
    <dxf>
      <font>
        <color auto="1"/>
      </font>
      <fill>
        <patternFill>
          <bgColor rgb="FFFFC7CE"/>
        </patternFill>
      </fill>
    </dxf>
    <dxf>
      <font>
        <color auto="1"/>
      </font>
      <fill>
        <patternFill>
          <bgColor rgb="FF92D050"/>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theme="0" tint="-0.24994659260841701"/>
      </font>
      <fill>
        <patternFill>
          <bgColor rgb="FFFF0000"/>
        </patternFill>
      </fill>
    </dxf>
    <dxf>
      <fill>
        <gradientFill>
          <stop position="0">
            <color theme="0" tint="-0.34900967436750391"/>
          </stop>
          <stop position="1">
            <color rgb="FFFFFF00"/>
          </stop>
        </gradient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ont>
        <b/>
        <i val="0"/>
        <color theme="0" tint="-0.24994659260841701"/>
      </font>
      <fill>
        <patternFill>
          <fgColor rgb="FFFF0000"/>
          <bgColor rgb="FFFF0000"/>
        </patternFill>
      </fill>
    </dxf>
    <dxf>
      <fill>
        <gradientFill>
          <stop position="0">
            <color theme="0" tint="-0.34900967436750391"/>
          </stop>
          <stop position="1">
            <color rgb="FFFFFF00"/>
          </stop>
        </gradient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30" formatCode="@"/>
      <fill>
        <patternFill>
          <fgColor rgb="FFFF0000"/>
          <bgColor rgb="FFFF0000"/>
        </patternFill>
      </fill>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dxf>
    <dxf>
      <font>
        <color theme="0"/>
      </font>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ill>
        <patternFill>
          <bgColor rgb="FFFFC7CE"/>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3.9</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0.1</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0.15110000000000001</c:v>
                </c:pt>
                <c:pt idx="2">
                  <c:v>0</c:v>
                </c:pt>
                <c:pt idx="3">
                  <c:v>0.3271</c:v>
                </c:pt>
                <c:pt idx="4">
                  <c:v>1.3414999999999999</c:v>
                </c:pt>
                <c:pt idx="5">
                  <c:v>8.3199999999999996E-2</c:v>
                </c:pt>
                <c:pt idx="6">
                  <c:v>0.3155</c:v>
                </c:pt>
                <c:pt idx="7">
                  <c:v>0</c:v>
                </c:pt>
                <c:pt idx="8">
                  <c:v>0.90110000000000001</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3</xdr:row>
      <xdr:rowOff>754543</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76245" y="547126"/>
          <a:ext cx="1158340" cy="19677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841</xdr:row>
      <xdr:rowOff>221423</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761</xdr:row>
      <xdr:rowOff>221853</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ropik/Desktop/Kropik/Desktop/BUCH%20Kalk/2020%20K3%2002xx%20E+M%20Mittelloh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sheetData>
      <sheetData sheetId="1"/>
      <sheetData sheetId="2">
        <row r="5">
          <cell r="D5" t="str">
            <v>Stahlbau NN GmbH</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7"/>
  <sheetViews>
    <sheetView showGridLines="0" zoomScaleNormal="100" workbookViewId="0">
      <selection activeCell="C7" sqref="C7:F7"/>
    </sheetView>
  </sheetViews>
  <sheetFormatPr baseColWidth="10" defaultColWidth="10.6640625" defaultRowHeight="15.75" x14ac:dyDescent="0.5"/>
  <cols>
    <col min="1" max="1" width="24" style="7" customWidth="1"/>
    <col min="2" max="2" width="3" style="7" customWidth="1"/>
    <col min="3" max="4" width="11.33203125" style="7" customWidth="1"/>
    <col min="5" max="5" width="3" style="7" customWidth="1"/>
    <col min="6" max="6" width="15.33203125" style="7" customWidth="1"/>
    <col min="7" max="7" width="4.71875" style="7" customWidth="1"/>
    <col min="8" max="8" width="18.109375" style="204" customWidth="1"/>
    <col min="9" max="9" width="13.21875" style="204" customWidth="1"/>
    <col min="10" max="11" width="13.21875" style="7" customWidth="1"/>
    <col min="12" max="12" width="13.21875" style="913" customWidth="1"/>
    <col min="13" max="13" width="9.33203125" style="913" customWidth="1"/>
    <col min="14" max="14" width="9.33203125" style="1257" hidden="1" customWidth="1"/>
    <col min="15" max="27" width="10.6640625" style="1257" hidden="1" customWidth="1"/>
    <col min="28" max="28" width="10.6640625" style="1136" customWidth="1"/>
    <col min="29" max="29" width="10.6640625" style="880" customWidth="1"/>
    <col min="30" max="16384" width="10.6640625" style="7"/>
  </cols>
  <sheetData>
    <row r="1" spans="1:32" ht="15.75" customHeight="1" x14ac:dyDescent="0.5">
      <c r="A1" s="167"/>
      <c r="B1" s="2172" t="s">
        <v>229</v>
      </c>
      <c r="C1" s="2173"/>
      <c r="D1" s="2173"/>
      <c r="E1" s="2173"/>
      <c r="F1" s="2173"/>
      <c r="G1" s="2174"/>
      <c r="N1" s="1330"/>
      <c r="O1" s="1330"/>
      <c r="P1" s="1330"/>
      <c r="Q1" s="1330"/>
      <c r="R1" s="1330"/>
      <c r="S1" s="1330"/>
      <c r="T1" s="1330"/>
      <c r="U1" s="1330"/>
      <c r="V1" s="1330"/>
      <c r="W1" s="1330"/>
      <c r="X1" s="1330"/>
      <c r="Y1" s="1330"/>
      <c r="Z1" s="1330"/>
      <c r="AA1" s="1330"/>
    </row>
    <row r="2" spans="1:32" x14ac:dyDescent="0.5">
      <c r="A2" s="168"/>
      <c r="B2" s="2175"/>
      <c r="C2" s="2176"/>
      <c r="D2" s="2176"/>
      <c r="E2" s="2176"/>
      <c r="F2" s="2176"/>
      <c r="G2" s="2177"/>
      <c r="N2" s="1274" t="s">
        <v>775</v>
      </c>
      <c r="O2" s="1274"/>
      <c r="P2" s="1274"/>
      <c r="Q2" s="1274"/>
      <c r="R2" s="1274"/>
      <c r="S2" s="1274"/>
      <c r="T2" s="1274"/>
      <c r="U2" s="1274"/>
      <c r="V2" s="1274"/>
    </row>
    <row r="3" spans="1:32" x14ac:dyDescent="0.5">
      <c r="A3" s="168"/>
      <c r="B3" s="2175"/>
      <c r="C3" s="2176"/>
      <c r="D3" s="2176"/>
      <c r="E3" s="2176"/>
      <c r="F3" s="2176"/>
      <c r="G3" s="2177"/>
      <c r="N3" s="1257" t="s">
        <v>776</v>
      </c>
    </row>
    <row r="4" spans="1:32" x14ac:dyDescent="0.5">
      <c r="A4" s="168"/>
      <c r="B4" s="2175"/>
      <c r="C4" s="2176"/>
      <c r="D4" s="2176"/>
      <c r="E4" s="2176"/>
      <c r="F4" s="2176"/>
      <c r="G4" s="2177"/>
      <c r="N4" s="2155" t="s">
        <v>994</v>
      </c>
      <c r="O4" s="2155"/>
      <c r="P4" s="2155"/>
      <c r="Q4" s="2155"/>
      <c r="R4" s="2155"/>
      <c r="S4" s="2155"/>
      <c r="T4" s="2155"/>
      <c r="U4" s="2155"/>
      <c r="V4" s="2155"/>
    </row>
    <row r="5" spans="1:32" ht="16.149999999999999" customHeight="1" x14ac:dyDescent="0.5">
      <c r="A5" s="168"/>
      <c r="B5" s="2178" t="s">
        <v>220</v>
      </c>
      <c r="C5" s="2179"/>
      <c r="D5" s="2131"/>
      <c r="E5" s="2131"/>
      <c r="F5" s="2131"/>
      <c r="G5" s="2132"/>
      <c r="N5" s="2155"/>
      <c r="O5" s="2155"/>
      <c r="P5" s="2155"/>
      <c r="Q5" s="2155"/>
      <c r="R5" s="2155"/>
      <c r="S5" s="2155"/>
      <c r="T5" s="2155"/>
      <c r="U5" s="2155"/>
      <c r="V5" s="2155"/>
    </row>
    <row r="6" spans="1:32" ht="26.75" customHeight="1" x14ac:dyDescent="0.5">
      <c r="A6" s="908"/>
      <c r="B6" s="169"/>
      <c r="C6" s="169"/>
      <c r="D6" s="169"/>
      <c r="E6" s="169"/>
      <c r="F6" s="169"/>
      <c r="G6" s="170"/>
      <c r="H6" s="2157"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
      </c>
      <c r="I6" s="2157"/>
      <c r="J6" s="2157"/>
      <c r="N6" s="2155"/>
      <c r="O6" s="2155"/>
      <c r="P6" s="2155"/>
      <c r="Q6" s="2155"/>
      <c r="R6" s="2155"/>
      <c r="S6" s="2155"/>
      <c r="T6" s="2155"/>
      <c r="U6" s="2155"/>
      <c r="V6" s="2155"/>
      <c r="AE6" s="204"/>
      <c r="AF6" s="204"/>
    </row>
    <row r="7" spans="1:32" ht="26.75" customHeight="1" x14ac:dyDescent="0.5">
      <c r="A7" s="909" t="s">
        <v>763</v>
      </c>
      <c r="B7" s="169"/>
      <c r="C7" s="2128" t="s">
        <v>1117</v>
      </c>
      <c r="D7" s="2129"/>
      <c r="E7" s="2129"/>
      <c r="F7" s="2130"/>
      <c r="G7" s="912">
        <f>LEN(C7)</f>
        <v>33</v>
      </c>
      <c r="H7" s="2157"/>
      <c r="I7" s="2157"/>
      <c r="J7" s="2157"/>
      <c r="AE7" s="204"/>
      <c r="AF7" s="204"/>
    </row>
    <row r="8" spans="1:32" ht="51" customHeight="1" x14ac:dyDescent="0.5">
      <c r="A8" s="910" t="s">
        <v>762</v>
      </c>
      <c r="B8" s="169"/>
      <c r="C8" s="2133" t="str">
        <f>"&gt;"&amp;C7&amp;"&lt;"</f>
        <v>&gt;Mittellohnpreisbroschüre EuM 2025&lt;</v>
      </c>
      <c r="D8" s="2133"/>
      <c r="E8" s="2133"/>
      <c r="F8" s="2133"/>
      <c r="G8" s="192"/>
      <c r="H8" s="2157"/>
      <c r="I8" s="2157"/>
      <c r="J8" s="2157"/>
      <c r="N8" s="1258" t="s">
        <v>223</v>
      </c>
      <c r="O8" s="1259"/>
      <c r="P8" s="1259"/>
      <c r="Q8" s="1259"/>
      <c r="R8" s="1259"/>
      <c r="S8" s="1259"/>
      <c r="T8" s="1259"/>
      <c r="U8" s="1259"/>
      <c r="V8" s="1259"/>
      <c r="W8" s="1259"/>
      <c r="X8" s="1259"/>
      <c r="Y8" s="1259"/>
      <c r="Z8" s="1331"/>
      <c r="AA8" s="1332"/>
      <c r="AE8" s="204"/>
      <c r="AF8" s="204"/>
    </row>
    <row r="9" spans="1:32" ht="26.75" customHeight="1" x14ac:dyDescent="0.5">
      <c r="A9" s="909" t="s">
        <v>764</v>
      </c>
      <c r="B9" s="169"/>
      <c r="C9" s="2180" t="s">
        <v>1118</v>
      </c>
      <c r="D9" s="2180"/>
      <c r="E9" s="2180"/>
      <c r="F9" s="2180"/>
      <c r="G9" s="912">
        <f>LEN(C9)</f>
        <v>21</v>
      </c>
      <c r="H9" s="2157"/>
      <c r="I9" s="2157"/>
      <c r="J9" s="2157"/>
      <c r="K9" s="914"/>
      <c r="L9" s="915"/>
      <c r="M9" s="915"/>
      <c r="N9" s="1260"/>
      <c r="O9" s="1261"/>
      <c r="Z9" s="1333"/>
      <c r="AA9" s="1334"/>
      <c r="AE9" s="204"/>
      <c r="AF9" s="204"/>
    </row>
    <row r="10" spans="1:32" ht="51.4" customHeight="1" x14ac:dyDescent="0.5">
      <c r="A10" s="910" t="s">
        <v>762</v>
      </c>
      <c r="B10" s="169"/>
      <c r="C10" s="2166" t="str">
        <f>"&gt;"&amp;C9&amp;"&lt;"</f>
        <v>&gt;Laufzeit bis 1.3.2025&lt;</v>
      </c>
      <c r="D10" s="2166"/>
      <c r="E10" s="2166"/>
      <c r="F10" s="2166"/>
      <c r="G10" s="192"/>
      <c r="H10" s="2157"/>
      <c r="I10" s="2157"/>
      <c r="J10" s="2157"/>
      <c r="K10" s="914"/>
      <c r="L10" s="915"/>
      <c r="M10" s="915"/>
      <c r="N10" s="1262" t="s">
        <v>991</v>
      </c>
      <c r="Q10" s="1257" t="str">
        <f ca="1">IFERROR(IF(OR('L-Rechner'!B56=F11,AND(F11="NEU",NOW()&lt;R10)),"OK!","f"),"f")</f>
        <v>OK!</v>
      </c>
      <c r="R10" s="1263">
        <v>46082</v>
      </c>
      <c r="Z10" s="1333"/>
      <c r="AA10" s="1334"/>
      <c r="AE10" s="204"/>
      <c r="AF10" s="204"/>
    </row>
    <row r="11" spans="1:32" ht="26.75" customHeight="1" x14ac:dyDescent="0.5">
      <c r="A11" s="909" t="s">
        <v>990</v>
      </c>
      <c r="B11" s="169"/>
      <c r="C11" s="2158" t="s">
        <v>1119</v>
      </c>
      <c r="D11" s="2159"/>
      <c r="E11" s="911">
        <f>LEN(C11)</f>
        <v>23</v>
      </c>
      <c r="F11" s="1254" t="s">
        <v>1120</v>
      </c>
      <c r="G11" s="911">
        <f>LEN(F11)</f>
        <v>4</v>
      </c>
      <c r="H11" s="2157"/>
      <c r="I11" s="2157"/>
      <c r="J11" s="2157"/>
      <c r="K11" s="914"/>
      <c r="L11" s="915"/>
      <c r="M11" s="915"/>
      <c r="N11" s="1262" t="s">
        <v>992</v>
      </c>
      <c r="O11" s="1264"/>
      <c r="Q11" s="1257" t="str">
        <f>IFERROR(IF('L-Rechner'!B48=C11,"OK!","f"),"f")</f>
        <v>OK!</v>
      </c>
      <c r="Z11" s="1333"/>
      <c r="AA11" s="1334"/>
      <c r="AE11" s="204"/>
      <c r="AF11" s="204"/>
    </row>
    <row r="12" spans="1:32" ht="51" customHeight="1" x14ac:dyDescent="0.5">
      <c r="A12" s="910" t="s">
        <v>989</v>
      </c>
      <c r="B12" s="169"/>
      <c r="C12" s="2167" t="str">
        <f>"&gt;"&amp;C11&amp;"&lt;"&amp;IF(E11&lt;&gt;23,"
Code muss 23 Zeichen lang sein!","")</f>
        <v>&gt;045t057W252k279X717k207&lt;</v>
      </c>
      <c r="D12" s="2167"/>
      <c r="E12" s="169"/>
      <c r="F12" s="1255" t="str">
        <f>"&gt;"&amp;F11&amp;"&lt;"</f>
        <v>&gt;RHEr&lt;</v>
      </c>
      <c r="G12" s="1249"/>
      <c r="H12" s="2157"/>
      <c r="I12" s="2157"/>
      <c r="J12" s="2157"/>
      <c r="K12" s="914"/>
      <c r="L12" s="915"/>
      <c r="M12" s="915"/>
      <c r="N12" s="2160"/>
      <c r="O12" s="2161"/>
      <c r="P12" s="2161"/>
      <c r="Z12" s="1333"/>
      <c r="AA12" s="1334"/>
      <c r="AE12" s="204"/>
      <c r="AF12" s="204"/>
    </row>
    <row r="13" spans="1:32" x14ac:dyDescent="0.5">
      <c r="A13" s="2149"/>
      <c r="B13" s="2150"/>
      <c r="C13" s="2150"/>
      <c r="D13" s="2150"/>
      <c r="E13" s="2150"/>
      <c r="F13" s="2168"/>
      <c r="G13" s="2169"/>
      <c r="N13" s="1260"/>
      <c r="Z13" s="1333"/>
      <c r="AA13" s="1334"/>
      <c r="AE13" s="204"/>
      <c r="AF13" s="204"/>
    </row>
    <row r="14" spans="1:32" ht="54.4" customHeight="1" x14ac:dyDescent="0.5">
      <c r="A14" s="1230" t="s">
        <v>205</v>
      </c>
      <c r="B14" s="2170">
        <f>Q14</f>
        <v>45717</v>
      </c>
      <c r="C14" s="2170"/>
      <c r="D14" s="2162" t="str">
        <f ca="1">IF(_OK?="OK!",N2,N3)</f>
        <v>Lizenz OK!</v>
      </c>
      <c r="E14" s="2162"/>
      <c r="F14" s="2162"/>
      <c r="G14" s="2163"/>
      <c r="H14" s="2156" t="str">
        <f ca="1">IF(AND(Q11="OK!",Q15="OK!",Q10="f"),N4,"")</f>
        <v/>
      </c>
      <c r="I14" s="2156"/>
      <c r="J14" s="2156"/>
      <c r="K14" s="916"/>
      <c r="L14" s="917"/>
      <c r="M14" s="917"/>
      <c r="N14" s="1265" t="str">
        <f>LEFT(C11,3)</f>
        <v>045</v>
      </c>
      <c r="O14" s="1266" t="str">
        <f>RIGHT(C11,7)</f>
        <v>717k207</v>
      </c>
      <c r="P14" s="1266" t="str">
        <f>LEFT(O14,3)</f>
        <v>717</v>
      </c>
      <c r="Q14" s="1267">
        <f>N14*1000+P14</f>
        <v>45717</v>
      </c>
      <c r="Z14" s="1333"/>
      <c r="AA14" s="1334"/>
      <c r="AE14" s="204"/>
      <c r="AF14" s="204"/>
    </row>
    <row r="15" spans="1:32" ht="55.25" customHeight="1" x14ac:dyDescent="0.5">
      <c r="A15" s="1231"/>
      <c r="B15" s="2171">
        <f ca="1">IFERROR(B14-TODAY(),-15)</f>
        <v>46</v>
      </c>
      <c r="C15" s="2171"/>
      <c r="D15" s="2164"/>
      <c r="E15" s="2164"/>
      <c r="F15" s="2164"/>
      <c r="G15" s="2165"/>
      <c r="H15" s="2156"/>
      <c r="I15" s="2156"/>
      <c r="J15" s="2156"/>
      <c r="K15" s="916"/>
      <c r="L15" s="917"/>
      <c r="M15" s="917"/>
      <c r="N15" s="1262" t="s">
        <v>988</v>
      </c>
      <c r="Q15" s="1257" t="str">
        <f ca="1">IFERROR(IF(B15&gt;-14,"OK!","f"),"f")</f>
        <v>OK!</v>
      </c>
      <c r="Z15" s="1333"/>
      <c r="AA15" s="1334"/>
      <c r="AE15" s="204"/>
      <c r="AF15" s="204"/>
    </row>
    <row r="16" spans="1:32" x14ac:dyDescent="0.5">
      <c r="A16" s="1232"/>
      <c r="B16" s="1233"/>
      <c r="C16" s="1233"/>
      <c r="D16" s="1232"/>
      <c r="E16" s="1232"/>
      <c r="F16" s="1234"/>
      <c r="G16" s="1234"/>
      <c r="H16" s="2156"/>
      <c r="I16" s="2156"/>
      <c r="J16" s="2156"/>
      <c r="N16" s="1257" t="s">
        <v>221</v>
      </c>
      <c r="Q16" s="1261" t="str">
        <f ca="1">IF(AND(Q10="OK!",Q11="OK!",Q15="OK!"),"OK!","f")</f>
        <v>OK!</v>
      </c>
      <c r="Z16" s="1333"/>
      <c r="AA16" s="1334"/>
      <c r="AE16" s="204"/>
      <c r="AF16" s="204"/>
    </row>
    <row r="17" spans="1:32" ht="79.150000000000006" customHeight="1" x14ac:dyDescent="0.5">
      <c r="A17" s="2197" t="str">
        <f ca="1">N23</f>
        <v/>
      </c>
      <c r="B17" s="2198"/>
      <c r="C17" s="2198"/>
      <c r="D17" s="2198"/>
      <c r="E17" s="2198"/>
      <c r="F17" s="2198"/>
      <c r="G17" s="2199"/>
      <c r="H17" s="2189" t="str">
        <f>IFERROR(IF(_OK_KV?&lt;&gt;"OK_KV!",Stammdaten!L13,""),"Quelldatei geöffnet? Vorhandenes Blatt ausgewählt? Zulässigen KollV verwendet (bei Verbandslizenzierung für Mitglieder)?")</f>
        <v/>
      </c>
      <c r="I17" s="206"/>
      <c r="J17" s="918"/>
      <c r="K17" s="918"/>
      <c r="L17" s="919"/>
      <c r="M17" s="919"/>
      <c r="N17" s="1260"/>
      <c r="Z17" s="1333"/>
      <c r="AA17" s="1334"/>
      <c r="AE17" s="204"/>
      <c r="AF17" s="204"/>
    </row>
    <row r="18" spans="1:32" x14ac:dyDescent="0.5">
      <c r="A18" s="186" t="s">
        <v>997</v>
      </c>
      <c r="B18" s="2194" t="s">
        <v>1102</v>
      </c>
      <c r="C18" s="2195"/>
      <c r="D18" s="2195"/>
      <c r="E18" s="2195"/>
      <c r="F18" s="2196"/>
      <c r="G18" s="174"/>
      <c r="H18" s="2189"/>
      <c r="I18" s="206"/>
      <c r="J18" s="918"/>
      <c r="K18" s="918"/>
      <c r="L18" s="919"/>
      <c r="M18" s="919"/>
      <c r="N18" s="1260">
        <f ca="1">IF(AND(_OK?="OK!",OR(C9="…",C9="###")),1,0)</f>
        <v>0</v>
      </c>
      <c r="O18" s="1257" t="s">
        <v>995</v>
      </c>
      <c r="Z18" s="1333"/>
      <c r="AA18" s="1334"/>
      <c r="AE18" s="204"/>
      <c r="AF18" s="204"/>
    </row>
    <row r="19" spans="1:32" x14ac:dyDescent="0.5">
      <c r="A19" s="119" t="s">
        <v>998</v>
      </c>
      <c r="B19" s="2194" t="s">
        <v>1115</v>
      </c>
      <c r="C19" s="2195"/>
      <c r="D19" s="2195"/>
      <c r="E19" s="2195"/>
      <c r="F19" s="2196"/>
      <c r="G19" s="187"/>
      <c r="H19" s="2189"/>
      <c r="I19" s="206"/>
      <c r="J19" s="918"/>
      <c r="K19" s="918"/>
      <c r="L19" s="919"/>
      <c r="M19" s="919"/>
      <c r="N19" s="1268">
        <f>IFERROR(SEARCH("KV#",C9),0)</f>
        <v>0</v>
      </c>
      <c r="O19" s="1257" t="s">
        <v>999</v>
      </c>
      <c r="Z19" s="1333"/>
      <c r="AA19" s="1334"/>
      <c r="AE19" s="204"/>
      <c r="AF19" s="204"/>
    </row>
    <row r="20" spans="1:32" ht="16.149999999999999" thickBot="1" x14ac:dyDescent="0.55000000000000004">
      <c r="A20" s="1250"/>
      <c r="B20" s="1251"/>
      <c r="C20" s="1251"/>
      <c r="D20" s="1250"/>
      <c r="E20" s="1250"/>
      <c r="F20" s="1248"/>
      <c r="G20" s="1248"/>
      <c r="H20" s="2189"/>
      <c r="I20" s="206"/>
      <c r="J20" s="918"/>
      <c r="K20" s="918"/>
      <c r="L20" s="919"/>
      <c r="M20" s="919"/>
      <c r="N20" s="1257" t="str">
        <f>MID(C9,4,LEN(C9)-3)</f>
        <v>fzeit bis 1.3.2025</v>
      </c>
      <c r="Z20" s="1333"/>
      <c r="AA20" s="1335"/>
      <c r="AE20" s="204"/>
      <c r="AF20" s="204"/>
    </row>
    <row r="21" spans="1:32" ht="16.149999999999999" thickBot="1" x14ac:dyDescent="0.55000000000000004">
      <c r="A21" s="2191" t="s">
        <v>210</v>
      </c>
      <c r="B21" s="2192"/>
      <c r="C21" s="2192"/>
      <c r="D21" s="2192"/>
      <c r="E21" s="2192"/>
      <c r="F21" s="2192"/>
      <c r="G21" s="2193"/>
      <c r="H21" s="2189"/>
      <c r="I21" s="206"/>
      <c r="J21" s="918"/>
      <c r="K21" s="918"/>
      <c r="L21" s="919"/>
      <c r="M21" s="919"/>
      <c r="N21" s="1269">
        <f ca="1">IFERROR(IF(SEARCH(N20,KALKULATION!B34)&gt;0,1,0),0)</f>
        <v>0</v>
      </c>
      <c r="O21" s="1257" t="s">
        <v>1000</v>
      </c>
      <c r="Z21" s="1333"/>
      <c r="AA21" s="1335"/>
      <c r="AE21" s="204"/>
      <c r="AF21" s="204"/>
    </row>
    <row r="22" spans="1:32" ht="16.149999999999999" thickBot="1" x14ac:dyDescent="0.55000000000000004">
      <c r="A22" s="1252" t="s">
        <v>211</v>
      </c>
      <c r="B22" s="2190" t="str">
        <f ca="1">IFERROR(IF(_OK?="OK!",C7,"Nur als Testversion nutzbar!"),"QUELLDATEI NICHT GEÖFFNET - siehe Stammdaten!!")</f>
        <v>Mittellohnpreisbroschüre EuM 2025</v>
      </c>
      <c r="C22" s="2190"/>
      <c r="D22" s="2190"/>
      <c r="E22" s="2190"/>
      <c r="F22" s="2190"/>
      <c r="G22" s="1253"/>
      <c r="H22" s="2189"/>
      <c r="I22" s="206"/>
      <c r="J22" s="918"/>
      <c r="K22" s="918"/>
      <c r="L22" s="919"/>
      <c r="M22" s="919"/>
      <c r="N22" s="1260">
        <f ca="1">N19+N21</f>
        <v>0</v>
      </c>
      <c r="Z22" s="1333"/>
      <c r="AA22" s="1335"/>
      <c r="AE22" s="204"/>
      <c r="AF22" s="204"/>
    </row>
    <row r="23" spans="1:32" ht="16.149999999999999" thickBot="1" x14ac:dyDescent="0.55000000000000004">
      <c r="A23" s="1252" t="s">
        <v>212</v>
      </c>
      <c r="B23" s="2190" t="str">
        <f ca="1">IFERROR(IF(_OK?&lt;&gt;"OK!","Nur als Testversion nutzbar!",IF(OR(N18=1,N21=1),IF(B18=""," ",B18),C9)),"QUELLDATEI NICHT GEÖFFNET - siehe Stammdaten!!")</f>
        <v>Laufzeit bis 1.3.2025</v>
      </c>
      <c r="C23" s="2190"/>
      <c r="D23" s="2190"/>
      <c r="E23" s="2190"/>
      <c r="F23" s="2190"/>
      <c r="G23" s="1253"/>
      <c r="H23" s="2189"/>
      <c r="I23" s="206"/>
      <c r="J23" s="918"/>
      <c r="K23" s="918"/>
      <c r="L23" s="919"/>
      <c r="M23" s="919"/>
      <c r="N23" s="1270" t="str">
        <f ca="1">IF(_OK?&lt;&gt;"OK!",N24,IF(N18=1,N25,IF(N22=1,N26,IF(N22=2,N27,""))))</f>
        <v/>
      </c>
      <c r="O23" s="1271"/>
      <c r="P23" s="1271"/>
      <c r="Q23" s="1271"/>
      <c r="R23" s="1272"/>
      <c r="Z23" s="1333"/>
      <c r="AA23" s="1335"/>
      <c r="AE23" s="204"/>
      <c r="AF23" s="204"/>
    </row>
    <row r="24" spans="1:32" x14ac:dyDescent="0.5">
      <c r="A24" s="1252" t="s">
        <v>213</v>
      </c>
      <c r="B24" s="2190" t="str">
        <f ca="1">IFERROR(IF(_OK?&lt;&gt;"OK!","Nur als Testversion nutzbar!",IF(OR(N18=1,N21=1),IF(B19=""," ",B19),"")),"QUELLDATEI NICHT GEÖFFNET - siehe Stammdaten!!")</f>
        <v/>
      </c>
      <c r="C24" s="2190"/>
      <c r="D24" s="2190"/>
      <c r="E24" s="2190"/>
      <c r="F24" s="2190"/>
      <c r="G24" s="1253"/>
      <c r="H24" s="2189"/>
      <c r="I24" s="206"/>
      <c r="J24" s="918"/>
      <c r="K24" s="918"/>
      <c r="L24" s="919"/>
      <c r="M24" s="919"/>
      <c r="N24" s="1260" t="s">
        <v>996</v>
      </c>
      <c r="Z24" s="1333"/>
      <c r="AA24" s="1334"/>
      <c r="AE24" s="204"/>
      <c r="AF24" s="204"/>
    </row>
    <row r="25" spans="1:32" ht="16.149999999999999" thickBot="1" x14ac:dyDescent="0.55000000000000004">
      <c r="A25" s="1252"/>
      <c r="B25" s="880"/>
      <c r="C25" s="880"/>
      <c r="D25" s="880"/>
      <c r="E25" s="880"/>
      <c r="F25" s="880"/>
      <c r="G25" s="1253"/>
      <c r="H25" s="2189"/>
      <c r="I25" s="206"/>
      <c r="J25" s="918"/>
      <c r="K25" s="918"/>
      <c r="L25" s="919"/>
      <c r="M25" s="919"/>
      <c r="N25" s="1260" t="s">
        <v>1003</v>
      </c>
      <c r="Z25" s="1333"/>
      <c r="AA25" s="1334"/>
      <c r="AE25" s="204"/>
      <c r="AF25" s="204"/>
    </row>
    <row r="26" spans="1:32" ht="22.9" customHeight="1" x14ac:dyDescent="0.5">
      <c r="A26" s="2183" t="s">
        <v>251</v>
      </c>
      <c r="B26" s="2184"/>
      <c r="C26" s="2184"/>
      <c r="D26" s="2184"/>
      <c r="E26" s="2184"/>
      <c r="F26" s="2184"/>
      <c r="G26" s="2185"/>
      <c r="H26" s="2189"/>
      <c r="I26" s="206"/>
      <c r="J26" s="918"/>
      <c r="K26" s="918"/>
      <c r="L26" s="919"/>
      <c r="M26" s="919"/>
      <c r="N26" s="1260" t="s">
        <v>1001</v>
      </c>
      <c r="Z26" s="1333"/>
      <c r="AA26" s="1334"/>
      <c r="AE26" s="204"/>
      <c r="AF26" s="204"/>
    </row>
    <row r="27" spans="1:32" ht="22.9" customHeight="1" thickBot="1" x14ac:dyDescent="0.55000000000000004">
      <c r="A27" s="1256" t="s">
        <v>208</v>
      </c>
      <c r="B27" s="2186"/>
      <c r="C27" s="2187"/>
      <c r="D27" s="2187"/>
      <c r="E27" s="2187"/>
      <c r="F27" s="2187"/>
      <c r="G27" s="2188"/>
      <c r="H27" s="2189"/>
      <c r="I27" s="206"/>
      <c r="J27" s="918"/>
      <c r="K27" s="918"/>
      <c r="L27" s="919"/>
      <c r="M27" s="919"/>
      <c r="N27" s="1260" t="s">
        <v>1004</v>
      </c>
      <c r="Z27" s="1333"/>
      <c r="AA27" s="1334"/>
      <c r="AE27" s="204"/>
      <c r="AF27" s="204"/>
    </row>
    <row r="28" spans="1:32" x14ac:dyDescent="0.5">
      <c r="A28" s="880"/>
      <c r="B28" s="880"/>
      <c r="C28" s="1237"/>
      <c r="D28" s="880"/>
      <c r="E28" s="880"/>
      <c r="F28" s="1236"/>
      <c r="G28" s="1236"/>
      <c r="H28" s="2189"/>
      <c r="I28" s="206"/>
      <c r="J28" s="918"/>
      <c r="K28" s="918"/>
      <c r="L28" s="919"/>
      <c r="M28" s="919"/>
      <c r="N28" s="1260"/>
      <c r="Z28" s="1333"/>
      <c r="AA28" s="1334"/>
      <c r="AE28" s="204"/>
      <c r="AF28" s="204"/>
    </row>
    <row r="29" spans="1:32" x14ac:dyDescent="0.5">
      <c r="A29" s="1238" t="s">
        <v>233</v>
      </c>
      <c r="B29" s="2135" t="str">
        <f ca="1">B22</f>
        <v>Mittellohnpreisbroschüre EuM 2025</v>
      </c>
      <c r="C29" s="2135"/>
      <c r="D29" s="2135"/>
      <c r="E29" s="2135"/>
      <c r="F29" s="2135"/>
      <c r="G29" s="2136"/>
      <c r="H29" s="2189"/>
      <c r="I29" s="206"/>
      <c r="J29" s="918"/>
      <c r="K29" s="918"/>
      <c r="L29" s="919"/>
      <c r="M29" s="919"/>
      <c r="N29" s="1260"/>
      <c r="O29" s="2154"/>
      <c r="P29" s="2154"/>
      <c r="Q29" s="2154"/>
      <c r="R29" s="2154"/>
      <c r="Z29" s="1333"/>
      <c r="AA29" s="1334"/>
      <c r="AE29" s="204"/>
      <c r="AF29" s="204"/>
    </row>
    <row r="30" spans="1:32" x14ac:dyDescent="0.5">
      <c r="A30" s="880"/>
      <c r="B30" s="1239"/>
      <c r="C30" s="1239"/>
      <c r="D30" s="1240"/>
      <c r="E30" s="880"/>
      <c r="F30" s="880"/>
      <c r="G30" s="880"/>
      <c r="N30" s="1260"/>
      <c r="O30" s="2154"/>
      <c r="P30" s="2154"/>
      <c r="Q30" s="2154"/>
      <c r="R30" s="2154"/>
      <c r="Z30" s="1333"/>
      <c r="AA30" s="1334"/>
      <c r="AE30" s="204"/>
      <c r="AF30" s="204"/>
    </row>
    <row r="31" spans="1:32" x14ac:dyDescent="0.5">
      <c r="A31" s="2200" t="s">
        <v>207</v>
      </c>
      <c r="B31" s="2201"/>
      <c r="C31" s="2201"/>
      <c r="D31" s="2201"/>
      <c r="E31" s="2201"/>
      <c r="F31" s="2201"/>
      <c r="G31" s="2202"/>
      <c r="N31" s="1260"/>
      <c r="O31" s="2154"/>
      <c r="P31" s="2154"/>
      <c r="Q31" s="2154"/>
      <c r="R31" s="2154"/>
      <c r="Z31" s="1333"/>
      <c r="AA31" s="1334"/>
      <c r="AE31" s="204"/>
      <c r="AF31" s="204"/>
    </row>
    <row r="32" spans="1:32" x14ac:dyDescent="0.5">
      <c r="A32" s="1241" t="s">
        <v>209</v>
      </c>
      <c r="B32" s="2153" t="s">
        <v>1103</v>
      </c>
      <c r="C32" s="2153"/>
      <c r="D32" s="1242" t="s">
        <v>1129</v>
      </c>
      <c r="E32" s="1242"/>
      <c r="F32" s="2181" t="s">
        <v>219</v>
      </c>
      <c r="G32" s="2182"/>
      <c r="N32" s="1260"/>
      <c r="O32" s="2154"/>
      <c r="P32" s="2154"/>
      <c r="Q32" s="2154"/>
      <c r="R32" s="2154"/>
      <c r="Z32" s="1333"/>
      <c r="AA32" s="1334"/>
      <c r="AE32" s="204"/>
      <c r="AF32" s="204"/>
    </row>
    <row r="33" spans="1:32" x14ac:dyDescent="0.5">
      <c r="A33" s="1235" t="s">
        <v>206</v>
      </c>
      <c r="B33" s="2152"/>
      <c r="C33" s="2152"/>
      <c r="D33" s="2152"/>
      <c r="E33" s="1243"/>
      <c r="F33" s="1243"/>
      <c r="G33" s="1244"/>
      <c r="N33" s="1260"/>
      <c r="Z33" s="1333"/>
      <c r="AA33" s="1334"/>
      <c r="AE33" s="204"/>
      <c r="AF33" s="204"/>
    </row>
    <row r="34" spans="1:32" x14ac:dyDescent="0.5">
      <c r="A34" s="880"/>
      <c r="B34" s="1245"/>
      <c r="C34" s="880"/>
      <c r="D34" s="1246"/>
      <c r="E34" s="880"/>
      <c r="F34" s="880"/>
      <c r="G34" s="880"/>
      <c r="N34" s="1260"/>
      <c r="Z34" s="1333"/>
      <c r="AA34" s="1334"/>
      <c r="AE34" s="204"/>
      <c r="AF34" s="204"/>
    </row>
    <row r="35" spans="1:32" x14ac:dyDescent="0.5">
      <c r="A35" s="880"/>
      <c r="B35" s="880"/>
      <c r="C35" s="880"/>
      <c r="D35" s="880"/>
      <c r="E35" s="880"/>
      <c r="F35" s="880"/>
      <c r="G35" s="880"/>
      <c r="N35" s="1260"/>
      <c r="Z35" s="1333"/>
      <c r="AA35" s="1334"/>
      <c r="AE35" s="204"/>
      <c r="AF35" s="204"/>
    </row>
    <row r="36" spans="1:32" ht="21" x14ac:dyDescent="0.65">
      <c r="A36" s="2125" t="s">
        <v>202</v>
      </c>
      <c r="B36" s="2126"/>
      <c r="C36" s="2126"/>
      <c r="D36" s="2126"/>
      <c r="E36" s="2126"/>
      <c r="F36" s="2126"/>
      <c r="G36" s="2127"/>
      <c r="H36" s="205"/>
      <c r="N36" s="1260"/>
      <c r="Z36" s="1333"/>
      <c r="AA36" s="1334"/>
      <c r="AE36" s="204"/>
      <c r="AF36" s="204"/>
    </row>
    <row r="37" spans="1:32" ht="15.95" customHeight="1" x14ac:dyDescent="0.5">
      <c r="A37" s="880"/>
      <c r="B37" s="880"/>
      <c r="C37" s="880"/>
      <c r="D37" s="880"/>
      <c r="E37" s="880"/>
      <c r="F37" s="880"/>
      <c r="G37" s="880"/>
      <c r="N37" s="1260"/>
      <c r="Z37" s="1333"/>
      <c r="AA37" s="1334"/>
      <c r="AE37" s="204"/>
      <c r="AF37" s="204"/>
    </row>
    <row r="38" spans="1:32" ht="15.95" customHeight="1" x14ac:dyDescent="0.5">
      <c r="A38" s="2134" t="s">
        <v>922</v>
      </c>
      <c r="B38" s="2117"/>
      <c r="C38" s="2117"/>
      <c r="D38" s="2117"/>
      <c r="E38" s="2117"/>
      <c r="F38" s="2117"/>
      <c r="G38" s="2118"/>
      <c r="N38" s="1260"/>
      <c r="Z38" s="1333"/>
      <c r="AA38" s="1334"/>
      <c r="AE38" s="204"/>
      <c r="AF38" s="204"/>
    </row>
    <row r="39" spans="1:32" ht="15.95" customHeight="1" x14ac:dyDescent="0.5">
      <c r="A39" s="2119"/>
      <c r="B39" s="2120"/>
      <c r="C39" s="2120"/>
      <c r="D39" s="2120"/>
      <c r="E39" s="2120"/>
      <c r="F39" s="2120"/>
      <c r="G39" s="2121"/>
      <c r="N39" s="1260"/>
      <c r="Z39" s="1333"/>
      <c r="AA39" s="1334"/>
      <c r="AE39" s="204"/>
      <c r="AF39" s="204"/>
    </row>
    <row r="40" spans="1:32" ht="15.95" customHeight="1" x14ac:dyDescent="0.5">
      <c r="A40" s="2119"/>
      <c r="B40" s="2120"/>
      <c r="C40" s="2120"/>
      <c r="D40" s="2120"/>
      <c r="E40" s="2120"/>
      <c r="F40" s="2120"/>
      <c r="G40" s="2121"/>
      <c r="N40" s="1260"/>
      <c r="Z40" s="1333"/>
      <c r="AA40" s="1334"/>
      <c r="AE40" s="204"/>
      <c r="AF40" s="204"/>
    </row>
    <row r="41" spans="1:32" ht="15.95" customHeight="1" x14ac:dyDescent="0.5">
      <c r="A41" s="2119"/>
      <c r="B41" s="2120"/>
      <c r="C41" s="2120"/>
      <c r="D41" s="2120"/>
      <c r="E41" s="2120"/>
      <c r="F41" s="2120"/>
      <c r="G41" s="2121"/>
      <c r="N41" s="1269"/>
      <c r="O41" s="1273"/>
      <c r="P41" s="1273"/>
      <c r="Q41" s="1273"/>
      <c r="R41" s="1273"/>
      <c r="S41" s="1273"/>
      <c r="T41" s="1273"/>
      <c r="U41" s="1273"/>
      <c r="V41" s="1273"/>
      <c r="W41" s="1273"/>
      <c r="X41" s="1273"/>
      <c r="Y41" s="1273"/>
      <c r="Z41" s="1336"/>
      <c r="AA41" s="1337"/>
    </row>
    <row r="42" spans="1:32" ht="15.95" customHeight="1" x14ac:dyDescent="0.5">
      <c r="A42" s="2119"/>
      <c r="B42" s="2120"/>
      <c r="C42" s="2120"/>
      <c r="D42" s="2120"/>
      <c r="E42" s="2120"/>
      <c r="F42" s="2120"/>
      <c r="G42" s="2121"/>
    </row>
    <row r="43" spans="1:32" ht="15.95" customHeight="1" x14ac:dyDescent="0.5">
      <c r="A43" s="2119"/>
      <c r="B43" s="2120"/>
      <c r="C43" s="2120"/>
      <c r="D43" s="2120"/>
      <c r="E43" s="2120"/>
      <c r="F43" s="2120"/>
      <c r="G43" s="2121"/>
    </row>
    <row r="44" spans="1:32" ht="15.95" customHeight="1" x14ac:dyDescent="0.5">
      <c r="A44" s="2119"/>
      <c r="B44" s="2120"/>
      <c r="C44" s="2120"/>
      <c r="D44" s="2120"/>
      <c r="E44" s="2120"/>
      <c r="F44" s="2120"/>
      <c r="G44" s="2121"/>
    </row>
    <row r="45" spans="1:32" ht="15.95" customHeight="1" x14ac:dyDescent="0.5">
      <c r="A45" s="2119"/>
      <c r="B45" s="2120"/>
      <c r="C45" s="2120"/>
      <c r="D45" s="2120"/>
      <c r="E45" s="2120"/>
      <c r="F45" s="2120"/>
      <c r="G45" s="2121"/>
    </row>
    <row r="46" spans="1:32" x14ac:dyDescent="0.5">
      <c r="A46" s="2119"/>
      <c r="B46" s="2120"/>
      <c r="C46" s="2120"/>
      <c r="D46" s="2120"/>
      <c r="E46" s="2120"/>
      <c r="F46" s="2120"/>
      <c r="G46" s="2121"/>
    </row>
    <row r="47" spans="1:32" x14ac:dyDescent="0.5">
      <c r="A47" s="2119"/>
      <c r="B47" s="2120"/>
      <c r="C47" s="2120"/>
      <c r="D47" s="2120"/>
      <c r="E47" s="2120"/>
      <c r="F47" s="2120"/>
      <c r="G47" s="2121"/>
    </row>
    <row r="48" spans="1:32" x14ac:dyDescent="0.5">
      <c r="A48" s="2119"/>
      <c r="B48" s="2120"/>
      <c r="C48" s="2120"/>
      <c r="D48" s="2120"/>
      <c r="E48" s="2120"/>
      <c r="F48" s="2120"/>
      <c r="G48" s="2121"/>
    </row>
    <row r="49" spans="1:7" x14ac:dyDescent="0.5">
      <c r="A49" s="2119"/>
      <c r="B49" s="2120"/>
      <c r="C49" s="2120"/>
      <c r="D49" s="2120"/>
      <c r="E49" s="2120"/>
      <c r="F49" s="2120"/>
      <c r="G49" s="2121"/>
    </row>
    <row r="50" spans="1:7" x14ac:dyDescent="0.5">
      <c r="A50" s="2119"/>
      <c r="B50" s="2120"/>
      <c r="C50" s="2120"/>
      <c r="D50" s="2120"/>
      <c r="E50" s="2120"/>
      <c r="F50" s="2120"/>
      <c r="G50" s="2121"/>
    </row>
    <row r="51" spans="1:7" x14ac:dyDescent="0.5">
      <c r="A51" s="2119"/>
      <c r="B51" s="2120"/>
      <c r="C51" s="2120"/>
      <c r="D51" s="2120"/>
      <c r="E51" s="2120"/>
      <c r="F51" s="2120"/>
      <c r="G51" s="2121"/>
    </row>
    <row r="52" spans="1:7" x14ac:dyDescent="0.5">
      <c r="A52" s="2119"/>
      <c r="B52" s="2120"/>
      <c r="C52" s="2120"/>
      <c r="D52" s="2120"/>
      <c r="E52" s="2120"/>
      <c r="F52" s="2120"/>
      <c r="G52" s="2121"/>
    </row>
    <row r="53" spans="1:7" x14ac:dyDescent="0.5">
      <c r="A53" s="2119"/>
      <c r="B53" s="2120"/>
      <c r="C53" s="2120"/>
      <c r="D53" s="2120"/>
      <c r="E53" s="2120"/>
      <c r="F53" s="2120"/>
      <c r="G53" s="2121"/>
    </row>
    <row r="54" spans="1:7" x14ac:dyDescent="0.5">
      <c r="A54" s="2119"/>
      <c r="B54" s="2120"/>
      <c r="C54" s="2120"/>
      <c r="D54" s="2120"/>
      <c r="E54" s="2120"/>
      <c r="F54" s="2120"/>
      <c r="G54" s="2121"/>
    </row>
    <row r="55" spans="1:7" x14ac:dyDescent="0.5">
      <c r="A55" s="2119"/>
      <c r="B55" s="2120"/>
      <c r="C55" s="2120"/>
      <c r="D55" s="2120"/>
      <c r="E55" s="2120"/>
      <c r="F55" s="2120"/>
      <c r="G55" s="2121"/>
    </row>
    <row r="56" spans="1:7" x14ac:dyDescent="0.5">
      <c r="A56" s="2119"/>
      <c r="B56" s="2120"/>
      <c r="C56" s="2120"/>
      <c r="D56" s="2120"/>
      <c r="E56" s="2120"/>
      <c r="F56" s="2120"/>
      <c r="G56" s="2121"/>
    </row>
    <row r="57" spans="1:7" x14ac:dyDescent="0.5">
      <c r="A57" s="2119"/>
      <c r="B57" s="2120"/>
      <c r="C57" s="2120"/>
      <c r="D57" s="2120"/>
      <c r="E57" s="2120"/>
      <c r="F57" s="2120"/>
      <c r="G57" s="2121"/>
    </row>
    <row r="58" spans="1:7" x14ac:dyDescent="0.5">
      <c r="A58" s="2119"/>
      <c r="B58" s="2120"/>
      <c r="C58" s="2120"/>
      <c r="D58" s="2120"/>
      <c r="E58" s="2120"/>
      <c r="F58" s="2120"/>
      <c r="G58" s="2121"/>
    </row>
    <row r="59" spans="1:7" x14ac:dyDescent="0.5">
      <c r="A59" s="2119"/>
      <c r="B59" s="2120"/>
      <c r="C59" s="2120"/>
      <c r="D59" s="2120"/>
      <c r="E59" s="2120"/>
      <c r="F59" s="2120"/>
      <c r="G59" s="2121"/>
    </row>
    <row r="60" spans="1:7" x14ac:dyDescent="0.5">
      <c r="A60" s="2119"/>
      <c r="B60" s="2120"/>
      <c r="C60" s="2120"/>
      <c r="D60" s="2120"/>
      <c r="E60" s="2120"/>
      <c r="F60" s="2120"/>
      <c r="G60" s="2121"/>
    </row>
    <row r="61" spans="1:7" x14ac:dyDescent="0.5">
      <c r="A61" s="2119"/>
      <c r="B61" s="2120"/>
      <c r="C61" s="2120"/>
      <c r="D61" s="2120"/>
      <c r="E61" s="2120"/>
      <c r="F61" s="2120"/>
      <c r="G61" s="2121"/>
    </row>
    <row r="62" spans="1:7" x14ac:dyDescent="0.5">
      <c r="A62" s="2119"/>
      <c r="B62" s="2120"/>
      <c r="C62" s="2120"/>
      <c r="D62" s="2120"/>
      <c r="E62" s="2120"/>
      <c r="F62" s="2120"/>
      <c r="G62" s="2121"/>
    </row>
    <row r="63" spans="1:7" x14ac:dyDescent="0.5">
      <c r="A63" s="2119"/>
      <c r="B63" s="2120"/>
      <c r="C63" s="2120"/>
      <c r="D63" s="2120"/>
      <c r="E63" s="2120"/>
      <c r="F63" s="2120"/>
      <c r="G63" s="2121"/>
    </row>
    <row r="64" spans="1:7" x14ac:dyDescent="0.5">
      <c r="A64" s="2119"/>
      <c r="B64" s="2120"/>
      <c r="C64" s="2120"/>
      <c r="D64" s="2120"/>
      <c r="E64" s="2120"/>
      <c r="F64" s="2120"/>
      <c r="G64" s="2121"/>
    </row>
    <row r="65" spans="1:7" x14ac:dyDescent="0.5">
      <c r="A65" s="2122"/>
      <c r="B65" s="2123"/>
      <c r="C65" s="2123"/>
      <c r="D65" s="2123"/>
      <c r="E65" s="2123"/>
      <c r="F65" s="2123"/>
      <c r="G65" s="2124"/>
    </row>
    <row r="67" spans="1:7" ht="15.75" customHeight="1" x14ac:dyDescent="0.5">
      <c r="A67" s="2116" t="s">
        <v>235</v>
      </c>
      <c r="B67" s="2117"/>
      <c r="C67" s="2117"/>
      <c r="D67" s="2117"/>
      <c r="E67" s="2117"/>
      <c r="F67" s="2117"/>
      <c r="G67" s="2118"/>
    </row>
    <row r="68" spans="1:7" x14ac:dyDescent="0.5">
      <c r="A68" s="2119"/>
      <c r="B68" s="2120"/>
      <c r="C68" s="2120"/>
      <c r="D68" s="2120"/>
      <c r="E68" s="2120"/>
      <c r="F68" s="2120"/>
      <c r="G68" s="2121"/>
    </row>
    <row r="69" spans="1:7" x14ac:dyDescent="0.5">
      <c r="A69" s="2119"/>
      <c r="B69" s="2120"/>
      <c r="C69" s="2120"/>
      <c r="D69" s="2120"/>
      <c r="E69" s="2120"/>
      <c r="F69" s="2120"/>
      <c r="G69" s="2121"/>
    </row>
    <row r="70" spans="1:7" x14ac:dyDescent="0.5">
      <c r="A70" s="2119"/>
      <c r="B70" s="2120"/>
      <c r="C70" s="2120"/>
      <c r="D70" s="2120"/>
      <c r="E70" s="2120"/>
      <c r="F70" s="2120"/>
      <c r="G70" s="2121"/>
    </row>
    <row r="71" spans="1:7" x14ac:dyDescent="0.5">
      <c r="A71" s="2119"/>
      <c r="B71" s="2120"/>
      <c r="C71" s="2120"/>
      <c r="D71" s="2120"/>
      <c r="E71" s="2120"/>
      <c r="F71" s="2120"/>
      <c r="G71" s="2121"/>
    </row>
    <row r="72" spans="1:7" x14ac:dyDescent="0.5">
      <c r="A72" s="2119"/>
      <c r="B72" s="2120"/>
      <c r="C72" s="2120"/>
      <c r="D72" s="2120"/>
      <c r="E72" s="2120"/>
      <c r="F72" s="2120"/>
      <c r="G72" s="2121"/>
    </row>
    <row r="73" spans="1:7" x14ac:dyDescent="0.5">
      <c r="A73" s="2119"/>
      <c r="B73" s="2120"/>
      <c r="C73" s="2120"/>
      <c r="D73" s="2120"/>
      <c r="E73" s="2120"/>
      <c r="F73" s="2120"/>
      <c r="G73" s="2121"/>
    </row>
    <row r="74" spans="1:7" x14ac:dyDescent="0.5">
      <c r="A74" s="2119"/>
      <c r="B74" s="2120"/>
      <c r="C74" s="2120"/>
      <c r="D74" s="2120"/>
      <c r="E74" s="2120"/>
      <c r="F74" s="2120"/>
      <c r="G74" s="2121"/>
    </row>
    <row r="75" spans="1:7" x14ac:dyDescent="0.5">
      <c r="A75" s="2119"/>
      <c r="B75" s="2120"/>
      <c r="C75" s="2120"/>
      <c r="D75" s="2120"/>
      <c r="E75" s="2120"/>
      <c r="F75" s="2120"/>
      <c r="G75" s="2121"/>
    </row>
    <row r="76" spans="1:7" x14ac:dyDescent="0.5">
      <c r="A76" s="2119"/>
      <c r="B76" s="2120"/>
      <c r="C76" s="2120"/>
      <c r="D76" s="2120"/>
      <c r="E76" s="2120"/>
      <c r="F76" s="2120"/>
      <c r="G76" s="2121"/>
    </row>
    <row r="77" spans="1:7" x14ac:dyDescent="0.5">
      <c r="A77" s="2119"/>
      <c r="B77" s="2120"/>
      <c r="C77" s="2120"/>
      <c r="D77" s="2120"/>
      <c r="E77" s="2120"/>
      <c r="F77" s="2120"/>
      <c r="G77" s="2121"/>
    </row>
    <row r="78" spans="1:7" x14ac:dyDescent="0.5">
      <c r="A78" s="2119"/>
      <c r="B78" s="2120"/>
      <c r="C78" s="2120"/>
      <c r="D78" s="2120"/>
      <c r="E78" s="2120"/>
      <c r="F78" s="2120"/>
      <c r="G78" s="2121"/>
    </row>
    <row r="79" spans="1:7" x14ac:dyDescent="0.5">
      <c r="A79" s="2119"/>
      <c r="B79" s="2120"/>
      <c r="C79" s="2120"/>
      <c r="D79" s="2120"/>
      <c r="E79" s="2120"/>
      <c r="F79" s="2120"/>
      <c r="G79" s="2121"/>
    </row>
    <row r="80" spans="1:7" x14ac:dyDescent="0.5">
      <c r="A80" s="2119"/>
      <c r="B80" s="2120"/>
      <c r="C80" s="2120"/>
      <c r="D80" s="2120"/>
      <c r="E80" s="2120"/>
      <c r="F80" s="2120"/>
      <c r="G80" s="2121"/>
    </row>
    <row r="81" spans="1:7" x14ac:dyDescent="0.5">
      <c r="A81" s="2119"/>
      <c r="B81" s="2120"/>
      <c r="C81" s="2120"/>
      <c r="D81" s="2120"/>
      <c r="E81" s="2120"/>
      <c r="F81" s="2120"/>
      <c r="G81" s="2121"/>
    </row>
    <row r="82" spans="1:7" x14ac:dyDescent="0.5">
      <c r="A82" s="2119"/>
      <c r="B82" s="2120"/>
      <c r="C82" s="2120"/>
      <c r="D82" s="2120"/>
      <c r="E82" s="2120"/>
      <c r="F82" s="2120"/>
      <c r="G82" s="2121"/>
    </row>
    <row r="83" spans="1:7" x14ac:dyDescent="0.5">
      <c r="A83" s="2119"/>
      <c r="B83" s="2120"/>
      <c r="C83" s="2120"/>
      <c r="D83" s="2120"/>
      <c r="E83" s="2120"/>
      <c r="F83" s="2120"/>
      <c r="G83" s="2121"/>
    </row>
    <row r="84" spans="1:7" x14ac:dyDescent="0.5">
      <c r="A84" s="2119"/>
      <c r="B84" s="2120"/>
      <c r="C84" s="2120"/>
      <c r="D84" s="2120"/>
      <c r="E84" s="2120"/>
      <c r="F84" s="2120"/>
      <c r="G84" s="2121"/>
    </row>
    <row r="85" spans="1:7" x14ac:dyDescent="0.5">
      <c r="A85" s="2119"/>
      <c r="B85" s="2120"/>
      <c r="C85" s="2120"/>
      <c r="D85" s="2120"/>
      <c r="E85" s="2120"/>
      <c r="F85" s="2120"/>
      <c r="G85" s="2121"/>
    </row>
    <row r="86" spans="1:7" x14ac:dyDescent="0.5">
      <c r="A86" s="2119"/>
      <c r="B86" s="2120"/>
      <c r="C86" s="2120"/>
      <c r="D86" s="2120"/>
      <c r="E86" s="2120"/>
      <c r="F86" s="2120"/>
      <c r="G86" s="2121"/>
    </row>
    <row r="87" spans="1:7" x14ac:dyDescent="0.5">
      <c r="A87" s="2119"/>
      <c r="B87" s="2120"/>
      <c r="C87" s="2120"/>
      <c r="D87" s="2120"/>
      <c r="E87" s="2120"/>
      <c r="F87" s="2120"/>
      <c r="G87" s="2121"/>
    </row>
    <row r="88" spans="1:7" x14ac:dyDescent="0.5">
      <c r="A88" s="2119"/>
      <c r="B88" s="2120"/>
      <c r="C88" s="2120"/>
      <c r="D88" s="2120"/>
      <c r="E88" s="2120"/>
      <c r="F88" s="2120"/>
      <c r="G88" s="2121"/>
    </row>
    <row r="89" spans="1:7" x14ac:dyDescent="0.5">
      <c r="A89" s="2122"/>
      <c r="B89" s="2123"/>
      <c r="C89" s="2123"/>
      <c r="D89" s="2123"/>
      <c r="E89" s="2123"/>
      <c r="F89" s="2123"/>
      <c r="G89" s="2124"/>
    </row>
    <row r="92" spans="1:7" ht="15.75" customHeight="1" x14ac:dyDescent="0.5">
      <c r="A92" s="2134" t="s">
        <v>923</v>
      </c>
      <c r="B92" s="2117"/>
      <c r="C92" s="2117"/>
      <c r="D92" s="2117"/>
      <c r="E92" s="2117"/>
      <c r="F92" s="2117"/>
      <c r="G92" s="2118"/>
    </row>
    <row r="93" spans="1:7" x14ac:dyDescent="0.5">
      <c r="A93" s="2119"/>
      <c r="B93" s="2120"/>
      <c r="C93" s="2120"/>
      <c r="D93" s="2120"/>
      <c r="E93" s="2120"/>
      <c r="F93" s="2120"/>
      <c r="G93" s="2121"/>
    </row>
    <row r="94" spans="1:7" x14ac:dyDescent="0.5">
      <c r="A94" s="2119"/>
      <c r="B94" s="2120"/>
      <c r="C94" s="2120"/>
      <c r="D94" s="2120"/>
      <c r="E94" s="2120"/>
      <c r="F94" s="2120"/>
      <c r="G94" s="2121"/>
    </row>
    <row r="95" spans="1:7" x14ac:dyDescent="0.5">
      <c r="A95" s="2119"/>
      <c r="B95" s="2120"/>
      <c r="C95" s="2120"/>
      <c r="D95" s="2120"/>
      <c r="E95" s="2120"/>
      <c r="F95" s="2120"/>
      <c r="G95" s="2121"/>
    </row>
    <row r="96" spans="1:7" x14ac:dyDescent="0.5">
      <c r="A96" s="2119"/>
      <c r="B96" s="2120"/>
      <c r="C96" s="2120"/>
      <c r="D96" s="2120"/>
      <c r="E96" s="2120"/>
      <c r="F96" s="2120"/>
      <c r="G96" s="2121"/>
    </row>
    <row r="97" spans="1:7" x14ac:dyDescent="0.5">
      <c r="A97" s="2119"/>
      <c r="B97" s="2120"/>
      <c r="C97" s="2120"/>
      <c r="D97" s="2120"/>
      <c r="E97" s="2120"/>
      <c r="F97" s="2120"/>
      <c r="G97" s="2121"/>
    </row>
    <row r="98" spans="1:7" x14ac:dyDescent="0.5">
      <c r="A98" s="2119"/>
      <c r="B98" s="2120"/>
      <c r="C98" s="2120"/>
      <c r="D98" s="2120"/>
      <c r="E98" s="2120"/>
      <c r="F98" s="2120"/>
      <c r="G98" s="2121"/>
    </row>
    <row r="99" spans="1:7" x14ac:dyDescent="0.5">
      <c r="A99" s="2119"/>
      <c r="B99" s="2120"/>
      <c r="C99" s="2120"/>
      <c r="D99" s="2120"/>
      <c r="E99" s="2120"/>
      <c r="F99" s="2120"/>
      <c r="G99" s="2121"/>
    </row>
    <row r="100" spans="1:7" x14ac:dyDescent="0.5">
      <c r="A100" s="2119"/>
      <c r="B100" s="2120"/>
      <c r="C100" s="2120"/>
      <c r="D100" s="2120"/>
      <c r="E100" s="2120"/>
      <c r="F100" s="2120"/>
      <c r="G100" s="2121"/>
    </row>
    <row r="101" spans="1:7" x14ac:dyDescent="0.5">
      <c r="A101" s="2119"/>
      <c r="B101" s="2120"/>
      <c r="C101" s="2120"/>
      <c r="D101" s="2120"/>
      <c r="E101" s="2120"/>
      <c r="F101" s="2120"/>
      <c r="G101" s="2121"/>
    </row>
    <row r="102" spans="1:7" x14ac:dyDescent="0.5">
      <c r="A102" s="2119"/>
      <c r="B102" s="2120"/>
      <c r="C102" s="2120"/>
      <c r="D102" s="2120"/>
      <c r="E102" s="2120"/>
      <c r="F102" s="2120"/>
      <c r="G102" s="2121"/>
    </row>
    <row r="103" spans="1:7" x14ac:dyDescent="0.5">
      <c r="A103" s="2119"/>
      <c r="B103" s="2120"/>
      <c r="C103" s="2120"/>
      <c r="D103" s="2120"/>
      <c r="E103" s="2120"/>
      <c r="F103" s="2120"/>
      <c r="G103" s="2121"/>
    </row>
    <row r="104" spans="1:7" x14ac:dyDescent="0.5">
      <c r="A104" s="2119"/>
      <c r="B104" s="2120"/>
      <c r="C104" s="2120"/>
      <c r="D104" s="2120"/>
      <c r="E104" s="2120"/>
      <c r="F104" s="2120"/>
      <c r="G104" s="2121"/>
    </row>
    <row r="105" spans="1:7" x14ac:dyDescent="0.5">
      <c r="A105" s="2119"/>
      <c r="B105" s="2120"/>
      <c r="C105" s="2120"/>
      <c r="D105" s="2120"/>
      <c r="E105" s="2120"/>
      <c r="F105" s="2120"/>
      <c r="G105" s="2121"/>
    </row>
    <row r="106" spans="1:7" x14ac:dyDescent="0.5">
      <c r="A106" s="2119"/>
      <c r="B106" s="2120"/>
      <c r="C106" s="2120"/>
      <c r="D106" s="2120"/>
      <c r="E106" s="2120"/>
      <c r="F106" s="2120"/>
      <c r="G106" s="2121"/>
    </row>
    <row r="107" spans="1:7" x14ac:dyDescent="0.5">
      <c r="A107" s="2119"/>
      <c r="B107" s="2120"/>
      <c r="C107" s="2120"/>
      <c r="D107" s="2120"/>
      <c r="E107" s="2120"/>
      <c r="F107" s="2120"/>
      <c r="G107" s="2121"/>
    </row>
    <row r="108" spans="1:7" x14ac:dyDescent="0.5">
      <c r="A108" s="2119"/>
      <c r="B108" s="2120"/>
      <c r="C108" s="2120"/>
      <c r="D108" s="2120"/>
      <c r="E108" s="2120"/>
      <c r="F108" s="2120"/>
      <c r="G108" s="2121"/>
    </row>
    <row r="109" spans="1:7" x14ac:dyDescent="0.5">
      <c r="A109" s="2119"/>
      <c r="B109" s="2120"/>
      <c r="C109" s="2120"/>
      <c r="D109" s="2120"/>
      <c r="E109" s="2120"/>
      <c r="F109" s="2120"/>
      <c r="G109" s="2121"/>
    </row>
    <row r="110" spans="1:7" x14ac:dyDescent="0.5">
      <c r="A110" s="2119"/>
      <c r="B110" s="2120"/>
      <c r="C110" s="2120"/>
      <c r="D110" s="2120"/>
      <c r="E110" s="2120"/>
      <c r="F110" s="2120"/>
      <c r="G110" s="2121"/>
    </row>
    <row r="111" spans="1:7" x14ac:dyDescent="0.5">
      <c r="A111" s="2119"/>
      <c r="B111" s="2120"/>
      <c r="C111" s="2120"/>
      <c r="D111" s="2120"/>
      <c r="E111" s="2120"/>
      <c r="F111" s="2120"/>
      <c r="G111" s="2121"/>
    </row>
    <row r="112" spans="1:7" x14ac:dyDescent="0.5">
      <c r="A112" s="2122"/>
      <c r="B112" s="2123"/>
      <c r="C112" s="2123"/>
      <c r="D112" s="2123"/>
      <c r="E112" s="2123"/>
      <c r="F112" s="2123"/>
      <c r="G112" s="2124"/>
    </row>
    <row r="114" spans="1:7" x14ac:dyDescent="0.5">
      <c r="A114" s="2149" t="s">
        <v>924</v>
      </c>
      <c r="B114" s="2150"/>
      <c r="C114" s="2150"/>
      <c r="D114" s="2150"/>
      <c r="E114" s="2150"/>
      <c r="F114" s="2150"/>
      <c r="G114" s="2151"/>
    </row>
    <row r="116" spans="1:7" hidden="1" x14ac:dyDescent="0.5">
      <c r="A116" s="2140" t="s">
        <v>236</v>
      </c>
      <c r="B116" s="2141"/>
      <c r="C116" s="2141"/>
      <c r="D116" s="2141"/>
      <c r="E116" s="2141"/>
      <c r="F116" s="2141"/>
      <c r="G116" s="2142"/>
    </row>
    <row r="117" spans="1:7" hidden="1" x14ac:dyDescent="0.5">
      <c r="A117" s="2143"/>
      <c r="B117" s="2144"/>
      <c r="C117" s="2144"/>
      <c r="D117" s="2144"/>
      <c r="E117" s="2144"/>
      <c r="F117" s="2144"/>
      <c r="G117" s="2145"/>
    </row>
    <row r="118" spans="1:7" hidden="1" x14ac:dyDescent="0.5">
      <c r="A118" s="2143"/>
      <c r="B118" s="2144"/>
      <c r="C118" s="2144"/>
      <c r="D118" s="2144"/>
      <c r="E118" s="2144"/>
      <c r="F118" s="2144"/>
      <c r="G118" s="2145"/>
    </row>
    <row r="119" spans="1:7" hidden="1" x14ac:dyDescent="0.5">
      <c r="A119" s="2143"/>
      <c r="B119" s="2144"/>
      <c r="C119" s="2144"/>
      <c r="D119" s="2144"/>
      <c r="E119" s="2144"/>
      <c r="F119" s="2144"/>
      <c r="G119" s="2145"/>
    </row>
    <row r="120" spans="1:7" ht="15.75" hidden="1" customHeight="1" x14ac:dyDescent="0.5">
      <c r="A120" s="2143"/>
      <c r="B120" s="2144"/>
      <c r="C120" s="2144"/>
      <c r="D120" s="2144"/>
      <c r="E120" s="2144"/>
      <c r="F120" s="2144"/>
      <c r="G120" s="2145"/>
    </row>
    <row r="121" spans="1:7" hidden="1" x14ac:dyDescent="0.5">
      <c r="A121" s="2143"/>
      <c r="B121" s="2144"/>
      <c r="C121" s="2144"/>
      <c r="D121" s="2144"/>
      <c r="E121" s="2144"/>
      <c r="F121" s="2144"/>
      <c r="G121" s="2145"/>
    </row>
    <row r="122" spans="1:7" hidden="1" x14ac:dyDescent="0.5">
      <c r="A122" s="2143"/>
      <c r="B122" s="2144"/>
      <c r="C122" s="2144"/>
      <c r="D122" s="2144"/>
      <c r="E122" s="2144"/>
      <c r="F122" s="2144"/>
      <c r="G122" s="2145"/>
    </row>
    <row r="123" spans="1:7" hidden="1" x14ac:dyDescent="0.5">
      <c r="A123" s="2143"/>
      <c r="B123" s="2144"/>
      <c r="C123" s="2144"/>
      <c r="D123" s="2144"/>
      <c r="E123" s="2144"/>
      <c r="F123" s="2144"/>
      <c r="G123" s="2145"/>
    </row>
    <row r="124" spans="1:7" hidden="1" x14ac:dyDescent="0.5">
      <c r="A124" s="2143"/>
      <c r="B124" s="2144"/>
      <c r="C124" s="2144"/>
      <c r="D124" s="2144"/>
      <c r="E124" s="2144"/>
      <c r="F124" s="2144"/>
      <c r="G124" s="2145"/>
    </row>
    <row r="125" spans="1:7" hidden="1" x14ac:dyDescent="0.5">
      <c r="A125" s="2143"/>
      <c r="B125" s="2144"/>
      <c r="C125" s="2144"/>
      <c r="D125" s="2144"/>
      <c r="E125" s="2144"/>
      <c r="F125" s="2144"/>
      <c r="G125" s="2145"/>
    </row>
    <row r="126" spans="1:7" hidden="1" x14ac:dyDescent="0.5">
      <c r="A126" s="2143"/>
      <c r="B126" s="2144"/>
      <c r="C126" s="2144"/>
      <c r="D126" s="2144"/>
      <c r="E126" s="2144"/>
      <c r="F126" s="2144"/>
      <c r="G126" s="2145"/>
    </row>
    <row r="127" spans="1:7" hidden="1" x14ac:dyDescent="0.5">
      <c r="A127" s="2143"/>
      <c r="B127" s="2144"/>
      <c r="C127" s="2144"/>
      <c r="D127" s="2144"/>
      <c r="E127" s="2144"/>
      <c r="F127" s="2144"/>
      <c r="G127" s="2145"/>
    </row>
    <row r="128" spans="1:7" hidden="1" x14ac:dyDescent="0.5">
      <c r="A128" s="2143"/>
      <c r="B128" s="2144"/>
      <c r="C128" s="2144"/>
      <c r="D128" s="2144"/>
      <c r="E128" s="2144"/>
      <c r="F128" s="2144"/>
      <c r="G128" s="2145"/>
    </row>
    <row r="129" spans="1:7" hidden="1" x14ac:dyDescent="0.5">
      <c r="A129" s="2143"/>
      <c r="B129" s="2144"/>
      <c r="C129" s="2144"/>
      <c r="D129" s="2144"/>
      <c r="E129" s="2144"/>
      <c r="F129" s="2144"/>
      <c r="G129" s="2145"/>
    </row>
    <row r="130" spans="1:7" hidden="1" x14ac:dyDescent="0.5">
      <c r="A130" s="2143"/>
      <c r="B130" s="2144"/>
      <c r="C130" s="2144"/>
      <c r="D130" s="2144"/>
      <c r="E130" s="2144"/>
      <c r="F130" s="2144"/>
      <c r="G130" s="2145"/>
    </row>
    <row r="131" spans="1:7" hidden="1" x14ac:dyDescent="0.5">
      <c r="A131" s="2143"/>
      <c r="B131" s="2144"/>
      <c r="C131" s="2144"/>
      <c r="D131" s="2144"/>
      <c r="E131" s="2144"/>
      <c r="F131" s="2144"/>
      <c r="G131" s="2145"/>
    </row>
    <row r="132" spans="1:7" hidden="1" x14ac:dyDescent="0.5">
      <c r="A132" s="2143"/>
      <c r="B132" s="2144"/>
      <c r="C132" s="2144"/>
      <c r="D132" s="2144"/>
      <c r="E132" s="2144"/>
      <c r="F132" s="2144"/>
      <c r="G132" s="2145"/>
    </row>
    <row r="133" spans="1:7" hidden="1" x14ac:dyDescent="0.5">
      <c r="A133" s="2143"/>
      <c r="B133" s="2144"/>
      <c r="C133" s="2144"/>
      <c r="D133" s="2144"/>
      <c r="E133" s="2144"/>
      <c r="F133" s="2144"/>
      <c r="G133" s="2145"/>
    </row>
    <row r="134" spans="1:7" hidden="1" x14ac:dyDescent="0.5">
      <c r="A134" s="2146"/>
      <c r="B134" s="2147"/>
      <c r="C134" s="2147"/>
      <c r="D134" s="2147"/>
      <c r="E134" s="2147"/>
      <c r="F134" s="2147"/>
      <c r="G134" s="2148"/>
    </row>
    <row r="135" spans="1:7" ht="15.75" hidden="1" customHeight="1" x14ac:dyDescent="0.5">
      <c r="A135" s="2134" t="s">
        <v>249</v>
      </c>
      <c r="B135" s="2117"/>
      <c r="C135" s="2117"/>
      <c r="D135" s="2117"/>
      <c r="E135" s="2117"/>
      <c r="F135" s="2117"/>
      <c r="G135" s="2118"/>
    </row>
    <row r="136" spans="1:7" hidden="1" x14ac:dyDescent="0.5">
      <c r="A136" s="2119"/>
      <c r="B136" s="2120"/>
      <c r="C136" s="2120"/>
      <c r="D136" s="2120"/>
      <c r="E136" s="2120"/>
      <c r="F136" s="2120"/>
      <c r="G136" s="2121"/>
    </row>
    <row r="137" spans="1:7" hidden="1" x14ac:dyDescent="0.5">
      <c r="A137" s="2119"/>
      <c r="B137" s="2120"/>
      <c r="C137" s="2120"/>
      <c r="D137" s="2120"/>
      <c r="E137" s="2120"/>
      <c r="F137" s="2120"/>
      <c r="G137" s="2121"/>
    </row>
    <row r="138" spans="1:7" hidden="1" x14ac:dyDescent="0.5">
      <c r="A138" s="2119"/>
      <c r="B138" s="2120"/>
      <c r="C138" s="2120"/>
      <c r="D138" s="2120"/>
      <c r="E138" s="2120"/>
      <c r="F138" s="2120"/>
      <c r="G138" s="2121"/>
    </row>
    <row r="139" spans="1:7" hidden="1" x14ac:dyDescent="0.5">
      <c r="A139" s="2119"/>
      <c r="B139" s="2120"/>
      <c r="C139" s="2120"/>
      <c r="D139" s="2120"/>
      <c r="E139" s="2120"/>
      <c r="F139" s="2120"/>
      <c r="G139" s="2121"/>
    </row>
    <row r="140" spans="1:7" hidden="1" x14ac:dyDescent="0.5">
      <c r="A140" s="2119"/>
      <c r="B140" s="2120"/>
      <c r="C140" s="2120"/>
      <c r="D140" s="2120"/>
      <c r="E140" s="2120"/>
      <c r="F140" s="2120"/>
      <c r="G140" s="2121"/>
    </row>
    <row r="141" spans="1:7" hidden="1" x14ac:dyDescent="0.5">
      <c r="A141" s="2119"/>
      <c r="B141" s="2120"/>
      <c r="C141" s="2120"/>
      <c r="D141" s="2120"/>
      <c r="E141" s="2120"/>
      <c r="F141" s="2120"/>
      <c r="G141" s="2121"/>
    </row>
    <row r="142" spans="1:7" hidden="1" x14ac:dyDescent="0.5">
      <c r="A142" s="2119"/>
      <c r="B142" s="2120"/>
      <c r="C142" s="2120"/>
      <c r="D142" s="2120"/>
      <c r="E142" s="2120"/>
      <c r="F142" s="2120"/>
      <c r="G142" s="2121"/>
    </row>
    <row r="143" spans="1:7" hidden="1" x14ac:dyDescent="0.5">
      <c r="A143" s="2119"/>
      <c r="B143" s="2120"/>
      <c r="C143" s="2120"/>
      <c r="D143" s="2120"/>
      <c r="E143" s="2120"/>
      <c r="F143" s="2120"/>
      <c r="G143" s="2121"/>
    </row>
    <row r="144" spans="1:7" hidden="1" x14ac:dyDescent="0.5">
      <c r="A144" s="2119"/>
      <c r="B144" s="2120"/>
      <c r="C144" s="2120"/>
      <c r="D144" s="2120"/>
      <c r="E144" s="2120"/>
      <c r="F144" s="2120"/>
      <c r="G144" s="2121"/>
    </row>
    <row r="145" spans="1:7" hidden="1" x14ac:dyDescent="0.5">
      <c r="A145" s="2119"/>
      <c r="B145" s="2120"/>
      <c r="C145" s="2120"/>
      <c r="D145" s="2120"/>
      <c r="E145" s="2120"/>
      <c r="F145" s="2120"/>
      <c r="G145" s="2121"/>
    </row>
    <row r="146" spans="1:7" hidden="1" x14ac:dyDescent="0.5">
      <c r="A146" s="2119"/>
      <c r="B146" s="2120"/>
      <c r="C146" s="2120"/>
      <c r="D146" s="2120"/>
      <c r="E146" s="2120"/>
      <c r="F146" s="2120"/>
      <c r="G146" s="2121"/>
    </row>
    <row r="147" spans="1:7" hidden="1" x14ac:dyDescent="0.5">
      <c r="A147" s="2119"/>
      <c r="B147" s="2120"/>
      <c r="C147" s="2120"/>
      <c r="D147" s="2120"/>
      <c r="E147" s="2120"/>
      <c r="F147" s="2120"/>
      <c r="G147" s="2121"/>
    </row>
    <row r="148" spans="1:7" hidden="1" x14ac:dyDescent="0.5">
      <c r="A148" s="2119"/>
      <c r="B148" s="2120"/>
      <c r="C148" s="2120"/>
      <c r="D148" s="2120"/>
      <c r="E148" s="2120"/>
      <c r="F148" s="2120"/>
      <c r="G148" s="2121"/>
    </row>
    <row r="149" spans="1:7" hidden="1" x14ac:dyDescent="0.5">
      <c r="A149" s="2119"/>
      <c r="B149" s="2120"/>
      <c r="C149" s="2120"/>
      <c r="D149" s="2120"/>
      <c r="E149" s="2120"/>
      <c r="F149" s="2120"/>
      <c r="G149" s="2121"/>
    </row>
    <row r="150" spans="1:7" hidden="1" x14ac:dyDescent="0.5">
      <c r="A150" s="2119"/>
      <c r="B150" s="2120"/>
      <c r="C150" s="2120"/>
      <c r="D150" s="2120"/>
      <c r="E150" s="2120"/>
      <c r="F150" s="2120"/>
      <c r="G150" s="2121"/>
    </row>
    <row r="151" spans="1:7" hidden="1" x14ac:dyDescent="0.5">
      <c r="A151" s="2119"/>
      <c r="B151" s="2120"/>
      <c r="C151" s="2120"/>
      <c r="D151" s="2120"/>
      <c r="E151" s="2120"/>
      <c r="F151" s="2120"/>
      <c r="G151" s="2121"/>
    </row>
    <row r="152" spans="1:7" hidden="1" x14ac:dyDescent="0.5">
      <c r="A152" s="2119"/>
      <c r="B152" s="2120"/>
      <c r="C152" s="2120"/>
      <c r="D152" s="2120"/>
      <c r="E152" s="2120"/>
      <c r="F152" s="2120"/>
      <c r="G152" s="2121"/>
    </row>
    <row r="153" spans="1:7" hidden="1" x14ac:dyDescent="0.5">
      <c r="A153" s="2119"/>
      <c r="B153" s="2120"/>
      <c r="C153" s="2120"/>
      <c r="D153" s="2120"/>
      <c r="E153" s="2120"/>
      <c r="F153" s="2120"/>
      <c r="G153" s="2121"/>
    </row>
    <row r="154" spans="1:7" hidden="1" x14ac:dyDescent="0.5">
      <c r="A154" s="2119"/>
      <c r="B154" s="2120"/>
      <c r="C154" s="2120"/>
      <c r="D154" s="2120"/>
      <c r="E154" s="2120"/>
      <c r="F154" s="2120"/>
      <c r="G154" s="2121"/>
    </row>
    <row r="155" spans="1:7" hidden="1" x14ac:dyDescent="0.5">
      <c r="A155" s="2119"/>
      <c r="B155" s="2120"/>
      <c r="C155" s="2120"/>
      <c r="D155" s="2120"/>
      <c r="E155" s="2120"/>
      <c r="F155" s="2120"/>
      <c r="G155" s="2121"/>
    </row>
    <row r="156" spans="1:7" hidden="1" x14ac:dyDescent="0.5">
      <c r="A156" s="2119"/>
      <c r="B156" s="2120"/>
      <c r="C156" s="2120"/>
      <c r="D156" s="2120"/>
      <c r="E156" s="2120"/>
      <c r="F156" s="2120"/>
      <c r="G156" s="2121"/>
    </row>
    <row r="157" spans="1:7" hidden="1" x14ac:dyDescent="0.5">
      <c r="A157" s="2119"/>
      <c r="B157" s="2120"/>
      <c r="C157" s="2120"/>
      <c r="D157" s="2120"/>
      <c r="E157" s="2120"/>
      <c r="F157" s="2120"/>
      <c r="G157" s="2121"/>
    </row>
    <row r="158" spans="1:7" hidden="1" x14ac:dyDescent="0.5">
      <c r="A158" s="2122"/>
      <c r="B158" s="2123"/>
      <c r="C158" s="2123"/>
      <c r="D158" s="2123"/>
      <c r="E158" s="2123"/>
      <c r="F158" s="2123"/>
      <c r="G158" s="2124"/>
    </row>
    <row r="159" spans="1:7" hidden="1" x14ac:dyDescent="0.5"/>
    <row r="160" spans="1:7" hidden="1" x14ac:dyDescent="0.5">
      <c r="A160" s="2137" t="s">
        <v>234</v>
      </c>
      <c r="B160" s="2138"/>
      <c r="C160" s="2138"/>
      <c r="D160" s="2138"/>
      <c r="E160" s="2138"/>
      <c r="F160" s="2138"/>
      <c r="G160" s="2139"/>
    </row>
    <row r="161" spans="1:7" hidden="1" x14ac:dyDescent="0.5"/>
    <row r="162" spans="1:7" hidden="1" x14ac:dyDescent="0.5">
      <c r="A162" s="2134" t="s">
        <v>288</v>
      </c>
      <c r="B162" s="2117"/>
      <c r="C162" s="2117"/>
      <c r="D162" s="2117"/>
      <c r="E162" s="2117"/>
      <c r="F162" s="2117"/>
      <c r="G162" s="2118"/>
    </row>
    <row r="163" spans="1:7" hidden="1" x14ac:dyDescent="0.5">
      <c r="A163" s="2119"/>
      <c r="B163" s="2120"/>
      <c r="C163" s="2120"/>
      <c r="D163" s="2120"/>
      <c r="E163" s="2120"/>
      <c r="F163" s="2120"/>
      <c r="G163" s="2121"/>
    </row>
    <row r="164" spans="1:7" hidden="1" x14ac:dyDescent="0.5">
      <c r="A164" s="2122"/>
      <c r="B164" s="2123"/>
      <c r="C164" s="2123"/>
      <c r="D164" s="2123"/>
      <c r="E164" s="2123"/>
      <c r="F164" s="2123"/>
      <c r="G164" s="2124"/>
    </row>
    <row r="166" spans="1:7" ht="15.75" customHeight="1" x14ac:dyDescent="0.5">
      <c r="A166" s="2134" t="s">
        <v>250</v>
      </c>
      <c r="B166" s="2117"/>
      <c r="C166" s="2117"/>
      <c r="D166" s="2117"/>
      <c r="E166" s="2117"/>
      <c r="F166" s="2117"/>
      <c r="G166" s="2118"/>
    </row>
    <row r="167" spans="1:7" x14ac:dyDescent="0.5">
      <c r="A167" s="2119"/>
      <c r="B167" s="2120"/>
      <c r="C167" s="2120"/>
      <c r="D167" s="2120"/>
      <c r="E167" s="2120"/>
      <c r="F167" s="2120"/>
      <c r="G167" s="2121"/>
    </row>
    <row r="168" spans="1:7" x14ac:dyDescent="0.5">
      <c r="A168" s="2119"/>
      <c r="B168" s="2120"/>
      <c r="C168" s="2120"/>
      <c r="D168" s="2120"/>
      <c r="E168" s="2120"/>
      <c r="F168" s="2120"/>
      <c r="G168" s="2121"/>
    </row>
    <row r="169" spans="1:7" x14ac:dyDescent="0.5">
      <c r="A169" s="2119"/>
      <c r="B169" s="2120"/>
      <c r="C169" s="2120"/>
      <c r="D169" s="2120"/>
      <c r="E169" s="2120"/>
      <c r="F169" s="2120"/>
      <c r="G169" s="2121"/>
    </row>
    <row r="170" spans="1:7" x14ac:dyDescent="0.5">
      <c r="A170" s="2119"/>
      <c r="B170" s="2120"/>
      <c r="C170" s="2120"/>
      <c r="D170" s="2120"/>
      <c r="E170" s="2120"/>
      <c r="F170" s="2120"/>
      <c r="G170" s="2121"/>
    </row>
    <row r="171" spans="1:7" x14ac:dyDescent="0.5">
      <c r="A171" s="2119"/>
      <c r="B171" s="2120"/>
      <c r="C171" s="2120"/>
      <c r="D171" s="2120"/>
      <c r="E171" s="2120"/>
      <c r="F171" s="2120"/>
      <c r="G171" s="2121"/>
    </row>
    <row r="172" spans="1:7" x14ac:dyDescent="0.5">
      <c r="A172" s="2119"/>
      <c r="B172" s="2120"/>
      <c r="C172" s="2120"/>
      <c r="D172" s="2120"/>
      <c r="E172" s="2120"/>
      <c r="F172" s="2120"/>
      <c r="G172" s="2121"/>
    </row>
    <row r="173" spans="1:7" x14ac:dyDescent="0.5">
      <c r="A173" s="2119"/>
      <c r="B173" s="2120"/>
      <c r="C173" s="2120"/>
      <c r="D173" s="2120"/>
      <c r="E173" s="2120"/>
      <c r="F173" s="2120"/>
      <c r="G173" s="2121"/>
    </row>
    <row r="174" spans="1:7" x14ac:dyDescent="0.5">
      <c r="A174" s="2119"/>
      <c r="B174" s="2120"/>
      <c r="C174" s="2120"/>
      <c r="D174" s="2120"/>
      <c r="E174" s="2120"/>
      <c r="F174" s="2120"/>
      <c r="G174" s="2121"/>
    </row>
    <row r="175" spans="1:7" x14ac:dyDescent="0.5">
      <c r="A175" s="2119"/>
      <c r="B175" s="2120"/>
      <c r="C175" s="2120"/>
      <c r="D175" s="2120"/>
      <c r="E175" s="2120"/>
      <c r="F175" s="2120"/>
      <c r="G175" s="2121"/>
    </row>
    <row r="176" spans="1:7" x14ac:dyDescent="0.5">
      <c r="A176" s="2119"/>
      <c r="B176" s="2120"/>
      <c r="C176" s="2120"/>
      <c r="D176" s="2120"/>
      <c r="E176" s="2120"/>
      <c r="F176" s="2120"/>
      <c r="G176" s="2121"/>
    </row>
    <row r="177" spans="1:7" x14ac:dyDescent="0.5">
      <c r="A177" s="2119"/>
      <c r="B177" s="2120"/>
      <c r="C177" s="2120"/>
      <c r="D177" s="2120"/>
      <c r="E177" s="2120"/>
      <c r="F177" s="2120"/>
      <c r="G177" s="2121"/>
    </row>
    <row r="178" spans="1:7" x14ac:dyDescent="0.5">
      <c r="A178" s="2119"/>
      <c r="B178" s="2120"/>
      <c r="C178" s="2120"/>
      <c r="D178" s="2120"/>
      <c r="E178" s="2120"/>
      <c r="F178" s="2120"/>
      <c r="G178" s="2121"/>
    </row>
    <row r="179" spans="1:7" x14ac:dyDescent="0.5">
      <c r="A179" s="2119"/>
      <c r="B179" s="2120"/>
      <c r="C179" s="2120"/>
      <c r="D179" s="2120"/>
      <c r="E179" s="2120"/>
      <c r="F179" s="2120"/>
      <c r="G179" s="2121"/>
    </row>
    <row r="180" spans="1:7" x14ac:dyDescent="0.5">
      <c r="A180" s="2119"/>
      <c r="B180" s="2120"/>
      <c r="C180" s="2120"/>
      <c r="D180" s="2120"/>
      <c r="E180" s="2120"/>
      <c r="F180" s="2120"/>
      <c r="G180" s="2121"/>
    </row>
    <row r="181" spans="1:7" x14ac:dyDescent="0.5">
      <c r="A181" s="2119"/>
      <c r="B181" s="2120"/>
      <c r="C181" s="2120"/>
      <c r="D181" s="2120"/>
      <c r="E181" s="2120"/>
      <c r="F181" s="2120"/>
      <c r="G181" s="2121"/>
    </row>
    <row r="182" spans="1:7" x14ac:dyDescent="0.5">
      <c r="A182" s="2122"/>
      <c r="B182" s="2123"/>
      <c r="C182" s="2123"/>
      <c r="D182" s="2123"/>
      <c r="E182" s="2123"/>
      <c r="F182" s="2123"/>
      <c r="G182" s="2124"/>
    </row>
    <row r="184" spans="1:7" ht="15.75" customHeight="1" x14ac:dyDescent="0.5">
      <c r="A184" s="2134" t="s">
        <v>289</v>
      </c>
      <c r="B184" s="2117"/>
      <c r="C184" s="2117"/>
      <c r="D184" s="2117"/>
      <c r="E184" s="2117"/>
      <c r="F184" s="2117"/>
      <c r="G184" s="2118"/>
    </row>
    <row r="185" spans="1:7" x14ac:dyDescent="0.5">
      <c r="A185" s="2119"/>
      <c r="B185" s="2120"/>
      <c r="C185" s="2120"/>
      <c r="D185" s="2120"/>
      <c r="E185" s="2120"/>
      <c r="F185" s="2120"/>
      <c r="G185" s="2121"/>
    </row>
    <row r="186" spans="1:7" x14ac:dyDescent="0.5">
      <c r="A186" s="2119"/>
      <c r="B186" s="2120"/>
      <c r="C186" s="2120"/>
      <c r="D186" s="2120"/>
      <c r="E186" s="2120"/>
      <c r="F186" s="2120"/>
      <c r="G186" s="2121"/>
    </row>
    <row r="187" spans="1:7" x14ac:dyDescent="0.5">
      <c r="A187" s="2119"/>
      <c r="B187" s="2120"/>
      <c r="C187" s="2120"/>
      <c r="D187" s="2120"/>
      <c r="E187" s="2120"/>
      <c r="F187" s="2120"/>
      <c r="G187" s="2121"/>
    </row>
    <row r="188" spans="1:7" x14ac:dyDescent="0.5">
      <c r="A188" s="2119"/>
      <c r="B188" s="2120"/>
      <c r="C188" s="2120"/>
      <c r="D188" s="2120"/>
      <c r="E188" s="2120"/>
      <c r="F188" s="2120"/>
      <c r="G188" s="2121"/>
    </row>
    <row r="189" spans="1:7" x14ac:dyDescent="0.5">
      <c r="A189" s="2119"/>
      <c r="B189" s="2120"/>
      <c r="C189" s="2120"/>
      <c r="D189" s="2120"/>
      <c r="E189" s="2120"/>
      <c r="F189" s="2120"/>
      <c r="G189" s="2121"/>
    </row>
    <row r="190" spans="1:7" x14ac:dyDescent="0.5">
      <c r="A190" s="2119"/>
      <c r="B190" s="2120"/>
      <c r="C190" s="2120"/>
      <c r="D190" s="2120"/>
      <c r="E190" s="2120"/>
      <c r="F190" s="2120"/>
      <c r="G190" s="2121"/>
    </row>
    <row r="191" spans="1:7" x14ac:dyDescent="0.5">
      <c r="A191" s="2119"/>
      <c r="B191" s="2120"/>
      <c r="C191" s="2120"/>
      <c r="D191" s="2120"/>
      <c r="E191" s="2120"/>
      <c r="F191" s="2120"/>
      <c r="G191" s="2121"/>
    </row>
    <row r="192" spans="1:7" x14ac:dyDescent="0.5">
      <c r="A192" s="2119"/>
      <c r="B192" s="2120"/>
      <c r="C192" s="2120"/>
      <c r="D192" s="2120"/>
      <c r="E192" s="2120"/>
      <c r="F192" s="2120"/>
      <c r="G192" s="2121"/>
    </row>
    <row r="193" spans="1:7" x14ac:dyDescent="0.5">
      <c r="A193" s="2122"/>
      <c r="B193" s="2123"/>
      <c r="C193" s="2123"/>
      <c r="D193" s="2123"/>
      <c r="E193" s="2123"/>
      <c r="F193" s="2123"/>
      <c r="G193" s="2124"/>
    </row>
    <row r="195" spans="1:7" ht="15.75" customHeight="1" x14ac:dyDescent="0.5">
      <c r="A195" s="2134" t="s">
        <v>271</v>
      </c>
      <c r="B195" s="2117"/>
      <c r="C195" s="2117"/>
      <c r="D195" s="2117"/>
      <c r="E195" s="2117"/>
      <c r="F195" s="2117"/>
      <c r="G195" s="2118"/>
    </row>
    <row r="196" spans="1:7" x14ac:dyDescent="0.5">
      <c r="A196" s="2119"/>
      <c r="B196" s="2120"/>
      <c r="C196" s="2120"/>
      <c r="D196" s="2120"/>
      <c r="E196" s="2120"/>
      <c r="F196" s="2120"/>
      <c r="G196" s="2121"/>
    </row>
    <row r="197" spans="1:7" x14ac:dyDescent="0.5">
      <c r="A197" s="2119"/>
      <c r="B197" s="2120"/>
      <c r="C197" s="2120"/>
      <c r="D197" s="2120"/>
      <c r="E197" s="2120"/>
      <c r="F197" s="2120"/>
      <c r="G197" s="2121"/>
    </row>
    <row r="198" spans="1:7" x14ac:dyDescent="0.5">
      <c r="A198" s="2119"/>
      <c r="B198" s="2120"/>
      <c r="C198" s="2120"/>
      <c r="D198" s="2120"/>
      <c r="E198" s="2120"/>
      <c r="F198" s="2120"/>
      <c r="G198" s="2121"/>
    </row>
    <row r="199" spans="1:7" x14ac:dyDescent="0.5">
      <c r="A199" s="2119"/>
      <c r="B199" s="2120"/>
      <c r="C199" s="2120"/>
      <c r="D199" s="2120"/>
      <c r="E199" s="2120"/>
      <c r="F199" s="2120"/>
      <c r="G199" s="2121"/>
    </row>
    <row r="200" spans="1:7" x14ac:dyDescent="0.5">
      <c r="A200" s="2119"/>
      <c r="B200" s="2120"/>
      <c r="C200" s="2120"/>
      <c r="D200" s="2120"/>
      <c r="E200" s="2120"/>
      <c r="F200" s="2120"/>
      <c r="G200" s="2121"/>
    </row>
    <row r="201" spans="1:7" x14ac:dyDescent="0.5">
      <c r="A201" s="2119"/>
      <c r="B201" s="2120"/>
      <c r="C201" s="2120"/>
      <c r="D201" s="2120"/>
      <c r="E201" s="2120"/>
      <c r="F201" s="2120"/>
      <c r="G201" s="2121"/>
    </row>
    <row r="202" spans="1:7" x14ac:dyDescent="0.5">
      <c r="A202" s="2119"/>
      <c r="B202" s="2120"/>
      <c r="C202" s="2120"/>
      <c r="D202" s="2120"/>
      <c r="E202" s="2120"/>
      <c r="F202" s="2120"/>
      <c r="G202" s="2121"/>
    </row>
    <row r="203" spans="1:7" x14ac:dyDescent="0.5">
      <c r="A203" s="2119"/>
      <c r="B203" s="2120"/>
      <c r="C203" s="2120"/>
      <c r="D203" s="2120"/>
      <c r="E203" s="2120"/>
      <c r="F203" s="2120"/>
      <c r="G203" s="2121"/>
    </row>
    <row r="204" spans="1:7" x14ac:dyDescent="0.5">
      <c r="A204" s="2119"/>
      <c r="B204" s="2120"/>
      <c r="C204" s="2120"/>
      <c r="D204" s="2120"/>
      <c r="E204" s="2120"/>
      <c r="F204" s="2120"/>
      <c r="G204" s="2121"/>
    </row>
    <row r="205" spans="1:7" x14ac:dyDescent="0.5">
      <c r="A205" s="2119"/>
      <c r="B205" s="2120"/>
      <c r="C205" s="2120"/>
      <c r="D205" s="2120"/>
      <c r="E205" s="2120"/>
      <c r="F205" s="2120"/>
      <c r="G205" s="2121"/>
    </row>
    <row r="206" spans="1:7" x14ac:dyDescent="0.5">
      <c r="A206" s="2122"/>
      <c r="B206" s="2123"/>
      <c r="C206" s="2123"/>
      <c r="D206" s="2123"/>
      <c r="E206" s="2123"/>
      <c r="F206" s="2123"/>
      <c r="G206" s="2124"/>
    </row>
    <row r="208" spans="1:7" ht="15.75" customHeight="1" x14ac:dyDescent="0.5">
      <c r="A208" s="2134" t="s">
        <v>1071</v>
      </c>
      <c r="B208" s="2117"/>
      <c r="C208" s="2117"/>
      <c r="D208" s="2117"/>
      <c r="E208" s="2117"/>
      <c r="F208" s="2117"/>
      <c r="G208" s="2118"/>
    </row>
    <row r="209" spans="1:7" x14ac:dyDescent="0.5">
      <c r="A209" s="2119"/>
      <c r="B209" s="2120"/>
      <c r="C209" s="2120"/>
      <c r="D209" s="2120"/>
      <c r="E209" s="2120"/>
      <c r="F209" s="2120"/>
      <c r="G209" s="2121"/>
    </row>
    <row r="210" spans="1:7" x14ac:dyDescent="0.5">
      <c r="A210" s="2119"/>
      <c r="B210" s="2120"/>
      <c r="C210" s="2120"/>
      <c r="D210" s="2120"/>
      <c r="E210" s="2120"/>
      <c r="F210" s="2120"/>
      <c r="G210" s="2121"/>
    </row>
    <row r="211" spans="1:7" x14ac:dyDescent="0.5">
      <c r="A211" s="2119"/>
      <c r="B211" s="2120"/>
      <c r="C211" s="2120"/>
      <c r="D211" s="2120"/>
      <c r="E211" s="2120"/>
      <c r="F211" s="2120"/>
      <c r="G211" s="2121"/>
    </row>
    <row r="212" spans="1:7" x14ac:dyDescent="0.5">
      <c r="A212" s="2119"/>
      <c r="B212" s="2120"/>
      <c r="C212" s="2120"/>
      <c r="D212" s="2120"/>
      <c r="E212" s="2120"/>
      <c r="F212" s="2120"/>
      <c r="G212" s="2121"/>
    </row>
    <row r="213" spans="1:7" x14ac:dyDescent="0.5">
      <c r="A213" s="2119"/>
      <c r="B213" s="2120"/>
      <c r="C213" s="2120"/>
      <c r="D213" s="2120"/>
      <c r="E213" s="2120"/>
      <c r="F213" s="2120"/>
      <c r="G213" s="2121"/>
    </row>
    <row r="214" spans="1:7" x14ac:dyDescent="0.5">
      <c r="A214" s="2119"/>
      <c r="B214" s="2120"/>
      <c r="C214" s="2120"/>
      <c r="D214" s="2120"/>
      <c r="E214" s="2120"/>
      <c r="F214" s="2120"/>
      <c r="G214" s="2121"/>
    </row>
    <row r="215" spans="1:7" x14ac:dyDescent="0.5">
      <c r="A215" s="2119"/>
      <c r="B215" s="2120"/>
      <c r="C215" s="2120"/>
      <c r="D215" s="2120"/>
      <c r="E215" s="2120"/>
      <c r="F215" s="2120"/>
      <c r="G215" s="2121"/>
    </row>
    <row r="216" spans="1:7" x14ac:dyDescent="0.5">
      <c r="A216" s="2119"/>
      <c r="B216" s="2120"/>
      <c r="C216" s="2120"/>
      <c r="D216" s="2120"/>
      <c r="E216" s="2120"/>
      <c r="F216" s="2120"/>
      <c r="G216" s="2121"/>
    </row>
    <row r="217" spans="1:7" x14ac:dyDescent="0.5">
      <c r="A217" s="2119"/>
      <c r="B217" s="2120"/>
      <c r="C217" s="2120"/>
      <c r="D217" s="2120"/>
      <c r="E217" s="2120"/>
      <c r="F217" s="2120"/>
      <c r="G217" s="2121"/>
    </row>
    <row r="218" spans="1:7" x14ac:dyDescent="0.5">
      <c r="A218" s="2119"/>
      <c r="B218" s="2120"/>
      <c r="C218" s="2120"/>
      <c r="D218" s="2120"/>
      <c r="E218" s="2120"/>
      <c r="F218" s="2120"/>
      <c r="G218" s="2121"/>
    </row>
    <row r="219" spans="1:7" x14ac:dyDescent="0.5">
      <c r="A219" s="2119"/>
      <c r="B219" s="2120"/>
      <c r="C219" s="2120"/>
      <c r="D219" s="2120"/>
      <c r="E219" s="2120"/>
      <c r="F219" s="2120"/>
      <c r="G219" s="2121"/>
    </row>
    <row r="220" spans="1:7" x14ac:dyDescent="0.5">
      <c r="A220" s="2119"/>
      <c r="B220" s="2120"/>
      <c r="C220" s="2120"/>
      <c r="D220" s="2120"/>
      <c r="E220" s="2120"/>
      <c r="F220" s="2120"/>
      <c r="G220" s="2121"/>
    </row>
    <row r="221" spans="1:7" x14ac:dyDescent="0.5">
      <c r="A221" s="2119"/>
      <c r="B221" s="2120"/>
      <c r="C221" s="2120"/>
      <c r="D221" s="2120"/>
      <c r="E221" s="2120"/>
      <c r="F221" s="2120"/>
      <c r="G221" s="2121"/>
    </row>
    <row r="222" spans="1:7" x14ac:dyDescent="0.5">
      <c r="A222" s="2119"/>
      <c r="B222" s="2120"/>
      <c r="C222" s="2120"/>
      <c r="D222" s="2120"/>
      <c r="E222" s="2120"/>
      <c r="F222" s="2120"/>
      <c r="G222" s="2121"/>
    </row>
    <row r="223" spans="1:7" x14ac:dyDescent="0.5">
      <c r="A223" s="2119"/>
      <c r="B223" s="2120"/>
      <c r="C223" s="2120"/>
      <c r="D223" s="2120"/>
      <c r="E223" s="2120"/>
      <c r="F223" s="2120"/>
      <c r="G223" s="2121"/>
    </row>
    <row r="224" spans="1:7" x14ac:dyDescent="0.5">
      <c r="A224" s="2122"/>
      <c r="B224" s="2123"/>
      <c r="C224" s="2123"/>
      <c r="D224" s="2123"/>
      <c r="E224" s="2123"/>
      <c r="F224" s="2123"/>
      <c r="G224" s="2124"/>
    </row>
    <row r="226" spans="1:7" x14ac:dyDescent="0.5">
      <c r="A226" s="2134" t="s">
        <v>1138</v>
      </c>
      <c r="B226" s="2117"/>
      <c r="C226" s="2117"/>
      <c r="D226" s="2117"/>
      <c r="E226" s="2117"/>
      <c r="F226" s="2117"/>
      <c r="G226" s="2118"/>
    </row>
    <row r="227" spans="1:7" x14ac:dyDescent="0.5">
      <c r="A227" s="2122"/>
      <c r="B227" s="2123"/>
      <c r="C227" s="2123"/>
      <c r="D227" s="2123"/>
      <c r="E227" s="2123"/>
      <c r="F227" s="2123"/>
      <c r="G227" s="2124"/>
    </row>
  </sheetData>
  <sheetProtection algorithmName="SHA-512" hashValue="DAcJpVdSbPsUZRA3ndIngUXPj8/Vu6IeL0PKoQOadNmT9LuWsOOsAl1tgp0eRlWtoAR/hNZgZq8snIBN2A3N7A==" saltValue="J25GdogFYAgQBBbxtuihWw==" spinCount="100000" sheet="1" objects="1" scenarios="1" selectLockedCells="1"/>
  <mergeCells count="50">
    <mergeCell ref="A226:G227"/>
    <mergeCell ref="O31:R31"/>
    <mergeCell ref="O32:R32"/>
    <mergeCell ref="B27:G27"/>
    <mergeCell ref="H17:H29"/>
    <mergeCell ref="B23:F23"/>
    <mergeCell ref="A21:G21"/>
    <mergeCell ref="B19:F19"/>
    <mergeCell ref="B22:F22"/>
    <mergeCell ref="B18:F18"/>
    <mergeCell ref="A17:G17"/>
    <mergeCell ref="B24:F24"/>
    <mergeCell ref="A31:G31"/>
    <mergeCell ref="O29:R29"/>
    <mergeCell ref="O30:R30"/>
    <mergeCell ref="A208:G224"/>
    <mergeCell ref="N4:V6"/>
    <mergeCell ref="H14:J16"/>
    <mergeCell ref="H6:J12"/>
    <mergeCell ref="C11:D11"/>
    <mergeCell ref="N12:P12"/>
    <mergeCell ref="D14:G15"/>
    <mergeCell ref="C10:F10"/>
    <mergeCell ref="C12:D12"/>
    <mergeCell ref="A13:G13"/>
    <mergeCell ref="B14:C14"/>
    <mergeCell ref="B15:C15"/>
    <mergeCell ref="B1:G4"/>
    <mergeCell ref="B5:C5"/>
    <mergeCell ref="A195:G206"/>
    <mergeCell ref="A184:G193"/>
    <mergeCell ref="A135:G158"/>
    <mergeCell ref="B29:G29"/>
    <mergeCell ref="A162:G164"/>
    <mergeCell ref="A160:G160"/>
    <mergeCell ref="A166:G182"/>
    <mergeCell ref="A116:G134"/>
    <mergeCell ref="A114:G114"/>
    <mergeCell ref="A92:G112"/>
    <mergeCell ref="B33:D33"/>
    <mergeCell ref="B32:C32"/>
    <mergeCell ref="A38:G65"/>
    <mergeCell ref="F32:G32"/>
    <mergeCell ref="A67:G89"/>
    <mergeCell ref="A36:G36"/>
    <mergeCell ref="C7:F7"/>
    <mergeCell ref="D5:G5"/>
    <mergeCell ref="C8:F8"/>
    <mergeCell ref="C9:F9"/>
    <mergeCell ref="A26:G26"/>
  </mergeCells>
  <conditionalFormatting sqref="A14:C15">
    <cfRule type="expression" dxfId="610" priority="7">
      <formula>_OK?&lt;&gt;"OK!"</formula>
    </cfRule>
  </conditionalFormatting>
  <conditionalFormatting sqref="A18:G19 A24:F24">
    <cfRule type="expression" dxfId="609" priority="1">
      <formula>AND($N$18=0,$N$22&lt;&gt;2)</formula>
    </cfRule>
  </conditionalFormatting>
  <conditionalFormatting sqref="A26:G26">
    <cfRule type="expression" dxfId="608" priority="10">
      <formula>_OK?&lt;&gt;"OK!"</formula>
    </cfRule>
  </conditionalFormatting>
  <conditionalFormatting sqref="C7:F7 C9:F9 C11">
    <cfRule type="expression" dxfId="607" priority="5">
      <formula>_OK?="OK!"</formula>
    </cfRule>
    <cfRule type="expression" dxfId="606" priority="6">
      <formula>_OK?&lt;&gt;"OK!"</formula>
    </cfRule>
  </conditionalFormatting>
  <conditionalFormatting sqref="D14:G15">
    <cfRule type="expression" dxfId="605" priority="14">
      <formula>$Q$16="OK!"</formula>
    </cfRule>
  </conditionalFormatting>
  <conditionalFormatting sqref="F11 H14">
    <cfRule type="expression" dxfId="604" priority="2">
      <formula>AND($Q$10="f",$Q$11="OK!",$Q$15="OK!")</formula>
    </cfRule>
  </conditionalFormatting>
  <conditionalFormatting sqref="F11">
    <cfRule type="expression" dxfId="603" priority="3">
      <formula>_OK?="OK!"</formula>
    </cfRule>
    <cfRule type="expression" dxfId="602" priority="4">
      <formula>_OK?&lt;&gt;"OK!"</formula>
    </cfRule>
  </conditionalFormatting>
  <conditionalFormatting sqref="G8">
    <cfRule type="expression" dxfId="601" priority="9">
      <formula>$Q$16="OK!"</formula>
    </cfRule>
  </conditionalFormatting>
  <conditionalFormatting sqref="G10">
    <cfRule type="expression" dxfId="600" priority="15">
      <formula>$Q$16="OK!"</formula>
    </cfRule>
  </conditionalFormatting>
  <dataValidations count="3">
    <dataValidation type="textLength" operator="lessThan" allowBlank="1" showInputMessage="1" showErrorMessage="1" error="Maximal 45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 type="textLength" operator="lessThan" allowBlank="1" showInputMessage="1" showErrorMessage="1" sqref="C9:F9" xr:uid="{12CE3B47-2389-4392-8E12-739C484C2832}">
      <formula1>46</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9"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779"/>
    </row>
    <row r="2" spans="1:18" x14ac:dyDescent="0.4">
      <c r="A2" s="3531"/>
      <c r="B2" s="3505" t="s">
        <v>57</v>
      </c>
      <c r="C2" s="3506"/>
      <c r="D2" s="3506"/>
      <c r="E2" s="3506"/>
      <c r="F2" s="3532" t="str">
        <f>IF(KALKULATION!D486="","Regiepersonalpreis",KALKULATION!D486)</f>
        <v>Regielohnkalkulation Helfer</v>
      </c>
      <c r="G2" s="3532"/>
      <c r="H2" s="3532"/>
      <c r="I2" s="3532"/>
      <c r="J2" s="3533"/>
      <c r="K2" s="3457" t="s">
        <v>24</v>
      </c>
      <c r="L2" s="3458"/>
      <c r="M2" s="3458"/>
      <c r="N2" s="3458"/>
      <c r="O2" s="3458"/>
      <c r="P2" s="3528"/>
      <c r="R2" s="779"/>
    </row>
    <row r="3" spans="1:18" x14ac:dyDescent="0.4">
      <c r="A3" s="3531"/>
      <c r="B3" s="3247"/>
      <c r="C3" s="3248"/>
      <c r="D3" s="3248"/>
      <c r="E3" s="3248"/>
      <c r="F3" s="3534"/>
      <c r="G3" s="3534"/>
      <c r="H3" s="3534"/>
      <c r="I3" s="3534"/>
      <c r="J3" s="3535"/>
      <c r="K3" s="3400" t="str">
        <f ca="1">' K3 PP'!K3</f>
        <v>Mittellohnpreisbroschüre EuM 2025</v>
      </c>
      <c r="L3" s="3401"/>
      <c r="M3" s="3401"/>
      <c r="N3" s="3401"/>
      <c r="O3" s="3401"/>
      <c r="P3" s="3402"/>
      <c r="R3" s="779"/>
    </row>
    <row r="4" spans="1:18"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779"/>
    </row>
    <row r="5" spans="1:18" x14ac:dyDescent="0.4">
      <c r="A5" s="3531"/>
      <c r="B5" s="3397" t="s">
        <v>619</v>
      </c>
      <c r="C5" s="3398"/>
      <c r="D5" s="3398"/>
      <c r="E5" s="3399"/>
      <c r="F5" s="3406" t="s">
        <v>620</v>
      </c>
      <c r="G5" s="3407"/>
      <c r="H5" s="3407"/>
      <c r="I5" s="3407"/>
      <c r="J5" s="3408"/>
      <c r="K5" s="3515" t="str">
        <f ca="1">' K3 PP'!K5</f>
        <v/>
      </c>
      <c r="L5" s="3516"/>
      <c r="M5" s="3516"/>
      <c r="N5" s="3516"/>
      <c r="O5" s="3516"/>
      <c r="P5" s="3517"/>
      <c r="R5" s="779"/>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779"/>
    </row>
    <row r="7" spans="1:18" x14ac:dyDescent="0.4">
      <c r="A7" s="3531"/>
      <c r="B7" s="2455" t="s">
        <v>126</v>
      </c>
      <c r="C7" s="3493"/>
      <c r="D7" s="3493"/>
      <c r="E7" s="3493"/>
      <c r="F7" s="3562" t="s">
        <v>25</v>
      </c>
      <c r="G7" s="3563"/>
      <c r="H7" s="3563"/>
      <c r="I7" s="3563"/>
      <c r="J7" s="3564"/>
      <c r="K7" s="3446" t="s">
        <v>140</v>
      </c>
      <c r="L7" s="3446"/>
      <c r="M7" s="3446"/>
      <c r="N7" s="3446"/>
      <c r="O7" s="3446"/>
      <c r="P7" s="3447"/>
      <c r="R7" s="779"/>
    </row>
    <row r="8" spans="1:18"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779"/>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79"/>
    </row>
    <row r="10" spans="1:18" x14ac:dyDescent="0.4">
      <c r="A10" s="43" t="s">
        <v>29</v>
      </c>
      <c r="B10" s="3543" t="str">
        <f>KALKULATION!A489</f>
        <v>LG 5 Qualifizierter Arbeitnehmer</v>
      </c>
      <c r="C10" s="3543"/>
      <c r="D10" s="3543"/>
      <c r="E10" s="3544"/>
      <c r="F10" s="3545">
        <f ca="1">IFERROR((VLOOKUP(B10,Stammdaten!A$7:D$33,4,FALSE)),"")</f>
        <v>15.39</v>
      </c>
      <c r="G10" s="3545"/>
      <c r="H10" s="30">
        <f>KALKULATION!F489</f>
        <v>1</v>
      </c>
      <c r="I10" s="3546">
        <f ca="1">IF(PRODUCT(F10,H10)=0,"",F10*H10)</f>
        <v>15.39</v>
      </c>
      <c r="J10" s="3547"/>
      <c r="K10" s="3565" t="s">
        <v>141</v>
      </c>
      <c r="L10" s="3565"/>
      <c r="M10" s="3565"/>
      <c r="N10" s="3566"/>
      <c r="O10" s="29" t="s">
        <v>30</v>
      </c>
      <c r="P10" s="6" t="s">
        <v>18</v>
      </c>
      <c r="R10" s="779"/>
    </row>
    <row r="11" spans="1:18" x14ac:dyDescent="0.4">
      <c r="A11" s="43" t="s">
        <v>31</v>
      </c>
      <c r="B11" s="3538"/>
      <c r="C11" s="3538"/>
      <c r="D11" s="3538"/>
      <c r="E11" s="3539"/>
      <c r="F11" s="3540"/>
      <c r="G11" s="3540"/>
      <c r="H11" s="33"/>
      <c r="I11" s="3541"/>
      <c r="J11" s="3542"/>
      <c r="K11" s="3638" t="str">
        <f>KALKULATION!N516</f>
        <v>Regiestunde</v>
      </c>
      <c r="L11" s="3639"/>
      <c r="M11" s="3639"/>
      <c r="N11" s="3639"/>
      <c r="O11" s="1031" t="str">
        <f>KALKULATION!P516</f>
        <v/>
      </c>
      <c r="P11" s="163">
        <v>1</v>
      </c>
      <c r="R11" s="779"/>
    </row>
    <row r="12" spans="1:18" x14ac:dyDescent="0.4">
      <c r="A12" s="43" t="s">
        <v>32</v>
      </c>
      <c r="B12" s="3538"/>
      <c r="C12" s="3538"/>
      <c r="D12" s="3538"/>
      <c r="E12" s="3539"/>
      <c r="F12" s="3540"/>
      <c r="G12" s="3540"/>
      <c r="H12" s="33"/>
      <c r="I12" s="3541"/>
      <c r="J12" s="3542"/>
      <c r="K12" s="3569" t="str">
        <f>IF(AND(_Anzeige_Prozent=_Ja,KALKULATION!N520&lt;&gt;""),"Erfasst sind Verr.std. für: "&amp;KALKULATION!N520,"")</f>
        <v/>
      </c>
      <c r="L12" s="3570"/>
      <c r="M12" s="3570"/>
      <c r="N12" s="3571"/>
      <c r="O12" s="556"/>
      <c r="P12" s="555"/>
      <c r="R12" s="779"/>
    </row>
    <row r="13" spans="1:18" x14ac:dyDescent="0.4">
      <c r="A13" s="43" t="s">
        <v>33</v>
      </c>
      <c r="B13" s="3538"/>
      <c r="C13" s="3538"/>
      <c r="D13" s="3538"/>
      <c r="E13" s="3539"/>
      <c r="F13" s="3540"/>
      <c r="G13" s="3540"/>
      <c r="H13" s="33"/>
      <c r="I13" s="3541"/>
      <c r="J13" s="3542"/>
      <c r="K13" s="3569"/>
      <c r="L13" s="3570"/>
      <c r="M13" s="3570"/>
      <c r="N13" s="3571"/>
      <c r="O13" s="556"/>
      <c r="P13" s="555"/>
      <c r="R13" s="779"/>
    </row>
    <row r="14" spans="1:18" x14ac:dyDescent="0.4">
      <c r="A14" s="43" t="s">
        <v>34</v>
      </c>
      <c r="B14" s="3538"/>
      <c r="C14" s="3538"/>
      <c r="D14" s="3538"/>
      <c r="E14" s="3539"/>
      <c r="F14" s="3540"/>
      <c r="G14" s="3540"/>
      <c r="H14" s="33"/>
      <c r="I14" s="3541"/>
      <c r="J14" s="3542"/>
      <c r="K14" s="3569"/>
      <c r="L14" s="3570"/>
      <c r="M14" s="3570"/>
      <c r="N14" s="3571"/>
      <c r="O14" s="34"/>
      <c r="P14" s="35"/>
      <c r="R14" s="779"/>
    </row>
    <row r="15" spans="1:18" x14ac:dyDescent="0.4">
      <c r="A15" s="43" t="s">
        <v>35</v>
      </c>
      <c r="B15" s="3538"/>
      <c r="C15" s="3538"/>
      <c r="D15" s="3538"/>
      <c r="E15" s="3539"/>
      <c r="F15" s="3540"/>
      <c r="G15" s="3540"/>
      <c r="H15" s="33"/>
      <c r="I15" s="3541"/>
      <c r="J15" s="3542"/>
      <c r="K15" s="3538"/>
      <c r="L15" s="3538"/>
      <c r="M15" s="3538"/>
      <c r="N15" s="3539"/>
      <c r="O15" s="34"/>
      <c r="P15" s="35"/>
      <c r="R15" s="779"/>
    </row>
    <row r="16" spans="1:18" x14ac:dyDescent="0.4">
      <c r="A16" s="43" t="s">
        <v>36</v>
      </c>
      <c r="B16" s="3538"/>
      <c r="C16" s="3538"/>
      <c r="D16" s="3538"/>
      <c r="E16" s="3539"/>
      <c r="F16" s="3540"/>
      <c r="G16" s="3540"/>
      <c r="H16" s="33"/>
      <c r="I16" s="3541"/>
      <c r="J16" s="3542"/>
      <c r="K16" s="3636"/>
      <c r="L16" s="3636"/>
      <c r="M16" s="3636"/>
      <c r="N16" s="3637"/>
      <c r="O16" s="36"/>
      <c r="P16" s="37"/>
      <c r="R16" s="779"/>
    </row>
    <row r="17" spans="1:18" x14ac:dyDescent="0.4">
      <c r="A17" s="43" t="s">
        <v>37</v>
      </c>
      <c r="B17" s="3538"/>
      <c r="C17" s="3538"/>
      <c r="D17" s="3538"/>
      <c r="E17" s="3539"/>
      <c r="F17" s="3540"/>
      <c r="G17" s="3540"/>
      <c r="H17" s="33"/>
      <c r="I17" s="3541"/>
      <c r="J17" s="3542"/>
      <c r="K17" s="3636"/>
      <c r="L17" s="3636"/>
      <c r="M17" s="3636"/>
      <c r="N17" s="3637"/>
      <c r="O17" s="36"/>
      <c r="P17" s="37"/>
      <c r="R17" s="779"/>
    </row>
    <row r="18" spans="1:18" ht="15.4" thickBot="1" x14ac:dyDescent="0.45">
      <c r="A18" s="43" t="s">
        <v>38</v>
      </c>
      <c r="B18" s="3572"/>
      <c r="C18" s="3573"/>
      <c r="D18" s="3573"/>
      <c r="E18" s="3574"/>
      <c r="F18" s="3575"/>
      <c r="G18" s="3575"/>
      <c r="H18" s="38"/>
      <c r="I18" s="3576"/>
      <c r="J18" s="3577"/>
      <c r="K18" s="3634"/>
      <c r="L18" s="3634"/>
      <c r="M18" s="3634"/>
      <c r="N18" s="3635"/>
      <c r="O18" s="39"/>
      <c r="P18" s="40"/>
      <c r="R18" s="779"/>
    </row>
    <row r="19" spans="1:18" x14ac:dyDescent="0.4">
      <c r="A19" s="43">
        <v>2</v>
      </c>
      <c r="B19" s="1165" t="s">
        <v>39</v>
      </c>
      <c r="C19" s="1166"/>
      <c r="D19" s="1167"/>
      <c r="E19" s="1167"/>
      <c r="F19" s="1167"/>
      <c r="G19" s="1167"/>
      <c r="H19" s="1163">
        <f>SUM(H10:H18)</f>
        <v>1</v>
      </c>
      <c r="I19" s="3525">
        <f ca="1">IF(AND(_OK?="OK!",_OK_KV?="OK_KV!"),SUM(I10:J18),KALKULATION!G490)</f>
        <v>15.39</v>
      </c>
      <c r="J19" s="3526"/>
      <c r="K19" s="3631" t="s">
        <v>143</v>
      </c>
      <c r="L19" s="3631"/>
      <c r="M19" s="3631"/>
      <c r="N19" s="3631"/>
      <c r="O19" s="3631"/>
      <c r="P19" s="1169">
        <v>1</v>
      </c>
      <c r="R19" s="779"/>
    </row>
    <row r="20" spans="1:18" x14ac:dyDescent="0.4">
      <c r="A20" s="43"/>
      <c r="B20" s="3493"/>
      <c r="C20" s="3493"/>
      <c r="D20" s="3493"/>
      <c r="E20" s="3493"/>
      <c r="F20" s="3493"/>
      <c r="G20" s="3493"/>
      <c r="H20" s="3493"/>
      <c r="I20" s="3493"/>
      <c r="J20" s="3493"/>
      <c r="K20" s="3493"/>
      <c r="L20" s="2456"/>
      <c r="M20" s="3488" t="s">
        <v>6</v>
      </c>
      <c r="N20" s="3489"/>
      <c r="O20" s="3490" t="s">
        <v>7</v>
      </c>
      <c r="P20" s="3489"/>
      <c r="R20" s="779"/>
    </row>
    <row r="21" spans="1:18" x14ac:dyDescent="0.4">
      <c r="A21" s="43">
        <v>3</v>
      </c>
      <c r="B21" s="144" t="s">
        <v>39</v>
      </c>
      <c r="C21" s="145"/>
      <c r="D21" s="145"/>
      <c r="E21" s="145"/>
      <c r="F21" s="145"/>
      <c r="G21" s="145"/>
      <c r="H21" s="3582"/>
      <c r="I21" s="3582"/>
      <c r="J21" s="3582"/>
      <c r="K21" s="3582"/>
      <c r="L21" s="3582"/>
      <c r="M21" s="3582"/>
      <c r="N21" s="3583"/>
      <c r="O21" s="3632">
        <f ca="1">I19/H19</f>
        <v>15.39</v>
      </c>
      <c r="P21" s="3633"/>
      <c r="R21" s="779"/>
    </row>
    <row r="22" spans="1:18" ht="15.4" thickBot="1" x14ac:dyDescent="0.45">
      <c r="A22" s="43">
        <v>4</v>
      </c>
      <c r="B22" s="3495" t="s">
        <v>40</v>
      </c>
      <c r="C22" s="3496"/>
      <c r="D22" s="3496"/>
      <c r="E22" s="3496"/>
      <c r="F22" s="3496"/>
      <c r="G22" s="3496"/>
      <c r="H22" s="3481" t="s">
        <v>41</v>
      </c>
      <c r="I22" s="3481"/>
      <c r="J22" s="3482"/>
      <c r="K22" s="3627">
        <f ca="1">KALKULATION!G502</f>
        <v>0</v>
      </c>
      <c r="L22" s="3628"/>
      <c r="M22" s="3497"/>
      <c r="N22" s="3498"/>
      <c r="O22" s="3629">
        <f ca="1">K22*O21</f>
        <v>0</v>
      </c>
      <c r="P22" s="3630"/>
      <c r="R22" s="779"/>
    </row>
    <row r="23" spans="1:18" x14ac:dyDescent="0.4">
      <c r="A23" s="43">
        <v>5</v>
      </c>
      <c r="B23" s="3465" t="s">
        <v>142</v>
      </c>
      <c r="C23" s="3466"/>
      <c r="D23" s="3466"/>
      <c r="E23" s="3466"/>
      <c r="F23" s="3466"/>
      <c r="G23" s="3466"/>
      <c r="H23" s="3584" t="s">
        <v>180</v>
      </c>
      <c r="I23" s="3419"/>
      <c r="J23" s="3419"/>
      <c r="K23" s="3419"/>
      <c r="L23" s="3419"/>
      <c r="M23" s="3419"/>
      <c r="N23" s="147"/>
      <c r="O23" s="3621">
        <f ca="1">SUM(O21:O22)</f>
        <v>15.39</v>
      </c>
      <c r="P23" s="3622"/>
      <c r="R23" s="779"/>
    </row>
    <row r="24" spans="1:18" x14ac:dyDescent="0.4">
      <c r="A24" s="43">
        <v>6</v>
      </c>
      <c r="B24" s="3458" t="s">
        <v>109</v>
      </c>
      <c r="C24" s="3458"/>
      <c r="D24" s="3458"/>
      <c r="E24" s="3458"/>
      <c r="F24" s="3458"/>
      <c r="G24" s="3458"/>
      <c r="H24" s="3415" t="s">
        <v>87</v>
      </c>
      <c r="I24" s="3415"/>
      <c r="J24" s="3416"/>
      <c r="K24" s="3429">
        <f ca="1">KALKULATION!H502</f>
        <v>0.151</v>
      </c>
      <c r="L24" s="3430"/>
      <c r="M24" s="3431"/>
      <c r="N24" s="3432"/>
      <c r="O24" s="3546">
        <f ca="1">K24*O23</f>
        <v>2.3199999999999998</v>
      </c>
      <c r="P24" s="3547"/>
      <c r="R24" s="779"/>
    </row>
    <row r="25" spans="1:18" x14ac:dyDescent="0.4">
      <c r="A25" s="43">
        <v>7</v>
      </c>
      <c r="B25" s="3458" t="s">
        <v>136</v>
      </c>
      <c r="C25" s="3458"/>
      <c r="D25" s="3458"/>
      <c r="E25" s="3458"/>
      <c r="F25" s="3458"/>
      <c r="G25" s="3458"/>
      <c r="H25" s="3415" t="s">
        <v>87</v>
      </c>
      <c r="I25" s="3415"/>
      <c r="J25" s="3416"/>
      <c r="K25" s="3625">
        <f>KALKULATION!H510</f>
        <v>0</v>
      </c>
      <c r="L25" s="3626"/>
      <c r="M25" s="3431"/>
      <c r="N25" s="3432"/>
      <c r="O25" s="3546">
        <f ca="1">K25*O23</f>
        <v>0</v>
      </c>
      <c r="P25" s="3547"/>
      <c r="R25" s="779"/>
    </row>
    <row r="26" spans="1:18" x14ac:dyDescent="0.4">
      <c r="A26" s="43">
        <v>8</v>
      </c>
      <c r="B26" s="3458" t="s">
        <v>67</v>
      </c>
      <c r="C26" s="3458"/>
      <c r="D26" s="3458"/>
      <c r="E26" s="3458"/>
      <c r="F26" s="3458"/>
      <c r="G26" s="3458"/>
      <c r="H26" s="3415" t="s">
        <v>87</v>
      </c>
      <c r="I26" s="3415"/>
      <c r="J26" s="3416"/>
      <c r="K26" s="3625">
        <f>KALKULATION!H522</f>
        <v>0</v>
      </c>
      <c r="L26" s="3626"/>
      <c r="M26" s="3431"/>
      <c r="N26" s="3432"/>
      <c r="O26" s="3546">
        <f ca="1">K26*O23</f>
        <v>0</v>
      </c>
      <c r="P26" s="3547"/>
      <c r="R26" s="779"/>
    </row>
    <row r="27" spans="1:18" ht="15.4" thickBot="1" x14ac:dyDescent="0.45">
      <c r="A27" s="43">
        <v>9</v>
      </c>
      <c r="B27" s="3478" t="s">
        <v>103</v>
      </c>
      <c r="C27" s="3479"/>
      <c r="D27" s="3479"/>
      <c r="E27" s="3479"/>
      <c r="F27" s="3479"/>
      <c r="G27" s="3479"/>
      <c r="H27" s="3479"/>
      <c r="I27" s="3479"/>
      <c r="J27" s="3479"/>
      <c r="K27" s="3479"/>
      <c r="L27" s="3479"/>
      <c r="M27" s="3479"/>
      <c r="N27" s="3480"/>
      <c r="O27" s="3607">
        <f ca="1">KALKULATION!H526</f>
        <v>3.3</v>
      </c>
      <c r="P27" s="3608"/>
      <c r="R27" s="779"/>
    </row>
    <row r="28" spans="1:18" x14ac:dyDescent="0.4">
      <c r="A28" s="43">
        <v>10</v>
      </c>
      <c r="B28" s="3465" t="s">
        <v>42</v>
      </c>
      <c r="C28" s="3466"/>
      <c r="D28" s="3466"/>
      <c r="E28" s="3466"/>
      <c r="F28" s="3466"/>
      <c r="G28" s="3466"/>
      <c r="H28" s="3584" t="s">
        <v>183</v>
      </c>
      <c r="I28" s="3419"/>
      <c r="J28" s="3419"/>
      <c r="K28" s="3419"/>
      <c r="L28" s="3419"/>
      <c r="M28" s="3419"/>
      <c r="N28" s="146"/>
      <c r="O28" s="3621">
        <f ca="1">SUM(O23:P27)</f>
        <v>21.01</v>
      </c>
      <c r="P28" s="3622"/>
      <c r="R28" s="779"/>
    </row>
    <row r="29" spans="1:18" x14ac:dyDescent="0.4">
      <c r="A29" s="43">
        <v>11</v>
      </c>
      <c r="B29" s="2414" t="s">
        <v>104</v>
      </c>
      <c r="C29" s="2414"/>
      <c r="D29" s="2414"/>
      <c r="E29" s="2414"/>
      <c r="F29" s="2414"/>
      <c r="G29" s="2414"/>
      <c r="H29" s="2414"/>
      <c r="I29" s="2414"/>
      <c r="J29" s="2414"/>
      <c r="K29" s="2414"/>
      <c r="L29" s="2414"/>
      <c r="M29" s="2414"/>
      <c r="N29" s="2414"/>
      <c r="O29" s="3546">
        <f ca="1">KALKULATION!H527</f>
        <v>1.5</v>
      </c>
      <c r="P29" s="3547"/>
      <c r="R29" s="779"/>
    </row>
    <row r="30" spans="1:18" x14ac:dyDescent="0.4">
      <c r="A30" s="43">
        <v>12</v>
      </c>
      <c r="B30" s="3458" t="s">
        <v>43</v>
      </c>
      <c r="C30" s="3458"/>
      <c r="D30" s="3458"/>
      <c r="E30" s="3458"/>
      <c r="F30" s="3458"/>
      <c r="G30" s="3458"/>
      <c r="H30" s="3415" t="s">
        <v>44</v>
      </c>
      <c r="I30" s="3415"/>
      <c r="J30" s="3416"/>
      <c r="K30" s="3625">
        <f ca="1">KALKULATION!H528</f>
        <v>0.30270000000000002</v>
      </c>
      <c r="L30" s="3626"/>
      <c r="M30" s="3431"/>
      <c r="N30" s="3432"/>
      <c r="O30" s="3546">
        <f ca="1">K30*O28</f>
        <v>6.36</v>
      </c>
      <c r="P30" s="3547"/>
      <c r="R30" s="779"/>
    </row>
    <row r="31" spans="1:18" x14ac:dyDescent="0.4">
      <c r="A31" s="43">
        <v>13</v>
      </c>
      <c r="B31" s="3458" t="s">
        <v>45</v>
      </c>
      <c r="C31" s="3458"/>
      <c r="D31" s="3458"/>
      <c r="E31" s="3458"/>
      <c r="F31" s="3458"/>
      <c r="G31" s="3458"/>
      <c r="H31" s="3415" t="s">
        <v>44</v>
      </c>
      <c r="I31" s="3415"/>
      <c r="J31" s="3416"/>
      <c r="K31" s="3625">
        <f ca="1">KALKULATION!H529</f>
        <v>0.66</v>
      </c>
      <c r="L31" s="3626"/>
      <c r="M31" s="3431"/>
      <c r="N31" s="3432"/>
      <c r="O31" s="3546">
        <f ca="1">K31*O28</f>
        <v>13.87</v>
      </c>
      <c r="P31" s="3547"/>
      <c r="R31" s="779"/>
    </row>
    <row r="32" spans="1:18" ht="15.4" thickBot="1" x14ac:dyDescent="0.45">
      <c r="A32" s="43">
        <v>14</v>
      </c>
      <c r="B32" s="3460" t="s">
        <v>46</v>
      </c>
      <c r="C32" s="3461"/>
      <c r="D32" s="3461"/>
      <c r="E32" s="3461"/>
      <c r="F32" s="3461"/>
      <c r="G32" s="3461"/>
      <c r="H32" s="3462" t="s">
        <v>44</v>
      </c>
      <c r="I32" s="3462"/>
      <c r="J32" s="3463"/>
      <c r="K32" s="3627">
        <f ca="1">O32/O28</f>
        <v>3.3E-3</v>
      </c>
      <c r="L32" s="3628"/>
      <c r="M32" s="3433"/>
      <c r="N32" s="3434"/>
      <c r="O32" s="3607">
        <f ca="1">KALKULATION!H530</f>
        <v>7.0000000000000007E-2</v>
      </c>
      <c r="P32" s="3608"/>
      <c r="R32" s="779"/>
    </row>
    <row r="33" spans="1:18" x14ac:dyDescent="0.4">
      <c r="A33" s="43">
        <v>15</v>
      </c>
      <c r="B33" s="3465" t="s">
        <v>47</v>
      </c>
      <c r="C33" s="3466"/>
      <c r="D33" s="3466"/>
      <c r="E33" s="3466"/>
      <c r="F33" s="3466"/>
      <c r="G33" s="3466"/>
      <c r="H33" s="3584" t="s">
        <v>184</v>
      </c>
      <c r="I33" s="3419"/>
      <c r="J33" s="3419"/>
      <c r="K33" s="3419"/>
      <c r="L33" s="3419"/>
      <c r="M33" s="3419"/>
      <c r="N33" s="3419"/>
      <c r="O33" s="3621">
        <f ca="1">SUM(O28:P32)</f>
        <v>42.81</v>
      </c>
      <c r="P33" s="3622"/>
      <c r="R33" s="779"/>
    </row>
    <row r="34" spans="1:18"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IF(_Anzeige_Prozent=_Nein,KALKULATION!G531+KALKULATION!H531/O33,KALKULATION!G531)</f>
        <v>4.7500000000000001E-2</v>
      </c>
      <c r="L34" s="3430"/>
      <c r="M34" s="3623">
        <f ca="1">IF(_Anzeige_Prozent=_Nein,"",KALKULATION!H531)</f>
        <v>3.21</v>
      </c>
      <c r="N34" s="3624"/>
      <c r="O34" s="3623">
        <f ca="1">SUM(KALKULATION!H531,KALKULATION!G531*O33)</f>
        <v>5.24</v>
      </c>
      <c r="P34" s="3624"/>
      <c r="R34" s="779"/>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79"/>
    </row>
    <row r="36" spans="1:18" x14ac:dyDescent="0.4">
      <c r="A36" s="79" t="s">
        <v>49</v>
      </c>
      <c r="B36" s="3401" t="str">
        <f>IF(SUM(K36:N36)=0,"",KALKULATION!A534)</f>
        <v/>
      </c>
      <c r="C36" s="3401"/>
      <c r="D36" s="3401"/>
      <c r="E36" s="3401"/>
      <c r="F36" s="3401"/>
      <c r="G36" s="3401"/>
      <c r="H36" s="3401"/>
      <c r="I36" s="3401"/>
      <c r="J36" s="3401"/>
      <c r="K36" s="3619" t="str">
        <f>IF(KALKULATION!A534="","",IF(_Anzeige_Prozent=_Nein,"",KALKULATION!G534))</f>
        <v/>
      </c>
      <c r="L36" s="3596"/>
      <c r="M36" s="3609" t="str">
        <f>IF(KALKULATION!A534="","",SUM(KALKULATION!F534,KALKULATION!H534))</f>
        <v/>
      </c>
      <c r="N36" s="3610"/>
      <c r="O36" s="3599"/>
      <c r="P36" s="3600"/>
      <c r="R36" s="779"/>
    </row>
    <row r="37" spans="1:18" x14ac:dyDescent="0.4">
      <c r="A37" s="79" t="s">
        <v>50</v>
      </c>
      <c r="B37" s="3401" t="str">
        <f>IF(SUM(K37:N37)=0,"",KALKULATION!A535)</f>
        <v/>
      </c>
      <c r="C37" s="3401"/>
      <c r="D37" s="3401"/>
      <c r="E37" s="3401"/>
      <c r="F37" s="3401"/>
      <c r="G37" s="3401"/>
      <c r="H37" s="3401"/>
      <c r="I37" s="3401"/>
      <c r="J37" s="3401"/>
      <c r="K37" s="3620" t="str">
        <f>IF(KALKULATION!A535="","",IF(_Anzeige_Prozent=_Nein,"",KALKULATION!G535))</f>
        <v/>
      </c>
      <c r="L37" s="3604"/>
      <c r="M37" s="3546" t="str">
        <f>IF(KALKULATION!A535="","",SUM(KALKULATION!F535,KALKULATION!H535))</f>
        <v/>
      </c>
      <c r="N37" s="3547"/>
      <c r="O37" s="3599"/>
      <c r="P37" s="3600"/>
      <c r="R37" s="779"/>
    </row>
    <row r="38" spans="1:18" ht="15.4" thickBot="1" x14ac:dyDescent="0.45">
      <c r="A38" s="79" t="s">
        <v>51</v>
      </c>
      <c r="B38" s="3476" t="str">
        <f>IF(SUM(K38:N38)=0,"",KALKULATION!A536)</f>
        <v/>
      </c>
      <c r="C38" s="3476"/>
      <c r="D38" s="3476"/>
      <c r="E38" s="3476"/>
      <c r="F38" s="3476"/>
      <c r="G38" s="3476"/>
      <c r="H38" s="3476"/>
      <c r="I38" s="3476"/>
      <c r="J38" s="3476"/>
      <c r="K38" s="3618" t="str">
        <f>IF(KALKULATION!A536="","",IF(_Anzeige_Prozent=_Nein,"",KALKULATION!G536))</f>
        <v/>
      </c>
      <c r="L38" s="3606"/>
      <c r="M38" s="3607" t="str">
        <f>IF(KALKULATION!A536="","",SUM(KALKULATION!F536,KALKULATION!H536))</f>
        <v/>
      </c>
      <c r="N38" s="3608"/>
      <c r="O38" s="3601"/>
      <c r="P38" s="3602"/>
      <c r="R38" s="779"/>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f ca="1">SUM(O33:P34)</f>
        <v>48.05</v>
      </c>
      <c r="P39" s="3612"/>
      <c r="R39" s="779"/>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f ca="1">SUM(M39:P39)</f>
        <v>48.05</v>
      </c>
      <c r="O40" s="3591"/>
      <c r="P40" s="376"/>
      <c r="R40" s="779"/>
    </row>
    <row r="41" spans="1:18" hidden="1" x14ac:dyDescent="0.4">
      <c r="A41" s="43"/>
      <c r="B41" s="102" t="s">
        <v>55</v>
      </c>
      <c r="C41" s="4"/>
      <c r="D41" s="4"/>
      <c r="E41" s="4"/>
      <c r="F41" s="4"/>
      <c r="G41" s="4"/>
      <c r="H41" s="5"/>
      <c r="I41" s="1"/>
      <c r="K41" s="3"/>
      <c r="L41" s="3"/>
      <c r="M41" s="25"/>
      <c r="N41" s="26"/>
      <c r="O41" s="26"/>
      <c r="P41" s="27"/>
      <c r="R41" s="779"/>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79"/>
    </row>
    <row r="43" spans="1:18" ht="15.4" thickBot="1" x14ac:dyDescent="0.45">
      <c r="A43" s="43">
        <v>20</v>
      </c>
      <c r="B43" s="3460"/>
      <c r="C43" s="3461"/>
      <c r="D43" s="3461"/>
      <c r="E43" s="3461"/>
      <c r="F43" s="3461"/>
      <c r="G43" s="3461"/>
      <c r="H43" s="3464"/>
      <c r="I43" s="3616" t="str">
        <f>IF(M39="","",KALKULATION!H538)</f>
        <v/>
      </c>
      <c r="J43" s="3617"/>
      <c r="K43" s="3616">
        <f>KALKULATION!H541</f>
        <v>0.28000000000000003</v>
      </c>
      <c r="L43" s="3617"/>
      <c r="M43" s="3614" t="str">
        <f>IFERROR(I43*M39,"")</f>
        <v/>
      </c>
      <c r="N43" s="3615"/>
      <c r="O43" s="3614">
        <f ca="1">K43*O39</f>
        <v>13.45</v>
      </c>
      <c r="P43" s="3615"/>
      <c r="R43" s="779"/>
    </row>
    <row r="44" spans="1:18" x14ac:dyDescent="0.4">
      <c r="A44" s="43">
        <v>21</v>
      </c>
      <c r="B44" s="1157" t="s">
        <v>894</v>
      </c>
      <c r="C44" s="1158"/>
      <c r="D44" s="1158"/>
      <c r="E44" s="1158"/>
      <c r="F44" s="1158"/>
      <c r="G44" s="1158"/>
      <c r="H44" s="1158"/>
      <c r="I44" s="1152"/>
      <c r="J44" s="1152"/>
      <c r="K44" s="1152"/>
      <c r="L44" s="1153"/>
      <c r="M44" s="3611" t="str">
        <f>IFERROR(IF(M39="","",SUM(M39,M43)),"")</f>
        <v/>
      </c>
      <c r="N44" s="3612"/>
      <c r="O44" s="3611">
        <f ca="1">SUM(O39:P43)</f>
        <v>61.5</v>
      </c>
      <c r="P44" s="3612"/>
      <c r="R44" s="779"/>
    </row>
    <row r="45" spans="1:18" ht="27.85" customHeight="1" x14ac:dyDescent="0.4">
      <c r="A45" s="44">
        <v>22</v>
      </c>
      <c r="B45" s="3588" t="str">
        <f ca="1">KALKULATION!C543</f>
        <v>Regielohnpreis gesamt für [LG 5 Qualifizierter Arbeitnehmer]</v>
      </c>
      <c r="C45" s="3589"/>
      <c r="D45" s="3589"/>
      <c r="E45" s="3589"/>
      <c r="F45" s="3589"/>
      <c r="G45" s="3589"/>
      <c r="H45" s="3589"/>
      <c r="I45" s="3589"/>
      <c r="J45" s="3590"/>
      <c r="K45" s="3459" t="s">
        <v>186</v>
      </c>
      <c r="L45" s="2229"/>
      <c r="M45" s="1160"/>
      <c r="N45" s="3591">
        <f ca="1">SUM(M44:P44)</f>
        <v>61.5</v>
      </c>
      <c r="O45" s="3591"/>
      <c r="P45" s="376"/>
      <c r="R45" s="779"/>
    </row>
    <row r="46" spans="1:18" hidden="1" x14ac:dyDescent="0.4">
      <c r="A46" s="101"/>
      <c r="B46" s="102" t="s">
        <v>55</v>
      </c>
      <c r="C46" s="1"/>
      <c r="D46" s="1"/>
      <c r="E46" s="1"/>
      <c r="F46" s="1"/>
      <c r="G46" s="1"/>
      <c r="H46" s="1"/>
      <c r="I46" s="2"/>
      <c r="J46" s="23"/>
      <c r="K46" s="23"/>
      <c r="M46" s="22"/>
      <c r="N46" s="22"/>
      <c r="O46" s="21"/>
      <c r="R46" s="779"/>
    </row>
    <row r="47" spans="1:18"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779"/>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JvMxcAq+TzLWgtTuo2Nme6+ZQTwEh5zghscISYIdvh92nNjF+v770XJQsS8wUWd8Go/R32TNG0rVv9BC9xjGGQ==" saltValue="piwotBxYZZPXo6D10JiQpg==" spinCount="100000" sheet="1" formatColumns="0" selectLockedCells="1"/>
  <mergeCells count="156">
    <mergeCell ref="A2:A8"/>
    <mergeCell ref="B2:E3"/>
    <mergeCell ref="F2:J3"/>
    <mergeCell ref="K2:P2"/>
    <mergeCell ref="C4:E4"/>
    <mergeCell ref="G4:J4"/>
    <mergeCell ref="K6:L6"/>
    <mergeCell ref="M6:P6"/>
    <mergeCell ref="B8:L8"/>
    <mergeCell ref="K4:P4"/>
    <mergeCell ref="K3:P3"/>
    <mergeCell ref="K5:P5"/>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780"/>
    </row>
    <row r="2" spans="1:18" x14ac:dyDescent="0.4">
      <c r="A2" s="3531"/>
      <c r="B2" s="3505" t="s">
        <v>57</v>
      </c>
      <c r="C2" s="3506"/>
      <c r="D2" s="3506"/>
      <c r="E2" s="3506"/>
      <c r="F2" s="3532" t="str">
        <f>IF(KALKULATION!D554="","Regiepersonalpreis",KALKULATION!D554)</f>
        <v>Regiepersonalpreis</v>
      </c>
      <c r="G2" s="3532"/>
      <c r="H2" s="3532"/>
      <c r="I2" s="3532"/>
      <c r="J2" s="3533"/>
      <c r="K2" s="3457" t="s">
        <v>24</v>
      </c>
      <c r="L2" s="3458"/>
      <c r="M2" s="3458"/>
      <c r="N2" s="3458"/>
      <c r="O2" s="3458"/>
      <c r="P2" s="3528"/>
      <c r="R2" s="780"/>
    </row>
    <row r="3" spans="1:18" x14ac:dyDescent="0.4">
      <c r="A3" s="3531"/>
      <c r="B3" s="3247"/>
      <c r="C3" s="3248"/>
      <c r="D3" s="3248"/>
      <c r="E3" s="3248"/>
      <c r="F3" s="3534"/>
      <c r="G3" s="3534"/>
      <c r="H3" s="3534"/>
      <c r="I3" s="3534"/>
      <c r="J3" s="3535"/>
      <c r="K3" s="3400" t="str">
        <f ca="1">' K3 PP'!K3</f>
        <v>Mittellohnpreisbroschüre EuM 2025</v>
      </c>
      <c r="L3" s="3401"/>
      <c r="M3" s="3401"/>
      <c r="N3" s="3401"/>
      <c r="O3" s="3401"/>
      <c r="P3" s="3402"/>
      <c r="R3" s="780"/>
    </row>
    <row r="4" spans="1:18"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780"/>
    </row>
    <row r="5" spans="1:18" x14ac:dyDescent="0.4">
      <c r="A5" s="3531"/>
      <c r="B5" s="3397" t="s">
        <v>619</v>
      </c>
      <c r="C5" s="3398"/>
      <c r="D5" s="3398"/>
      <c r="E5" s="3399"/>
      <c r="F5" s="3406" t="s">
        <v>620</v>
      </c>
      <c r="G5" s="3407"/>
      <c r="H5" s="3407"/>
      <c r="I5" s="3407"/>
      <c r="J5" s="3408"/>
      <c r="K5" s="3515" t="str">
        <f ca="1">' K3 PP'!K5</f>
        <v/>
      </c>
      <c r="L5" s="3516"/>
      <c r="M5" s="3516"/>
      <c r="N5" s="3516"/>
      <c r="O5" s="3516"/>
      <c r="P5" s="3517"/>
      <c r="R5" s="780"/>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780"/>
    </row>
    <row r="7" spans="1:18" x14ac:dyDescent="0.4">
      <c r="A7" s="3531"/>
      <c r="B7" s="2455" t="s">
        <v>126</v>
      </c>
      <c r="C7" s="3493"/>
      <c r="D7" s="3493"/>
      <c r="E7" s="3493"/>
      <c r="F7" s="3562" t="s">
        <v>25</v>
      </c>
      <c r="G7" s="3563"/>
      <c r="H7" s="3563"/>
      <c r="I7" s="3563"/>
      <c r="J7" s="3564"/>
      <c r="K7" s="3446" t="s">
        <v>140</v>
      </c>
      <c r="L7" s="3446"/>
      <c r="M7" s="3446"/>
      <c r="N7" s="3446"/>
      <c r="O7" s="3446"/>
      <c r="P7" s="3447"/>
      <c r="R7" s="780"/>
    </row>
    <row r="8" spans="1:18"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780"/>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0"/>
    </row>
    <row r="10" spans="1:18" x14ac:dyDescent="0.4">
      <c r="A10" s="43" t="s">
        <v>29</v>
      </c>
      <c r="B10" s="3543">
        <f>KALKULATION!A557</f>
        <v>0</v>
      </c>
      <c r="C10" s="3543"/>
      <c r="D10" s="3543"/>
      <c r="E10" s="3544"/>
      <c r="F10" s="3545">
        <f ca="1">IFERROR((VLOOKUP(B10,Stammdaten!A$7:D$33,4,FALSE)),"")</f>
        <v>0</v>
      </c>
      <c r="G10" s="3545"/>
      <c r="H10" s="30">
        <f>KALKULATION!F557</f>
        <v>1</v>
      </c>
      <c r="I10" s="3546" t="str">
        <f ca="1">IF(PRODUCT(F10,H10)=0,"",F10*H10)</f>
        <v/>
      </c>
      <c r="J10" s="3547"/>
      <c r="K10" s="3565" t="s">
        <v>141</v>
      </c>
      <c r="L10" s="3565"/>
      <c r="M10" s="3565"/>
      <c r="N10" s="3566"/>
      <c r="O10" s="29" t="s">
        <v>30</v>
      </c>
      <c r="P10" s="6" t="s">
        <v>18</v>
      </c>
      <c r="R10" s="780"/>
    </row>
    <row r="11" spans="1:18" x14ac:dyDescent="0.4">
      <c r="A11" s="43" t="s">
        <v>31</v>
      </c>
      <c r="B11" s="3538"/>
      <c r="C11" s="3538"/>
      <c r="D11" s="3538"/>
      <c r="E11" s="3539"/>
      <c r="F11" s="3540"/>
      <c r="G11" s="3540"/>
      <c r="H11" s="33"/>
      <c r="I11" s="3541"/>
      <c r="J11" s="3542"/>
      <c r="K11" s="3638" t="str">
        <f>KALKULATION!N584</f>
        <v>Regiestunde</v>
      </c>
      <c r="L11" s="3639"/>
      <c r="M11" s="3639"/>
      <c r="N11" s="3639"/>
      <c r="O11" s="1031" t="str">
        <f>KALKULATION!P584</f>
        <v/>
      </c>
      <c r="P11" s="163">
        <v>1</v>
      </c>
      <c r="R11" s="780"/>
    </row>
    <row r="12" spans="1:18" x14ac:dyDescent="0.4">
      <c r="A12" s="43" t="s">
        <v>32</v>
      </c>
      <c r="B12" s="3538"/>
      <c r="C12" s="3538"/>
      <c r="D12" s="3538"/>
      <c r="E12" s="3539"/>
      <c r="F12" s="3540"/>
      <c r="G12" s="3540"/>
      <c r="H12" s="33"/>
      <c r="I12" s="3541"/>
      <c r="J12" s="3542"/>
      <c r="K12" s="3569" t="str">
        <f>IF(AND(_Anzeige_Prozent=_Ja,KALKULATION!N588&lt;&gt;""),"Erfasst sind Verr.std. für: "&amp;KALKULATION!N588,"")</f>
        <v/>
      </c>
      <c r="L12" s="3570"/>
      <c r="M12" s="3570"/>
      <c r="N12" s="3571"/>
      <c r="O12" s="554"/>
      <c r="P12" s="555"/>
      <c r="R12" s="780"/>
    </row>
    <row r="13" spans="1:18" x14ac:dyDescent="0.4">
      <c r="A13" s="43" t="s">
        <v>33</v>
      </c>
      <c r="B13" s="3538"/>
      <c r="C13" s="3538"/>
      <c r="D13" s="3538"/>
      <c r="E13" s="3539"/>
      <c r="F13" s="3540"/>
      <c r="G13" s="3540"/>
      <c r="H13" s="33"/>
      <c r="I13" s="3541"/>
      <c r="J13" s="3542"/>
      <c r="K13" s="3569"/>
      <c r="L13" s="3570"/>
      <c r="M13" s="3570"/>
      <c r="N13" s="3571"/>
      <c r="O13" s="554"/>
      <c r="P13" s="555"/>
      <c r="R13" s="780"/>
    </row>
    <row r="14" spans="1:18" x14ac:dyDescent="0.4">
      <c r="A14" s="43" t="s">
        <v>34</v>
      </c>
      <c r="B14" s="3538"/>
      <c r="C14" s="3538"/>
      <c r="D14" s="3538"/>
      <c r="E14" s="3539"/>
      <c r="F14" s="3540"/>
      <c r="G14" s="3540"/>
      <c r="H14" s="33"/>
      <c r="I14" s="3541"/>
      <c r="J14" s="3542"/>
      <c r="K14" s="3569"/>
      <c r="L14" s="3570"/>
      <c r="M14" s="3570"/>
      <c r="N14" s="3571"/>
      <c r="O14" s="34"/>
      <c r="P14" s="35"/>
      <c r="R14" s="780"/>
    </row>
    <row r="15" spans="1:18" x14ac:dyDescent="0.4">
      <c r="A15" s="43" t="s">
        <v>35</v>
      </c>
      <c r="B15" s="3538"/>
      <c r="C15" s="3538"/>
      <c r="D15" s="3538"/>
      <c r="E15" s="3539"/>
      <c r="F15" s="3540"/>
      <c r="G15" s="3540"/>
      <c r="H15" s="33"/>
      <c r="I15" s="3541"/>
      <c r="J15" s="3542"/>
      <c r="K15" s="3538"/>
      <c r="L15" s="3538"/>
      <c r="M15" s="3538"/>
      <c r="N15" s="3539"/>
      <c r="O15" s="34"/>
      <c r="P15" s="35"/>
      <c r="R15" s="780"/>
    </row>
    <row r="16" spans="1:18" x14ac:dyDescent="0.4">
      <c r="A16" s="43" t="s">
        <v>36</v>
      </c>
      <c r="B16" s="3538"/>
      <c r="C16" s="3538"/>
      <c r="D16" s="3538"/>
      <c r="E16" s="3539"/>
      <c r="F16" s="3540"/>
      <c r="G16" s="3540"/>
      <c r="H16" s="33"/>
      <c r="I16" s="3541"/>
      <c r="J16" s="3542"/>
      <c r="K16" s="3636"/>
      <c r="L16" s="3636"/>
      <c r="M16" s="3636"/>
      <c r="N16" s="3637"/>
      <c r="O16" s="36"/>
      <c r="P16" s="37"/>
      <c r="R16" s="780"/>
    </row>
    <row r="17" spans="1:18" x14ac:dyDescent="0.4">
      <c r="A17" s="43" t="s">
        <v>37</v>
      </c>
      <c r="B17" s="3538"/>
      <c r="C17" s="3538"/>
      <c r="D17" s="3538"/>
      <c r="E17" s="3539"/>
      <c r="F17" s="3540"/>
      <c r="G17" s="3540"/>
      <c r="H17" s="33"/>
      <c r="I17" s="3541"/>
      <c r="J17" s="3542"/>
      <c r="K17" s="3636"/>
      <c r="L17" s="3636"/>
      <c r="M17" s="3636"/>
      <c r="N17" s="3637"/>
      <c r="O17" s="36"/>
      <c r="P17" s="37"/>
      <c r="R17" s="780"/>
    </row>
    <row r="18" spans="1:18" ht="15.4" thickBot="1" x14ac:dyDescent="0.45">
      <c r="A18" s="43" t="s">
        <v>38</v>
      </c>
      <c r="B18" s="3572"/>
      <c r="C18" s="3573"/>
      <c r="D18" s="3573"/>
      <c r="E18" s="3574"/>
      <c r="F18" s="3575"/>
      <c r="G18" s="3575"/>
      <c r="H18" s="38"/>
      <c r="I18" s="3576"/>
      <c r="J18" s="3577"/>
      <c r="K18" s="3634"/>
      <c r="L18" s="3634"/>
      <c r="M18" s="3634"/>
      <c r="N18" s="3635"/>
      <c r="O18" s="39"/>
      <c r="P18" s="40"/>
      <c r="R18" s="780"/>
    </row>
    <row r="19" spans="1:18" x14ac:dyDescent="0.4">
      <c r="A19" s="43">
        <v>2</v>
      </c>
      <c r="B19" s="1165" t="s">
        <v>39</v>
      </c>
      <c r="C19" s="1166"/>
      <c r="D19" s="1167"/>
      <c r="E19" s="1167"/>
      <c r="F19" s="1167"/>
      <c r="G19" s="1167"/>
      <c r="H19" s="1163">
        <f>SUM(H10:H18)</f>
        <v>1</v>
      </c>
      <c r="I19" s="3525">
        <f ca="1">IF(AND(_OK?="OK!",_OK_KV?="OK_KV!"),SUM(I10:J18),KALKULATION!G558)</f>
        <v>0</v>
      </c>
      <c r="J19" s="3526"/>
      <c r="K19" s="3631" t="s">
        <v>143</v>
      </c>
      <c r="L19" s="3631"/>
      <c r="M19" s="3631"/>
      <c r="N19" s="3631"/>
      <c r="O19" s="3631"/>
      <c r="P19" s="1169">
        <v>1</v>
      </c>
      <c r="R19" s="780"/>
    </row>
    <row r="20" spans="1:18" x14ac:dyDescent="0.4">
      <c r="A20" s="43"/>
      <c r="B20" s="3493"/>
      <c r="C20" s="3493"/>
      <c r="D20" s="3493"/>
      <c r="E20" s="3493"/>
      <c r="F20" s="3493"/>
      <c r="G20" s="3493"/>
      <c r="H20" s="3493"/>
      <c r="I20" s="3493"/>
      <c r="J20" s="3493"/>
      <c r="K20" s="3493"/>
      <c r="L20" s="2456"/>
      <c r="M20" s="3488" t="s">
        <v>6</v>
      </c>
      <c r="N20" s="3489"/>
      <c r="O20" s="3490" t="s">
        <v>7</v>
      </c>
      <c r="P20" s="3489"/>
      <c r="R20" s="780"/>
    </row>
    <row r="21" spans="1:18" x14ac:dyDescent="0.4">
      <c r="A21" s="43">
        <v>3</v>
      </c>
      <c r="B21" s="144" t="s">
        <v>39</v>
      </c>
      <c r="C21" s="145"/>
      <c r="D21" s="145"/>
      <c r="E21" s="145"/>
      <c r="F21" s="145"/>
      <c r="G21" s="145"/>
      <c r="H21" s="3582"/>
      <c r="I21" s="3582"/>
      <c r="J21" s="3582"/>
      <c r="K21" s="3582"/>
      <c r="L21" s="3582"/>
      <c r="M21" s="3582"/>
      <c r="N21" s="3583"/>
      <c r="O21" s="3632">
        <f ca="1">I19/H19</f>
        <v>0</v>
      </c>
      <c r="P21" s="3633"/>
      <c r="R21" s="780"/>
    </row>
    <row r="22" spans="1:18" ht="15.4" thickBot="1" x14ac:dyDescent="0.45">
      <c r="A22" s="43">
        <v>4</v>
      </c>
      <c r="B22" s="3495" t="s">
        <v>40</v>
      </c>
      <c r="C22" s="3496"/>
      <c r="D22" s="3496"/>
      <c r="E22" s="3496"/>
      <c r="F22" s="3496"/>
      <c r="G22" s="3496"/>
      <c r="H22" s="3481" t="s">
        <v>41</v>
      </c>
      <c r="I22" s="3481"/>
      <c r="J22" s="3482"/>
      <c r="K22" s="3627" t="e">
        <f ca="1">KALKULATION!G570</f>
        <v>#DIV/0!</v>
      </c>
      <c r="L22" s="3628"/>
      <c r="M22" s="3497"/>
      <c r="N22" s="3498"/>
      <c r="O22" s="3629" t="e">
        <f ca="1">K22*O21</f>
        <v>#DIV/0!</v>
      </c>
      <c r="P22" s="3630"/>
      <c r="R22" s="780"/>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780"/>
    </row>
    <row r="24" spans="1:18" x14ac:dyDescent="0.4">
      <c r="A24" s="43">
        <v>6</v>
      </c>
      <c r="B24" s="3458" t="s">
        <v>109</v>
      </c>
      <c r="C24" s="3458"/>
      <c r="D24" s="3458"/>
      <c r="E24" s="3458"/>
      <c r="F24" s="3458"/>
      <c r="G24" s="3458"/>
      <c r="H24" s="3415" t="s">
        <v>87</v>
      </c>
      <c r="I24" s="3415"/>
      <c r="J24" s="3416"/>
      <c r="K24" s="3429">
        <f ca="1">KALKULATION!H570</f>
        <v>0.151</v>
      </c>
      <c r="L24" s="3430"/>
      <c r="M24" s="3431"/>
      <c r="N24" s="3432"/>
      <c r="O24" s="3546" t="e">
        <f ca="1">K24*O23</f>
        <v>#DIV/0!</v>
      </c>
      <c r="P24" s="3547"/>
      <c r="R24" s="780"/>
    </row>
    <row r="25" spans="1:18" x14ac:dyDescent="0.4">
      <c r="A25" s="43">
        <v>7</v>
      </c>
      <c r="B25" s="3458" t="s">
        <v>136</v>
      </c>
      <c r="C25" s="3458"/>
      <c r="D25" s="3458"/>
      <c r="E25" s="3458"/>
      <c r="F25" s="3458"/>
      <c r="G25" s="3458"/>
      <c r="H25" s="3415" t="s">
        <v>87</v>
      </c>
      <c r="I25" s="3415"/>
      <c r="J25" s="3416"/>
      <c r="K25" s="3625">
        <f>KALKULATION!H578</f>
        <v>0</v>
      </c>
      <c r="L25" s="3626"/>
      <c r="M25" s="3431"/>
      <c r="N25" s="3432"/>
      <c r="O25" s="3546" t="e">
        <f ca="1">K25*O23</f>
        <v>#DIV/0!</v>
      </c>
      <c r="P25" s="3547"/>
      <c r="R25" s="780"/>
    </row>
    <row r="26" spans="1:18" x14ac:dyDescent="0.4">
      <c r="A26" s="43">
        <v>8</v>
      </c>
      <c r="B26" s="3458" t="s">
        <v>67</v>
      </c>
      <c r="C26" s="3458"/>
      <c r="D26" s="3458"/>
      <c r="E26" s="3458"/>
      <c r="F26" s="3458"/>
      <c r="G26" s="3458"/>
      <c r="H26" s="3415" t="s">
        <v>87</v>
      </c>
      <c r="I26" s="3415"/>
      <c r="J26" s="3416"/>
      <c r="K26" s="3625">
        <f>KALKULATION!H590</f>
        <v>0</v>
      </c>
      <c r="L26" s="3626"/>
      <c r="M26" s="3431"/>
      <c r="N26" s="3432"/>
      <c r="O26" s="3546" t="e">
        <f ca="1">K26*O23</f>
        <v>#DIV/0!</v>
      </c>
      <c r="P26" s="3547"/>
      <c r="R26" s="780"/>
    </row>
    <row r="27" spans="1:18" ht="15.4" thickBot="1" x14ac:dyDescent="0.45">
      <c r="A27" s="43">
        <v>9</v>
      </c>
      <c r="B27" s="3478" t="s">
        <v>103</v>
      </c>
      <c r="C27" s="3479"/>
      <c r="D27" s="3479"/>
      <c r="E27" s="3479"/>
      <c r="F27" s="3479"/>
      <c r="G27" s="3479"/>
      <c r="H27" s="3479"/>
      <c r="I27" s="3479"/>
      <c r="J27" s="3479"/>
      <c r="K27" s="3479"/>
      <c r="L27" s="3479"/>
      <c r="M27" s="3479"/>
      <c r="N27" s="3480"/>
      <c r="O27" s="3607">
        <f ca="1">KALKULATION!H594</f>
        <v>3.3</v>
      </c>
      <c r="P27" s="3608"/>
      <c r="R27" s="780"/>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780"/>
    </row>
    <row r="29" spans="1:18" x14ac:dyDescent="0.4">
      <c r="A29" s="43">
        <v>11</v>
      </c>
      <c r="B29" s="2414" t="s">
        <v>104</v>
      </c>
      <c r="C29" s="2414"/>
      <c r="D29" s="2414"/>
      <c r="E29" s="2414"/>
      <c r="F29" s="2414"/>
      <c r="G29" s="2414"/>
      <c r="H29" s="2414"/>
      <c r="I29" s="2414"/>
      <c r="J29" s="2414"/>
      <c r="K29" s="2414"/>
      <c r="L29" s="2414"/>
      <c r="M29" s="2414"/>
      <c r="N29" s="2414"/>
      <c r="O29" s="3546">
        <f ca="1">KALKULATION!H595</f>
        <v>1.5</v>
      </c>
      <c r="P29" s="3547"/>
      <c r="R29" s="780"/>
    </row>
    <row r="30" spans="1:18" x14ac:dyDescent="0.4">
      <c r="A30" s="43">
        <v>12</v>
      </c>
      <c r="B30" s="3458" t="s">
        <v>43</v>
      </c>
      <c r="C30" s="3458"/>
      <c r="D30" s="3458"/>
      <c r="E30" s="3458"/>
      <c r="F30" s="3458"/>
      <c r="G30" s="3458"/>
      <c r="H30" s="3415" t="s">
        <v>44</v>
      </c>
      <c r="I30" s="3415"/>
      <c r="J30" s="3416"/>
      <c r="K30" s="3625">
        <f ca="1">KALKULATION!H596</f>
        <v>0.30270000000000002</v>
      </c>
      <c r="L30" s="3626"/>
      <c r="M30" s="3431"/>
      <c r="N30" s="3432"/>
      <c r="O30" s="3546" t="e">
        <f ca="1">K30*O28</f>
        <v>#DIV/0!</v>
      </c>
      <c r="P30" s="3547"/>
      <c r="R30" s="780"/>
    </row>
    <row r="31" spans="1:18" x14ac:dyDescent="0.4">
      <c r="A31" s="43">
        <v>13</v>
      </c>
      <c r="B31" s="3458" t="s">
        <v>45</v>
      </c>
      <c r="C31" s="3458"/>
      <c r="D31" s="3458"/>
      <c r="E31" s="3458"/>
      <c r="F31" s="3458"/>
      <c r="G31" s="3458"/>
      <c r="H31" s="3415" t="s">
        <v>44</v>
      </c>
      <c r="I31" s="3415"/>
      <c r="J31" s="3416"/>
      <c r="K31" s="3625">
        <f ca="1">KALKULATION!H597</f>
        <v>0.66</v>
      </c>
      <c r="L31" s="3626"/>
      <c r="M31" s="3431"/>
      <c r="N31" s="3432"/>
      <c r="O31" s="3546" t="e">
        <f ca="1">K31*O28</f>
        <v>#DIV/0!</v>
      </c>
      <c r="P31" s="3547"/>
      <c r="R31" s="780"/>
    </row>
    <row r="32" spans="1:18" ht="15.4" thickBot="1" x14ac:dyDescent="0.45">
      <c r="A32" s="43">
        <v>14</v>
      </c>
      <c r="B32" s="3460" t="s">
        <v>46</v>
      </c>
      <c r="C32" s="3461"/>
      <c r="D32" s="3461"/>
      <c r="E32" s="3461"/>
      <c r="F32" s="3461"/>
      <c r="G32" s="3461"/>
      <c r="H32" s="3462" t="s">
        <v>44</v>
      </c>
      <c r="I32" s="3462"/>
      <c r="J32" s="3463"/>
      <c r="K32" s="3627" t="e">
        <f ca="1">O32/O28</f>
        <v>#DIV/0!</v>
      </c>
      <c r="L32" s="3628"/>
      <c r="M32" s="3433"/>
      <c r="N32" s="3434"/>
      <c r="O32" s="3607">
        <f ca="1">KALKULATION!H598</f>
        <v>7.0000000000000007E-2</v>
      </c>
      <c r="P32" s="3608"/>
      <c r="R32" s="780"/>
    </row>
    <row r="33" spans="1:18"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780"/>
    </row>
    <row r="34" spans="1:18" x14ac:dyDescent="0.4">
      <c r="A34" s="43">
        <v>16</v>
      </c>
      <c r="B34" s="3444" t="s">
        <v>48</v>
      </c>
      <c r="C34" s="3444"/>
      <c r="D34" s="3444"/>
      <c r="E34" s="3444"/>
      <c r="F34" s="3444"/>
      <c r="G34" s="3444"/>
      <c r="H34" s="3468" t="str">
        <f>IF(_Anzeige_Prozent=_Nein,"in % auf B15","in % auf B15 + in € = ∑")</f>
        <v>in % auf B15 + in € = ∑</v>
      </c>
      <c r="I34" s="3468"/>
      <c r="J34" s="3469"/>
      <c r="K34" s="3640">
        <f>IF(_Anzeige_Prozent=_Nein,KALKULATION!G599+KALKULATION!H599/O33,KALKULATION!G599)</f>
        <v>4.7500000000000001E-2</v>
      </c>
      <c r="L34" s="3641"/>
      <c r="M34" s="3623">
        <f ca="1">IF(_Anzeige_Prozent=_Nein,"",KALKULATION!H599)</f>
        <v>3.21</v>
      </c>
      <c r="N34" s="3624"/>
      <c r="O34" s="3623" t="e">
        <f ca="1">SUM(KALKULATION!H599,KALKULATION!G599*O33)</f>
        <v>#DIV/0!</v>
      </c>
      <c r="P34" s="3624"/>
      <c r="R34" s="780"/>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0"/>
    </row>
    <row r="36" spans="1:18" x14ac:dyDescent="0.4">
      <c r="A36" s="79" t="s">
        <v>49</v>
      </c>
      <c r="B36" s="3472" t="str">
        <f>IF(SUM(K36:N36)=0,"",KALKULATION!A602)</f>
        <v/>
      </c>
      <c r="C36" s="3473"/>
      <c r="D36" s="3473"/>
      <c r="E36" s="3473"/>
      <c r="F36" s="3473"/>
      <c r="G36" s="3473"/>
      <c r="H36" s="3473"/>
      <c r="I36" s="3473"/>
      <c r="J36" s="3474"/>
      <c r="K36" s="3595" t="str">
        <f>IF(KALKULATION!A602="","",IF(_Anzeige_Prozent=_Nein,"",KALKULATION!G602))</f>
        <v/>
      </c>
      <c r="L36" s="3595"/>
      <c r="M36" s="3609" t="str">
        <f>IF(KALKULATION!A602="","",SUM(KALKULATION!F602,KALKULATION!H602))</f>
        <v/>
      </c>
      <c r="N36" s="3610"/>
      <c r="O36" s="3599"/>
      <c r="P36" s="3600"/>
      <c r="R36" s="780"/>
    </row>
    <row r="37" spans="1:18" x14ac:dyDescent="0.4">
      <c r="A37" s="79" t="s">
        <v>50</v>
      </c>
      <c r="B37" s="3400" t="str">
        <f>IF(SUM(K37:N37)=0,"",KALKULATION!A603)</f>
        <v/>
      </c>
      <c r="C37" s="3401"/>
      <c r="D37" s="3401"/>
      <c r="E37" s="3401"/>
      <c r="F37" s="3401"/>
      <c r="G37" s="3401"/>
      <c r="H37" s="3401"/>
      <c r="I37" s="3401"/>
      <c r="J37" s="3402"/>
      <c r="K37" s="3603" t="str">
        <f>IF(KALKULATION!A603="","",IF(_Anzeige_Prozent=_Nein,"",KALKULATION!G603))</f>
        <v/>
      </c>
      <c r="L37" s="3603"/>
      <c r="M37" s="3546" t="str">
        <f>IF(KALKULATION!A603="","",SUM(KALKULATION!F603,KALKULATION!H603))</f>
        <v/>
      </c>
      <c r="N37" s="3547"/>
      <c r="O37" s="3599"/>
      <c r="P37" s="3600"/>
      <c r="R37" s="780"/>
    </row>
    <row r="38" spans="1:18" ht="15.4" thickBot="1" x14ac:dyDescent="0.45">
      <c r="A38" s="79" t="s">
        <v>51</v>
      </c>
      <c r="B38" s="3475" t="str">
        <f>IF(SUM(K38:N38)=0,"",KALKULATION!A604)</f>
        <v/>
      </c>
      <c r="C38" s="3476"/>
      <c r="D38" s="3476"/>
      <c r="E38" s="3476"/>
      <c r="F38" s="3476"/>
      <c r="G38" s="3476"/>
      <c r="H38" s="3476"/>
      <c r="I38" s="3476"/>
      <c r="J38" s="3477"/>
      <c r="K38" s="3605" t="str">
        <f>IF(KALKULATION!A604="","",IF(_Anzeige_Prozent=_Nein,"",KALKULATION!G604))</f>
        <v/>
      </c>
      <c r="L38" s="3605"/>
      <c r="M38" s="3607" t="str">
        <f>IF(KALKULATION!A604="","",SUM(KALKULATION!F604,KALKULATION!H604))</f>
        <v/>
      </c>
      <c r="N38" s="3608"/>
      <c r="O38" s="3601"/>
      <c r="P38" s="3602"/>
      <c r="R38" s="780"/>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780"/>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#DIV/0!</v>
      </c>
      <c r="O40" s="3591"/>
      <c r="P40" s="376"/>
      <c r="R40" s="780"/>
    </row>
    <row r="41" spans="1:18" hidden="1" x14ac:dyDescent="0.4">
      <c r="A41" s="43"/>
      <c r="B41" s="102" t="s">
        <v>55</v>
      </c>
      <c r="C41" s="4"/>
      <c r="D41" s="4"/>
      <c r="E41" s="4"/>
      <c r="F41" s="4"/>
      <c r="G41" s="4"/>
      <c r="H41" s="5"/>
      <c r="I41" s="1"/>
      <c r="K41" s="3"/>
      <c r="L41" s="3"/>
      <c r="M41" s="25"/>
      <c r="N41" s="26"/>
      <c r="O41" s="26"/>
      <c r="P41" s="27"/>
      <c r="R41" s="780"/>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80"/>
    </row>
    <row r="43" spans="1:18" ht="15.4" thickBot="1" x14ac:dyDescent="0.45">
      <c r="A43" s="43">
        <v>20</v>
      </c>
      <c r="B43" s="3460"/>
      <c r="C43" s="3461"/>
      <c r="D43" s="3461"/>
      <c r="E43" s="3461"/>
      <c r="F43" s="3461"/>
      <c r="G43" s="3461"/>
      <c r="H43" s="3464"/>
      <c r="I43" s="3616" t="str">
        <f>IF(M39="","",KALKULATION!H606)</f>
        <v/>
      </c>
      <c r="J43" s="3617"/>
      <c r="K43" s="3616">
        <f>KALKULATION!H609</f>
        <v>0.28000000000000003</v>
      </c>
      <c r="L43" s="3617"/>
      <c r="M43" s="3614" t="str">
        <f>IFERROR(I43*M39,"")</f>
        <v/>
      </c>
      <c r="N43" s="3615"/>
      <c r="O43" s="3614" t="e">
        <f ca="1">K43*O39</f>
        <v>#DIV/0!</v>
      </c>
      <c r="P43" s="3615"/>
      <c r="R43" s="780"/>
    </row>
    <row r="44" spans="1:18" x14ac:dyDescent="0.4">
      <c r="A44" s="43">
        <v>21</v>
      </c>
      <c r="B44" s="1148" t="s">
        <v>894</v>
      </c>
      <c r="C44" s="1154"/>
      <c r="D44" s="1154"/>
      <c r="E44" s="1154"/>
      <c r="F44" s="1154"/>
      <c r="G44" s="1154"/>
      <c r="H44" s="1154"/>
      <c r="I44" s="1152"/>
      <c r="J44" s="1152"/>
      <c r="K44" s="1152"/>
      <c r="L44" s="1153"/>
      <c r="M44" s="3611" t="str">
        <f>IFERROR(IF(M39="","",SUM(M39,M43)),"")</f>
        <v/>
      </c>
      <c r="N44" s="3612"/>
      <c r="O44" s="3611" t="e">
        <f ca="1">SUM(O39:P43)</f>
        <v>#DIV/0!</v>
      </c>
      <c r="P44" s="3612"/>
      <c r="R44" s="780"/>
    </row>
    <row r="45" spans="1:18" ht="27.85" customHeight="1" x14ac:dyDescent="0.4">
      <c r="A45" s="44">
        <v>22</v>
      </c>
      <c r="B45" s="3588" t="str">
        <f ca="1">KALKULATION!C611</f>
        <v>Regielohnpreis gesamt für []</v>
      </c>
      <c r="C45" s="3589"/>
      <c r="D45" s="3589"/>
      <c r="E45" s="3589"/>
      <c r="F45" s="3589"/>
      <c r="G45" s="3589"/>
      <c r="H45" s="3589"/>
      <c r="I45" s="3589"/>
      <c r="J45" s="3590"/>
      <c r="K45" s="3459" t="s">
        <v>186</v>
      </c>
      <c r="L45" s="2229"/>
      <c r="M45" s="1160"/>
      <c r="N45" s="3591" t="str">
        <f ca="1">IFERROR(SUM(M44:P44),"??")</f>
        <v>??</v>
      </c>
      <c r="O45" s="3591"/>
      <c r="P45" s="376"/>
      <c r="R45" s="780"/>
    </row>
    <row r="46" spans="1:18" hidden="1" x14ac:dyDescent="0.4">
      <c r="A46" s="101"/>
      <c r="B46" s="102" t="s">
        <v>55</v>
      </c>
      <c r="C46" s="1"/>
      <c r="D46" s="1"/>
      <c r="E46" s="1"/>
      <c r="F46" s="1"/>
      <c r="G46" s="1"/>
      <c r="H46" s="1"/>
      <c r="I46" s="2"/>
      <c r="J46" s="23"/>
      <c r="K46" s="23"/>
      <c r="M46" s="22"/>
      <c r="N46" s="22"/>
      <c r="O46" s="21"/>
      <c r="R46" s="780"/>
    </row>
    <row r="47" spans="1:18"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780"/>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LFhc/59og++rJl4KA06BEm4cDM8FJQNECpGvqdXgtHtSaE8ryzl1xgAtyHbNuLMXMoO+lXM10xifLSOdspYJxQ==" saltValue="V8qjHv2IVsf1OlDZ+LpDtA==" spinCount="100000"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781"/>
    </row>
    <row r="2" spans="1:18" x14ac:dyDescent="0.4">
      <c r="A2" s="3531"/>
      <c r="B2" s="3505" t="s">
        <v>57</v>
      </c>
      <c r="C2" s="3506"/>
      <c r="D2" s="3506"/>
      <c r="E2" s="3506"/>
      <c r="F2" s="3532" t="str">
        <f>IF(KALKULATION!D622="","Regiepersonalpreis",KALKULATION!D622)</f>
        <v>Regiepersonalpreis</v>
      </c>
      <c r="G2" s="3532"/>
      <c r="H2" s="3532"/>
      <c r="I2" s="3532"/>
      <c r="J2" s="3533"/>
      <c r="K2" s="3457" t="s">
        <v>24</v>
      </c>
      <c r="L2" s="3458"/>
      <c r="M2" s="3458"/>
      <c r="N2" s="3458"/>
      <c r="O2" s="3458"/>
      <c r="P2" s="3528"/>
      <c r="R2" s="781"/>
    </row>
    <row r="3" spans="1:18" x14ac:dyDescent="0.4">
      <c r="A3" s="3531"/>
      <c r="B3" s="3247"/>
      <c r="C3" s="3248"/>
      <c r="D3" s="3248"/>
      <c r="E3" s="3248"/>
      <c r="F3" s="3534"/>
      <c r="G3" s="3534"/>
      <c r="H3" s="3534"/>
      <c r="I3" s="3534"/>
      <c r="J3" s="3535"/>
      <c r="K3" s="3400" t="str">
        <f ca="1">' K3 PP'!K3</f>
        <v>Mittellohnpreisbroschüre EuM 2025</v>
      </c>
      <c r="L3" s="3401"/>
      <c r="M3" s="3401"/>
      <c r="N3" s="3401"/>
      <c r="O3" s="3401"/>
      <c r="P3" s="3402"/>
      <c r="R3" s="781"/>
    </row>
    <row r="4" spans="1:18"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781"/>
    </row>
    <row r="5" spans="1:18" x14ac:dyDescent="0.4">
      <c r="A5" s="3531"/>
      <c r="B5" s="3397" t="s">
        <v>619</v>
      </c>
      <c r="C5" s="3398"/>
      <c r="D5" s="3398"/>
      <c r="E5" s="3399"/>
      <c r="F5" s="3406" t="s">
        <v>620</v>
      </c>
      <c r="G5" s="3407"/>
      <c r="H5" s="3407"/>
      <c r="I5" s="3407"/>
      <c r="J5" s="3408"/>
      <c r="K5" s="3515" t="str">
        <f ca="1">' K3 PP'!K5</f>
        <v/>
      </c>
      <c r="L5" s="3516"/>
      <c r="M5" s="3516"/>
      <c r="N5" s="3516"/>
      <c r="O5" s="3516"/>
      <c r="P5" s="3517"/>
      <c r="R5" s="781"/>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781"/>
    </row>
    <row r="7" spans="1:18" x14ac:dyDescent="0.4">
      <c r="A7" s="3531"/>
      <c r="B7" s="2455" t="s">
        <v>126</v>
      </c>
      <c r="C7" s="3493"/>
      <c r="D7" s="3493"/>
      <c r="E7" s="3493"/>
      <c r="F7" s="3562" t="s">
        <v>25</v>
      </c>
      <c r="G7" s="3563"/>
      <c r="H7" s="3563"/>
      <c r="I7" s="3563"/>
      <c r="J7" s="3564"/>
      <c r="K7" s="3446" t="s">
        <v>140</v>
      </c>
      <c r="L7" s="3446"/>
      <c r="M7" s="3446"/>
      <c r="N7" s="3446"/>
      <c r="O7" s="3446"/>
      <c r="P7" s="3447"/>
      <c r="R7" s="781"/>
    </row>
    <row r="8" spans="1:18"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781"/>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1"/>
    </row>
    <row r="10" spans="1:18" x14ac:dyDescent="0.4">
      <c r="A10" s="43" t="s">
        <v>29</v>
      </c>
      <c r="B10" s="3543">
        <f>KALKULATION!A625</f>
        <v>0</v>
      </c>
      <c r="C10" s="3543"/>
      <c r="D10" s="3543"/>
      <c r="E10" s="3544"/>
      <c r="F10" s="3545">
        <f ca="1">IFERROR((VLOOKUP(B10,Stammdaten!A$7:D$33,4,FALSE)),"")</f>
        <v>0</v>
      </c>
      <c r="G10" s="3545"/>
      <c r="H10" s="30">
        <f>KALKULATION!F625</f>
        <v>1</v>
      </c>
      <c r="I10" s="3546" t="str">
        <f ca="1">IF(PRODUCT(F10,H10)=0,"",F10*H10)</f>
        <v/>
      </c>
      <c r="J10" s="3547"/>
      <c r="K10" s="3565" t="s">
        <v>141</v>
      </c>
      <c r="L10" s="3565"/>
      <c r="M10" s="3565"/>
      <c r="N10" s="3566"/>
      <c r="O10" s="29" t="s">
        <v>30</v>
      </c>
      <c r="P10" s="6" t="s">
        <v>18</v>
      </c>
      <c r="R10" s="781"/>
    </row>
    <row r="11" spans="1:18" x14ac:dyDescent="0.4">
      <c r="A11" s="43" t="s">
        <v>31</v>
      </c>
      <c r="B11" s="3538"/>
      <c r="C11" s="3538"/>
      <c r="D11" s="3538"/>
      <c r="E11" s="3539"/>
      <c r="F11" s="3540"/>
      <c r="G11" s="3540"/>
      <c r="H11" s="33"/>
      <c r="I11" s="3541"/>
      <c r="J11" s="3542"/>
      <c r="K11" s="3638" t="str">
        <f>KALKULATION!N652</f>
        <v>Regiestunde</v>
      </c>
      <c r="L11" s="3639"/>
      <c r="M11" s="3639"/>
      <c r="N11" s="3639"/>
      <c r="O11" s="1031" t="str">
        <f>KALKULATION!P652</f>
        <v/>
      </c>
      <c r="P11" s="163">
        <v>1</v>
      </c>
      <c r="R11" s="781"/>
    </row>
    <row r="12" spans="1:18" x14ac:dyDescent="0.4">
      <c r="A12" s="43" t="s">
        <v>32</v>
      </c>
      <c r="B12" s="3538"/>
      <c r="C12" s="3538"/>
      <c r="D12" s="3538"/>
      <c r="E12" s="3539"/>
      <c r="F12" s="3540"/>
      <c r="G12" s="3540"/>
      <c r="H12" s="33"/>
      <c r="I12" s="3541"/>
      <c r="J12" s="3542"/>
      <c r="K12" s="3569" t="str">
        <f>IF(AND(_Anzeige_Prozent=_Ja,KALKULATION!N656&lt;&gt;""),"Erfasst sind Verr.std. für: "&amp;KALKULATION!N656,"")</f>
        <v/>
      </c>
      <c r="L12" s="3570"/>
      <c r="M12" s="3570"/>
      <c r="N12" s="3571"/>
      <c r="O12" s="554" t="str">
        <f>IF(K12=KALKULATION!B653,TEXT(KALKULATION!E653,"0%"),IF(K12=KALKULATION!B657,TEXT(KALKULATION!E657,"0,00€"),""))</f>
        <v/>
      </c>
      <c r="P12" s="555"/>
      <c r="R12" s="781"/>
    </row>
    <row r="13" spans="1:18" x14ac:dyDescent="0.4">
      <c r="A13" s="43" t="s">
        <v>33</v>
      </c>
      <c r="B13" s="3538"/>
      <c r="C13" s="3538"/>
      <c r="D13" s="3538"/>
      <c r="E13" s="3539"/>
      <c r="F13" s="3540"/>
      <c r="G13" s="3540"/>
      <c r="H13" s="33"/>
      <c r="I13" s="3541"/>
      <c r="J13" s="3542"/>
      <c r="K13" s="3569"/>
      <c r="L13" s="3570"/>
      <c r="M13" s="3570"/>
      <c r="N13" s="3571"/>
      <c r="O13" s="554" t="str">
        <f>IF(K13=KALKULATION!B653,TEXT(KALKULATION!E653,"0%"),IF(K13=KALKULATION!B657,TEXT(KALKULATION!E657,"0,00€"),""))</f>
        <v/>
      </c>
      <c r="P13" s="555"/>
      <c r="R13" s="781"/>
    </row>
    <row r="14" spans="1:18" x14ac:dyDescent="0.4">
      <c r="A14" s="43" t="s">
        <v>34</v>
      </c>
      <c r="B14" s="3538"/>
      <c r="C14" s="3538"/>
      <c r="D14" s="3538"/>
      <c r="E14" s="3539"/>
      <c r="F14" s="3540"/>
      <c r="G14" s="3540"/>
      <c r="H14" s="33"/>
      <c r="I14" s="3541"/>
      <c r="J14" s="3542"/>
      <c r="K14" s="3569"/>
      <c r="L14" s="3570"/>
      <c r="M14" s="3570"/>
      <c r="N14" s="3571"/>
      <c r="O14" s="34"/>
      <c r="P14" s="35"/>
      <c r="R14" s="781"/>
    </row>
    <row r="15" spans="1:18" x14ac:dyDescent="0.4">
      <c r="A15" s="43" t="s">
        <v>35</v>
      </c>
      <c r="B15" s="3538"/>
      <c r="C15" s="3538"/>
      <c r="D15" s="3538"/>
      <c r="E15" s="3539"/>
      <c r="F15" s="3540"/>
      <c r="G15" s="3540"/>
      <c r="H15" s="33"/>
      <c r="I15" s="3541"/>
      <c r="J15" s="3542"/>
      <c r="K15" s="3538"/>
      <c r="L15" s="3538"/>
      <c r="M15" s="3538"/>
      <c r="N15" s="3539"/>
      <c r="O15" s="34"/>
      <c r="P15" s="35"/>
      <c r="R15" s="781"/>
    </row>
    <row r="16" spans="1:18" x14ac:dyDescent="0.4">
      <c r="A16" s="43" t="s">
        <v>36</v>
      </c>
      <c r="B16" s="3538"/>
      <c r="C16" s="3538"/>
      <c r="D16" s="3538"/>
      <c r="E16" s="3539"/>
      <c r="F16" s="3540"/>
      <c r="G16" s="3540"/>
      <c r="H16" s="33"/>
      <c r="I16" s="3541"/>
      <c r="J16" s="3542"/>
      <c r="K16" s="3636"/>
      <c r="L16" s="3636"/>
      <c r="M16" s="3636"/>
      <c r="N16" s="3637"/>
      <c r="O16" s="36"/>
      <c r="P16" s="37"/>
      <c r="R16" s="781"/>
    </row>
    <row r="17" spans="1:18" x14ac:dyDescent="0.4">
      <c r="A17" s="43" t="s">
        <v>37</v>
      </c>
      <c r="B17" s="3538"/>
      <c r="C17" s="3538"/>
      <c r="D17" s="3538"/>
      <c r="E17" s="3539"/>
      <c r="F17" s="3540"/>
      <c r="G17" s="3540"/>
      <c r="H17" s="33"/>
      <c r="I17" s="3541"/>
      <c r="J17" s="3542"/>
      <c r="K17" s="3636"/>
      <c r="L17" s="3636"/>
      <c r="M17" s="3636"/>
      <c r="N17" s="3637"/>
      <c r="O17" s="36"/>
      <c r="P17" s="37"/>
      <c r="R17" s="781"/>
    </row>
    <row r="18" spans="1:18" ht="15.4" thickBot="1" x14ac:dyDescent="0.45">
      <c r="A18" s="43" t="s">
        <v>38</v>
      </c>
      <c r="B18" s="3572"/>
      <c r="C18" s="3573"/>
      <c r="D18" s="3573"/>
      <c r="E18" s="3574"/>
      <c r="F18" s="3575"/>
      <c r="G18" s="3575"/>
      <c r="H18" s="38"/>
      <c r="I18" s="3576"/>
      <c r="J18" s="3577"/>
      <c r="K18" s="3634"/>
      <c r="L18" s="3634"/>
      <c r="M18" s="3634"/>
      <c r="N18" s="3635"/>
      <c r="O18" s="39"/>
      <c r="P18" s="40"/>
      <c r="R18" s="781"/>
    </row>
    <row r="19" spans="1:18" x14ac:dyDescent="0.4">
      <c r="A19" s="43">
        <v>2</v>
      </c>
      <c r="B19" s="1165" t="s">
        <v>39</v>
      </c>
      <c r="C19" s="1166"/>
      <c r="D19" s="1167"/>
      <c r="E19" s="1167"/>
      <c r="F19" s="1167"/>
      <c r="G19" s="1167"/>
      <c r="H19" s="1163">
        <f>SUM(H10:H18)</f>
        <v>1</v>
      </c>
      <c r="I19" s="3525">
        <f ca="1">IF(AND(_OK?="OK!",_OK_KV?="OK_KV!"),SUM(I10:J18),KALKULATION!G626)</f>
        <v>0</v>
      </c>
      <c r="J19" s="3526"/>
      <c r="K19" s="3631" t="s">
        <v>143</v>
      </c>
      <c r="L19" s="3631"/>
      <c r="M19" s="3631"/>
      <c r="N19" s="3631"/>
      <c r="O19" s="3631"/>
      <c r="P19" s="1169">
        <v>1</v>
      </c>
      <c r="R19" s="781"/>
    </row>
    <row r="20" spans="1:18" x14ac:dyDescent="0.4">
      <c r="A20" s="43"/>
      <c r="B20" s="3493"/>
      <c r="C20" s="3493"/>
      <c r="D20" s="3493"/>
      <c r="E20" s="3493"/>
      <c r="F20" s="3493"/>
      <c r="G20" s="3493"/>
      <c r="H20" s="3493"/>
      <c r="I20" s="3493"/>
      <c r="J20" s="3493"/>
      <c r="K20" s="3493"/>
      <c r="L20" s="2456"/>
      <c r="M20" s="3488" t="s">
        <v>6</v>
      </c>
      <c r="N20" s="3489"/>
      <c r="O20" s="3490" t="s">
        <v>7</v>
      </c>
      <c r="P20" s="3489"/>
      <c r="R20" s="781"/>
    </row>
    <row r="21" spans="1:18" x14ac:dyDescent="0.4">
      <c r="A21" s="43">
        <v>3</v>
      </c>
      <c r="B21" s="144" t="s">
        <v>39</v>
      </c>
      <c r="C21" s="145"/>
      <c r="D21" s="145"/>
      <c r="E21" s="145"/>
      <c r="F21" s="145"/>
      <c r="G21" s="145"/>
      <c r="H21" s="3582"/>
      <c r="I21" s="3582"/>
      <c r="J21" s="3582"/>
      <c r="K21" s="3582"/>
      <c r="L21" s="3582"/>
      <c r="M21" s="3582"/>
      <c r="N21" s="3583"/>
      <c r="O21" s="3632">
        <f ca="1">I19/H19</f>
        <v>0</v>
      </c>
      <c r="P21" s="3633"/>
      <c r="R21" s="781"/>
    </row>
    <row r="22" spans="1:18" ht="15.4" thickBot="1" x14ac:dyDescent="0.45">
      <c r="A22" s="43">
        <v>4</v>
      </c>
      <c r="B22" s="3495" t="s">
        <v>40</v>
      </c>
      <c r="C22" s="3496"/>
      <c r="D22" s="3496"/>
      <c r="E22" s="3496"/>
      <c r="F22" s="3496"/>
      <c r="G22" s="3496"/>
      <c r="H22" s="3481" t="s">
        <v>41</v>
      </c>
      <c r="I22" s="3481"/>
      <c r="J22" s="3482"/>
      <c r="K22" s="3627" t="e">
        <f ca="1">KALKULATION!G638</f>
        <v>#DIV/0!</v>
      </c>
      <c r="L22" s="3628"/>
      <c r="M22" s="3529"/>
      <c r="N22" s="3530"/>
      <c r="O22" s="3629" t="e">
        <f ca="1">K22*O21</f>
        <v>#DIV/0!</v>
      </c>
      <c r="P22" s="3630"/>
      <c r="R22" s="781"/>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781"/>
    </row>
    <row r="24" spans="1:18" x14ac:dyDescent="0.4">
      <c r="A24" s="43">
        <v>6</v>
      </c>
      <c r="B24" s="3458" t="s">
        <v>109</v>
      </c>
      <c r="C24" s="3458"/>
      <c r="D24" s="3458"/>
      <c r="E24" s="3458"/>
      <c r="F24" s="3458"/>
      <c r="G24" s="3458"/>
      <c r="H24" s="3415" t="s">
        <v>87</v>
      </c>
      <c r="I24" s="3415"/>
      <c r="J24" s="3416"/>
      <c r="K24" s="3429">
        <f ca="1">KALKULATION!H638</f>
        <v>0.151</v>
      </c>
      <c r="L24" s="3430"/>
      <c r="M24" s="3431"/>
      <c r="N24" s="3432"/>
      <c r="O24" s="3546" t="e">
        <f ca="1">K24*O23</f>
        <v>#DIV/0!</v>
      </c>
      <c r="P24" s="3547"/>
      <c r="R24" s="781"/>
    </row>
    <row r="25" spans="1:18" x14ac:dyDescent="0.4">
      <c r="A25" s="43">
        <v>7</v>
      </c>
      <c r="B25" s="3458" t="s">
        <v>136</v>
      </c>
      <c r="C25" s="3458"/>
      <c r="D25" s="3458"/>
      <c r="E25" s="3458"/>
      <c r="F25" s="3458"/>
      <c r="G25" s="3458"/>
      <c r="H25" s="3415" t="s">
        <v>87</v>
      </c>
      <c r="I25" s="3415"/>
      <c r="J25" s="3416"/>
      <c r="K25" s="3625">
        <f>KALKULATION!H646</f>
        <v>0</v>
      </c>
      <c r="L25" s="3626"/>
      <c r="M25" s="3431"/>
      <c r="N25" s="3432"/>
      <c r="O25" s="3546" t="e">
        <f ca="1">K25*O23</f>
        <v>#DIV/0!</v>
      </c>
      <c r="P25" s="3547"/>
      <c r="R25" s="781"/>
    </row>
    <row r="26" spans="1:18" x14ac:dyDescent="0.4">
      <c r="A26" s="43">
        <v>8</v>
      </c>
      <c r="B26" s="3458" t="s">
        <v>67</v>
      </c>
      <c r="C26" s="3458"/>
      <c r="D26" s="3458"/>
      <c r="E26" s="3458"/>
      <c r="F26" s="3458"/>
      <c r="G26" s="3458"/>
      <c r="H26" s="3415" t="s">
        <v>87</v>
      </c>
      <c r="I26" s="3415"/>
      <c r="J26" s="3416"/>
      <c r="K26" s="3625">
        <f>KALKULATION!H658</f>
        <v>0</v>
      </c>
      <c r="L26" s="3626"/>
      <c r="M26" s="3431"/>
      <c r="N26" s="3432"/>
      <c r="O26" s="3546" t="e">
        <f ca="1">K26*O23</f>
        <v>#DIV/0!</v>
      </c>
      <c r="P26" s="3547"/>
      <c r="R26" s="781"/>
    </row>
    <row r="27" spans="1:18" ht="15.4" thickBot="1" x14ac:dyDescent="0.45">
      <c r="A27" s="43">
        <v>9</v>
      </c>
      <c r="B27" s="3478" t="s">
        <v>103</v>
      </c>
      <c r="C27" s="3479"/>
      <c r="D27" s="3479"/>
      <c r="E27" s="3479"/>
      <c r="F27" s="3479"/>
      <c r="G27" s="3479"/>
      <c r="H27" s="3479"/>
      <c r="I27" s="3479"/>
      <c r="J27" s="3479"/>
      <c r="K27" s="3479"/>
      <c r="L27" s="3479"/>
      <c r="M27" s="3479"/>
      <c r="N27" s="3480"/>
      <c r="O27" s="3607">
        <f ca="1">KALKULATION!H662</f>
        <v>3.3</v>
      </c>
      <c r="P27" s="3608"/>
      <c r="R27" s="781"/>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781"/>
    </row>
    <row r="29" spans="1:18" x14ac:dyDescent="0.4">
      <c r="A29" s="43">
        <v>11</v>
      </c>
      <c r="B29" s="2414" t="s">
        <v>104</v>
      </c>
      <c r="C29" s="2414"/>
      <c r="D29" s="2414"/>
      <c r="E29" s="2414"/>
      <c r="F29" s="2414"/>
      <c r="G29" s="2414"/>
      <c r="H29" s="2414"/>
      <c r="I29" s="2414"/>
      <c r="J29" s="2414"/>
      <c r="K29" s="2414"/>
      <c r="L29" s="2414"/>
      <c r="M29" s="2414"/>
      <c r="N29" s="2414"/>
      <c r="O29" s="3546">
        <f ca="1">KALKULATION!H663</f>
        <v>1.5</v>
      </c>
      <c r="P29" s="3547"/>
      <c r="R29" s="781"/>
    </row>
    <row r="30" spans="1:18" x14ac:dyDescent="0.4">
      <c r="A30" s="43">
        <v>12</v>
      </c>
      <c r="B30" s="3458" t="s">
        <v>43</v>
      </c>
      <c r="C30" s="3458"/>
      <c r="D30" s="3458"/>
      <c r="E30" s="3458"/>
      <c r="F30" s="3458"/>
      <c r="G30" s="3458"/>
      <c r="H30" s="3415" t="s">
        <v>44</v>
      </c>
      <c r="I30" s="3415"/>
      <c r="J30" s="3416"/>
      <c r="K30" s="3625">
        <f ca="1">KALKULATION!H664</f>
        <v>0.30270000000000002</v>
      </c>
      <c r="L30" s="3626"/>
      <c r="M30" s="3431"/>
      <c r="N30" s="3432"/>
      <c r="O30" s="3546" t="e">
        <f ca="1">K30*O28</f>
        <v>#DIV/0!</v>
      </c>
      <c r="P30" s="3547"/>
      <c r="R30" s="781"/>
    </row>
    <row r="31" spans="1:18" x14ac:dyDescent="0.4">
      <c r="A31" s="43">
        <v>13</v>
      </c>
      <c r="B31" s="3458" t="s">
        <v>45</v>
      </c>
      <c r="C31" s="3458"/>
      <c r="D31" s="3458"/>
      <c r="E31" s="3458"/>
      <c r="F31" s="3458"/>
      <c r="G31" s="3458"/>
      <c r="H31" s="3415" t="s">
        <v>44</v>
      </c>
      <c r="I31" s="3415"/>
      <c r="J31" s="3416"/>
      <c r="K31" s="3625">
        <f ca="1">KALKULATION!H665</f>
        <v>0.66</v>
      </c>
      <c r="L31" s="3626"/>
      <c r="M31" s="3431"/>
      <c r="N31" s="3432"/>
      <c r="O31" s="3546" t="e">
        <f ca="1">K31*O28</f>
        <v>#DIV/0!</v>
      </c>
      <c r="P31" s="3547"/>
      <c r="R31" s="781"/>
    </row>
    <row r="32" spans="1:18" ht="15.4" thickBot="1" x14ac:dyDescent="0.45">
      <c r="A32" s="43">
        <v>14</v>
      </c>
      <c r="B32" s="3460" t="s">
        <v>46</v>
      </c>
      <c r="C32" s="3461"/>
      <c r="D32" s="3461"/>
      <c r="E32" s="3461"/>
      <c r="F32" s="3461"/>
      <c r="G32" s="3461"/>
      <c r="H32" s="3462" t="s">
        <v>44</v>
      </c>
      <c r="I32" s="3462"/>
      <c r="J32" s="3463"/>
      <c r="K32" s="3627" t="e">
        <f ca="1">O32/O28</f>
        <v>#DIV/0!</v>
      </c>
      <c r="L32" s="3628"/>
      <c r="M32" s="3433"/>
      <c r="N32" s="3434"/>
      <c r="O32" s="3607">
        <f ca="1">KALKULATION!H666</f>
        <v>7.0000000000000007E-2</v>
      </c>
      <c r="P32" s="3608"/>
      <c r="R32" s="781"/>
    </row>
    <row r="33" spans="1:18"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781"/>
    </row>
    <row r="34" spans="1:18"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IF(_Anzeige_Prozent=_Nein,KALKULATION!G667+KALKULATION!H667/O33,KALKULATION!G667)</f>
        <v>4.7500000000000001E-2</v>
      </c>
      <c r="L34" s="3430"/>
      <c r="M34" s="3623">
        <f ca="1">IF(_Anzeige_Prozent=_Nein,"",KALKULATION!H667)</f>
        <v>3.21</v>
      </c>
      <c r="N34" s="3624"/>
      <c r="O34" s="3623" t="e">
        <f ca="1">SUM(KALKULATION!H667,KALKULATION!G667*O33)</f>
        <v>#DIV/0!</v>
      </c>
      <c r="P34" s="3624"/>
      <c r="R34" s="781"/>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1"/>
    </row>
    <row r="36" spans="1:18" x14ac:dyDescent="0.4">
      <c r="A36" s="79" t="s">
        <v>49</v>
      </c>
      <c r="B36" s="3472" t="str">
        <f>IF(SUM(K36:N36)=0,"",KALKULATION!A670)</f>
        <v/>
      </c>
      <c r="C36" s="3473"/>
      <c r="D36" s="3473"/>
      <c r="E36" s="3473"/>
      <c r="F36" s="3473"/>
      <c r="G36" s="3473"/>
      <c r="H36" s="3473"/>
      <c r="I36" s="3473"/>
      <c r="J36" s="3474"/>
      <c r="K36" s="3595" t="str">
        <f>IF(KALKULATION!A670="","",IF(_Anzeige_Prozent=_Nein,"",KALKULATION!G670))</f>
        <v/>
      </c>
      <c r="L36" s="3595"/>
      <c r="M36" s="3609" t="str">
        <f>IF(KALKULATION!A670="","",SUM(KALKULATION!F670,KALKULATION!H670))</f>
        <v/>
      </c>
      <c r="N36" s="3610"/>
      <c r="O36" s="3599"/>
      <c r="P36" s="3600"/>
      <c r="R36" s="781"/>
    </row>
    <row r="37" spans="1:18" x14ac:dyDescent="0.4">
      <c r="A37" s="79" t="s">
        <v>50</v>
      </c>
      <c r="B37" s="3400" t="str">
        <f>IF(SUM(K37:N37)=0,"",KALKULATION!A671)</f>
        <v/>
      </c>
      <c r="C37" s="3401"/>
      <c r="D37" s="3401"/>
      <c r="E37" s="3401"/>
      <c r="F37" s="3401"/>
      <c r="G37" s="3401"/>
      <c r="H37" s="3401"/>
      <c r="I37" s="3401"/>
      <c r="J37" s="3402"/>
      <c r="K37" s="3603" t="str">
        <f>IF(KALKULATION!A671="","",IF(_Anzeige_Prozent=_Nein,"",KALKULATION!G671))</f>
        <v/>
      </c>
      <c r="L37" s="3603"/>
      <c r="M37" s="3546" t="str">
        <f>IF(KALKULATION!A671="","",SUM(KALKULATION!F671,KALKULATION!H671))</f>
        <v/>
      </c>
      <c r="N37" s="3547"/>
      <c r="O37" s="3599"/>
      <c r="P37" s="3600"/>
      <c r="R37" s="781"/>
    </row>
    <row r="38" spans="1:18" ht="15.4" thickBot="1" x14ac:dyDescent="0.45">
      <c r="A38" s="79" t="s">
        <v>51</v>
      </c>
      <c r="B38" s="3475" t="str">
        <f>IF(SUM(K38:N38)=0,"",KALKULATION!A672)</f>
        <v/>
      </c>
      <c r="C38" s="3476"/>
      <c r="D38" s="3476"/>
      <c r="E38" s="3476"/>
      <c r="F38" s="3476"/>
      <c r="G38" s="3476"/>
      <c r="H38" s="3476"/>
      <c r="I38" s="3476"/>
      <c r="J38" s="3477"/>
      <c r="K38" s="3605" t="str">
        <f>IF(KALKULATION!A672="","",IF(_Anzeige_Prozent=_Nein,"",KALKULATION!G672))</f>
        <v/>
      </c>
      <c r="L38" s="3605"/>
      <c r="M38" s="3607" t="str">
        <f>IF(KALKULATION!A672="","",SUM(KALKULATION!F672,KALKULATION!H672))</f>
        <v/>
      </c>
      <c r="N38" s="3608"/>
      <c r="O38" s="3601"/>
      <c r="P38" s="3602"/>
      <c r="R38" s="781"/>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781"/>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#DIV/0!</v>
      </c>
      <c r="O40" s="3591"/>
      <c r="P40" s="376"/>
      <c r="R40" s="781"/>
    </row>
    <row r="41" spans="1:18" hidden="1" x14ac:dyDescent="0.4">
      <c r="A41" s="43"/>
      <c r="B41" s="102" t="s">
        <v>55</v>
      </c>
      <c r="C41" s="4"/>
      <c r="D41" s="4"/>
      <c r="E41" s="4"/>
      <c r="F41" s="4"/>
      <c r="G41" s="4"/>
      <c r="H41" s="5"/>
      <c r="I41" s="1"/>
      <c r="K41" s="3"/>
      <c r="L41" s="3"/>
      <c r="M41" s="25"/>
      <c r="N41" s="26"/>
      <c r="O41" s="26"/>
      <c r="P41" s="27"/>
      <c r="R41" s="781"/>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81"/>
    </row>
    <row r="43" spans="1:18" ht="15.4" thickBot="1" x14ac:dyDescent="0.45">
      <c r="A43" s="43">
        <v>20</v>
      </c>
      <c r="B43" s="3460"/>
      <c r="C43" s="3461"/>
      <c r="D43" s="3461"/>
      <c r="E43" s="3461"/>
      <c r="F43" s="3461"/>
      <c r="G43" s="3461"/>
      <c r="H43" s="3464"/>
      <c r="I43" s="3616" t="str">
        <f>IF(M39="","",KALKULATION!H674)</f>
        <v/>
      </c>
      <c r="J43" s="3617"/>
      <c r="K43" s="3616">
        <f>KALKULATION!H677</f>
        <v>0.28000000000000003</v>
      </c>
      <c r="L43" s="3617"/>
      <c r="M43" s="3614" t="str">
        <f>IFERROR(I43*M39,"")</f>
        <v/>
      </c>
      <c r="N43" s="3615"/>
      <c r="O43" s="3614" t="e">
        <f ca="1">K43*O39</f>
        <v>#DIV/0!</v>
      </c>
      <c r="P43" s="3615"/>
      <c r="R43" s="781"/>
    </row>
    <row r="44" spans="1:18" x14ac:dyDescent="0.4">
      <c r="A44" s="43">
        <v>21</v>
      </c>
      <c r="B44" s="1148" t="s">
        <v>894</v>
      </c>
      <c r="C44" s="1154"/>
      <c r="D44" s="1154"/>
      <c r="E44" s="1154"/>
      <c r="F44" s="1154"/>
      <c r="G44" s="1154"/>
      <c r="H44" s="1154"/>
      <c r="I44" s="1152"/>
      <c r="J44" s="1152"/>
      <c r="K44" s="1152"/>
      <c r="L44" s="1153"/>
      <c r="M44" s="3611" t="str">
        <f>IFERROR(IF(M39="","",SUM(M39,M43)),"")</f>
        <v/>
      </c>
      <c r="N44" s="3612"/>
      <c r="O44" s="3611" t="e">
        <f ca="1">SUM(O39:P43)</f>
        <v>#DIV/0!</v>
      </c>
      <c r="P44" s="3612"/>
      <c r="R44" s="781"/>
    </row>
    <row r="45" spans="1:18" ht="27.85" customHeight="1" x14ac:dyDescent="0.4">
      <c r="A45" s="44">
        <v>22</v>
      </c>
      <c r="B45" s="3588" t="str">
        <f ca="1">KALKULATION!C679</f>
        <v>Regielohnpreis gesamt für []</v>
      </c>
      <c r="C45" s="3589"/>
      <c r="D45" s="3589"/>
      <c r="E45" s="3589"/>
      <c r="F45" s="3589"/>
      <c r="G45" s="3589"/>
      <c r="H45" s="3589"/>
      <c r="I45" s="3589"/>
      <c r="J45" s="3590"/>
      <c r="K45" s="3459" t="s">
        <v>186</v>
      </c>
      <c r="L45" s="2229"/>
      <c r="M45" s="1160"/>
      <c r="N45" s="3591" t="str">
        <f ca="1">IFERROR(SUM(M44:P44),"??")</f>
        <v>??</v>
      </c>
      <c r="O45" s="3591"/>
      <c r="P45" s="376"/>
      <c r="R45" s="781"/>
    </row>
    <row r="46" spans="1:18" hidden="1" x14ac:dyDescent="0.4">
      <c r="A46" s="101"/>
      <c r="B46" s="102" t="s">
        <v>55</v>
      </c>
      <c r="C46" s="1"/>
      <c r="D46" s="1"/>
      <c r="E46" s="1"/>
      <c r="F46" s="1"/>
      <c r="G46" s="1"/>
      <c r="H46" s="1"/>
      <c r="I46" s="2"/>
      <c r="J46" s="23"/>
      <c r="K46" s="23"/>
      <c r="M46" s="22"/>
      <c r="N46" s="22"/>
      <c r="O46" s="21"/>
      <c r="R46" s="781"/>
    </row>
    <row r="47" spans="1:18"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781"/>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jmCVnFHrAhspgb/+cuHbuDO08WO87SuvDYXMfftzxCBBzSoOezdNqUSDbOEpHZqhkI8c4NNaiSWpQPyphKnqYA==" saltValue="hAyKyj0J9eI7B4iX7hdv9w==" spinCount="100000"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21"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782"/>
    </row>
    <row r="2" spans="1:21" x14ac:dyDescent="0.4">
      <c r="A2" s="3531"/>
      <c r="B2" s="3505" t="s">
        <v>57</v>
      </c>
      <c r="C2" s="3506"/>
      <c r="D2" s="3506"/>
      <c r="E2" s="3506"/>
      <c r="F2" s="3656" t="str">
        <f>IF(KALKULATION!D690="","Regiepartiepersonalpreis",KALKULATION!D690)</f>
        <v>Regiepartiepersonalpreis</v>
      </c>
      <c r="G2" s="3656"/>
      <c r="H2" s="3656"/>
      <c r="I2" s="3656"/>
      <c r="J2" s="3657"/>
      <c r="K2" s="3457" t="s">
        <v>24</v>
      </c>
      <c r="L2" s="3458"/>
      <c r="M2" s="3458"/>
      <c r="N2" s="3458"/>
      <c r="O2" s="3458"/>
      <c r="P2" s="3528"/>
      <c r="R2" s="782"/>
    </row>
    <row r="3" spans="1:21" x14ac:dyDescent="0.4">
      <c r="A3" s="3531"/>
      <c r="B3" s="3247"/>
      <c r="C3" s="3248"/>
      <c r="D3" s="3248"/>
      <c r="E3" s="3248"/>
      <c r="F3" s="3658"/>
      <c r="G3" s="3658"/>
      <c r="H3" s="3658"/>
      <c r="I3" s="3658"/>
      <c r="J3" s="3659"/>
      <c r="K3" s="3400" t="str">
        <f ca="1">' K3 PP'!K3</f>
        <v>Mittellohnpreisbroschüre EuM 2025</v>
      </c>
      <c r="L3" s="3401"/>
      <c r="M3" s="3401"/>
      <c r="N3" s="3401"/>
      <c r="O3" s="3401"/>
      <c r="P3" s="3402"/>
      <c r="R3" s="782"/>
    </row>
    <row r="4" spans="1:21"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782"/>
    </row>
    <row r="5" spans="1:21" x14ac:dyDescent="0.4">
      <c r="A5" s="3531"/>
      <c r="B5" s="3397" t="s">
        <v>619</v>
      </c>
      <c r="C5" s="3398"/>
      <c r="D5" s="3398"/>
      <c r="E5" s="3399"/>
      <c r="F5" s="3406" t="s">
        <v>620</v>
      </c>
      <c r="G5" s="3407"/>
      <c r="H5" s="3407"/>
      <c r="I5" s="3407"/>
      <c r="J5" s="3408"/>
      <c r="K5" s="3515" t="str">
        <f ca="1">' K3 PP'!K5</f>
        <v/>
      </c>
      <c r="L5" s="3516"/>
      <c r="M5" s="3516"/>
      <c r="N5" s="3516"/>
      <c r="O5" s="3516"/>
      <c r="P5" s="3517"/>
      <c r="R5" s="782"/>
    </row>
    <row r="6" spans="1:21"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782"/>
    </row>
    <row r="7" spans="1:21" x14ac:dyDescent="0.4">
      <c r="A7" s="3531"/>
      <c r="B7" s="2455" t="s">
        <v>126</v>
      </c>
      <c r="C7" s="3493"/>
      <c r="D7" s="3493"/>
      <c r="E7" s="3493"/>
      <c r="F7" s="3562" t="str">
        <f>IF(OR(COUNTA(KALKULATION!A695:C699)&gt;1),"FÜR REGIEPARTIE","FÜR REGIE")</f>
        <v>FÜR REGIE</v>
      </c>
      <c r="G7" s="3563"/>
      <c r="H7" s="3563"/>
      <c r="I7" s="3563"/>
      <c r="J7" s="3564"/>
      <c r="K7" s="3446" t="s">
        <v>140</v>
      </c>
      <c r="L7" s="3446"/>
      <c r="M7" s="3446"/>
      <c r="N7" s="3446"/>
      <c r="O7" s="3446"/>
      <c r="P7" s="3447"/>
      <c r="R7" s="782"/>
    </row>
    <row r="8" spans="1:21"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782"/>
    </row>
    <row r="9" spans="1:21" x14ac:dyDescent="0.4">
      <c r="A9" s="79">
        <v>1</v>
      </c>
      <c r="B9" s="3521" t="s">
        <v>106</v>
      </c>
      <c r="C9" s="3382"/>
      <c r="D9" s="3382"/>
      <c r="E9" s="3522"/>
      <c r="F9" s="3431" t="s">
        <v>107</v>
      </c>
      <c r="G9" s="3650"/>
      <c r="H9" s="78" t="str">
        <f>IF(KALKULATION!H693="Ø","Anteil","Anzahl")</f>
        <v>Anzahl</v>
      </c>
      <c r="I9" s="3380" t="s">
        <v>257</v>
      </c>
      <c r="J9" s="3381"/>
      <c r="K9" s="3382" t="s">
        <v>108</v>
      </c>
      <c r="L9" s="3382"/>
      <c r="M9" s="3382"/>
      <c r="N9" s="3382"/>
      <c r="O9" s="3382"/>
      <c r="P9" s="28">
        <f ca="1">KALKULATION!C87</f>
        <v>38.5</v>
      </c>
      <c r="R9" s="782"/>
    </row>
    <row r="10" spans="1:21" x14ac:dyDescent="0.4">
      <c r="A10" s="43" t="s">
        <v>29</v>
      </c>
      <c r="B10" s="3651"/>
      <c r="C10" s="3652"/>
      <c r="D10" s="3652"/>
      <c r="E10" s="3653"/>
      <c r="F10" s="3541"/>
      <c r="G10" s="3542"/>
      <c r="H10" s="200"/>
      <c r="I10" s="3654"/>
      <c r="J10" s="3655"/>
      <c r="K10" s="3565" t="s">
        <v>141</v>
      </c>
      <c r="L10" s="3565"/>
      <c r="M10" s="3565"/>
      <c r="N10" s="3566"/>
      <c r="O10" s="29" t="s">
        <v>30</v>
      </c>
      <c r="P10" s="6" t="s">
        <v>18</v>
      </c>
      <c r="R10" s="782"/>
      <c r="U10">
        <f>COUNTA(B11:E16)</f>
        <v>5</v>
      </c>
    </row>
    <row r="11" spans="1:21" ht="15.75" x14ac:dyDescent="0.5">
      <c r="A11" s="43" t="s">
        <v>31</v>
      </c>
      <c r="B11" s="3660" t="str">
        <f>IF(KALKULATION!A695=0,"",(KALKULATION!A695))</f>
        <v/>
      </c>
      <c r="C11" s="3649"/>
      <c r="D11" s="3649"/>
      <c r="E11" s="3661"/>
      <c r="F11" s="3546" t="str">
        <f ca="1">IFERROR((VLOOKUP(B11,Stammdaten!A$7:D$33,4,FALSE)),"")</f>
        <v/>
      </c>
      <c r="G11" s="3547"/>
      <c r="H11" s="381" t="str">
        <f ca="1">IF(F11="","",IF(KALKULATION!H$693="Ø",TEXT(KALKULATION!F695,"0,00%"),TEXT(KALKULATION!E695,"0,0")))</f>
        <v/>
      </c>
      <c r="I11" s="3546" t="str">
        <f ca="1">IFERROR(IF(OR(F11*H11=0,B11=""),"",F11*H11),"")</f>
        <v/>
      </c>
      <c r="J11" s="3547"/>
      <c r="K11" s="3638" t="str">
        <f>IF(B11="","1b darf nicht leer sein!",KALKULATION!N726)</f>
        <v>1b darf nicht leer sein!</v>
      </c>
      <c r="L11" s="3639"/>
      <c r="M11" s="3639"/>
      <c r="N11" s="3639"/>
      <c r="O11" s="1032" t="str">
        <f>KALKULATION!P726</f>
        <v/>
      </c>
      <c r="P11" s="163">
        <v>1</v>
      </c>
      <c r="R11" s="783"/>
    </row>
    <row r="12" spans="1:21" x14ac:dyDescent="0.4">
      <c r="A12" s="43" t="s">
        <v>32</v>
      </c>
      <c r="B12" s="3660" t="str">
        <f>IF(KALKULATION!A696=0,"",(KALKULATION!A696))</f>
        <v/>
      </c>
      <c r="C12" s="3649"/>
      <c r="D12" s="3649"/>
      <c r="E12" s="3661"/>
      <c r="F12" s="3546" t="str">
        <f ca="1">IFERROR((VLOOKUP(B12,Stammdaten!A$7:D$33,4,FALSE)),"")</f>
        <v/>
      </c>
      <c r="G12" s="3547"/>
      <c r="H12" s="381" t="str">
        <f ca="1">IF(F12="","",IF(KALKULATION!H$693="Ø",TEXT(KALKULATION!F696,"0,00%"),TEXT(KALKULATION!E696,"0,0")))</f>
        <v/>
      </c>
      <c r="I12" s="3546" t="str">
        <f t="shared" ref="I12:I15" ca="1" si="0">IFERROR(IF(OR(F12*H12=0,B12=""),"",F12*H12),"")</f>
        <v/>
      </c>
      <c r="J12" s="3547"/>
      <c r="K12" s="3569" t="str">
        <f>IF(AND(_Anzeige_Prozent=_Ja,KALKULATION!N730&lt;&gt;""),"Erfasst sind Verr.std. für: "&amp;KALKULATION!N730,"")</f>
        <v/>
      </c>
      <c r="L12" s="3570"/>
      <c r="M12" s="3570"/>
      <c r="N12" s="3571"/>
      <c r="O12" s="554"/>
      <c r="P12" s="35"/>
      <c r="R12" s="782"/>
    </row>
    <row r="13" spans="1:21" x14ac:dyDescent="0.4">
      <c r="A13" s="43" t="s">
        <v>33</v>
      </c>
      <c r="B13" s="3660" t="str">
        <f>IF(KALKULATION!A697=0,"",(KALKULATION!A697))</f>
        <v/>
      </c>
      <c r="C13" s="3649"/>
      <c r="D13" s="3649"/>
      <c r="E13" s="3661"/>
      <c r="F13" s="3546" t="str">
        <f ca="1">IFERROR((VLOOKUP(B13,Stammdaten!A$7:D$33,4,FALSE)),"")</f>
        <v/>
      </c>
      <c r="G13" s="3547"/>
      <c r="H13" s="381" t="str">
        <f ca="1">IF(F13="","",IF(KALKULATION!H$693="Ø",TEXT(KALKULATION!F697,"0,00%"),TEXT(KALKULATION!E697,"0,0")))</f>
        <v/>
      </c>
      <c r="I13" s="3546" t="str">
        <f t="shared" ca="1" si="0"/>
        <v/>
      </c>
      <c r="J13" s="3547"/>
      <c r="K13" s="3569"/>
      <c r="L13" s="3570"/>
      <c r="M13" s="3570"/>
      <c r="N13" s="3571"/>
      <c r="O13" s="554"/>
      <c r="P13" s="35"/>
      <c r="R13" s="782"/>
    </row>
    <row r="14" spans="1:21" x14ac:dyDescent="0.4">
      <c r="A14" s="43" t="s">
        <v>34</v>
      </c>
      <c r="B14" s="3660" t="str">
        <f>IF(KALKULATION!A698=0,"",(KALKULATION!A698))</f>
        <v/>
      </c>
      <c r="C14" s="3649"/>
      <c r="D14" s="3649"/>
      <c r="E14" s="3661"/>
      <c r="F14" s="3546" t="str">
        <f ca="1">IFERROR((VLOOKUP(B14,Stammdaten!A$7:D$33,4,FALSE)),"")</f>
        <v/>
      </c>
      <c r="G14" s="3547"/>
      <c r="H14" s="381" t="str">
        <f ca="1">IF(F14="","",IF(KALKULATION!H$693="Ø",TEXT(KALKULATION!F698,"0,00%"),TEXT(KALKULATION!E698,"0,0")))</f>
        <v/>
      </c>
      <c r="I14" s="3546" t="str">
        <f t="shared" ca="1" si="0"/>
        <v/>
      </c>
      <c r="J14" s="3547"/>
      <c r="K14" s="3569"/>
      <c r="L14" s="3570"/>
      <c r="M14" s="3570"/>
      <c r="N14" s="3571"/>
      <c r="O14" s="34"/>
      <c r="P14" s="35"/>
      <c r="R14" s="782"/>
    </row>
    <row r="15" spans="1:21" x14ac:dyDescent="0.4">
      <c r="A15" s="43" t="s">
        <v>35</v>
      </c>
      <c r="B15" s="3649" t="str">
        <f>IF(KALKULATION!A699=0,"",(KALKULATION!A699))</f>
        <v/>
      </c>
      <c r="C15" s="3649"/>
      <c r="D15" s="3649"/>
      <c r="E15" s="3649"/>
      <c r="F15" s="3546" t="str">
        <f ca="1">IFERROR((VLOOKUP(B15,Stammdaten!A$7:D$33,4,FALSE)),"")</f>
        <v/>
      </c>
      <c r="G15" s="3547"/>
      <c r="H15" s="381" t="str">
        <f ca="1">IF(F15="","",IF(KALKULATION!H$693="Ø",TEXT(KALKULATION!F699,"0,00%"),TEXT(KALKULATION!E699,"0,0")))</f>
        <v/>
      </c>
      <c r="I15" s="3546" t="str">
        <f t="shared" ca="1" si="0"/>
        <v/>
      </c>
      <c r="J15" s="3547"/>
      <c r="K15" s="3538"/>
      <c r="L15" s="3538"/>
      <c r="M15" s="3538"/>
      <c r="N15" s="3539"/>
      <c r="O15" s="34"/>
      <c r="P15" s="35"/>
      <c r="R15" s="782"/>
    </row>
    <row r="16" spans="1:21" x14ac:dyDescent="0.4">
      <c r="A16" s="43" t="s">
        <v>36</v>
      </c>
      <c r="B16" s="3538"/>
      <c r="C16" s="3538"/>
      <c r="D16" s="3538"/>
      <c r="E16" s="3538"/>
      <c r="F16" s="3541"/>
      <c r="G16" s="3542"/>
      <c r="H16" s="200"/>
      <c r="I16" s="3541"/>
      <c r="J16" s="3542"/>
      <c r="K16" s="3636"/>
      <c r="L16" s="3636"/>
      <c r="M16" s="3636"/>
      <c r="N16" s="3637"/>
      <c r="O16" s="36"/>
      <c r="P16" s="37"/>
      <c r="R16" s="782"/>
    </row>
    <row r="17" spans="1:18" x14ac:dyDescent="0.4">
      <c r="A17" s="43" t="s">
        <v>37</v>
      </c>
      <c r="B17" s="3538"/>
      <c r="C17" s="3538"/>
      <c r="D17" s="3538"/>
      <c r="E17" s="3538"/>
      <c r="F17" s="3541"/>
      <c r="G17" s="3542"/>
      <c r="H17" s="200"/>
      <c r="I17" s="3541"/>
      <c r="J17" s="3542"/>
      <c r="K17" s="3636"/>
      <c r="L17" s="3636"/>
      <c r="M17" s="3636"/>
      <c r="N17" s="3637"/>
      <c r="O17" s="36"/>
      <c r="P17" s="37"/>
      <c r="R17" s="782"/>
    </row>
    <row r="18" spans="1:18" ht="15.4" thickBot="1" x14ac:dyDescent="0.45">
      <c r="A18" s="43" t="s">
        <v>38</v>
      </c>
      <c r="B18" s="3572"/>
      <c r="C18" s="3573"/>
      <c r="D18" s="3573"/>
      <c r="E18" s="3573"/>
      <c r="F18" s="3576"/>
      <c r="G18" s="3577"/>
      <c r="H18" s="201"/>
      <c r="I18" s="3576"/>
      <c r="J18" s="3577"/>
      <c r="K18" s="3634"/>
      <c r="L18" s="3634"/>
      <c r="M18" s="3634"/>
      <c r="N18" s="3635"/>
      <c r="O18" s="39"/>
      <c r="P18" s="40"/>
      <c r="R18" s="782"/>
    </row>
    <row r="19" spans="1:18" x14ac:dyDescent="0.4">
      <c r="A19" s="43">
        <v>2</v>
      </c>
      <c r="B19" s="1165" t="s">
        <v>258</v>
      </c>
      <c r="C19" s="1166"/>
      <c r="D19" s="1167"/>
      <c r="E19" s="1167"/>
      <c r="F19" s="1167"/>
      <c r="G19" s="1167"/>
      <c r="H19" s="1168" t="str">
        <f>IF(KALKULATION!H$693="Ø",TEXT(KALKULATION!F700,"0%"),TEXT(KALKULATION!E700,"0,0"))</f>
        <v>0,0</v>
      </c>
      <c r="I19" s="3525">
        <f ca="1">IF(AND(_OK?="OK!",_OK_KV?="OK_KV!"),SUM(I10:J18),KALKULATION!G700)</f>
        <v>0</v>
      </c>
      <c r="J19" s="3526"/>
      <c r="K19" s="3631" t="s">
        <v>143</v>
      </c>
      <c r="L19" s="3631"/>
      <c r="M19" s="3631"/>
      <c r="N19" s="3631"/>
      <c r="O19" s="3631"/>
      <c r="P19" s="1169">
        <v>1</v>
      </c>
      <c r="R19" s="782"/>
    </row>
    <row r="20" spans="1:18" x14ac:dyDescent="0.4">
      <c r="A20" s="43"/>
      <c r="B20" s="3493"/>
      <c r="C20" s="3493"/>
      <c r="D20" s="3493"/>
      <c r="E20" s="3493"/>
      <c r="F20" s="3493"/>
      <c r="G20" s="3493"/>
      <c r="H20" s="3493"/>
      <c r="I20" s="3493"/>
      <c r="J20" s="3493"/>
      <c r="K20" s="3493"/>
      <c r="L20" s="2456"/>
      <c r="M20" s="3488" t="s">
        <v>6</v>
      </c>
      <c r="N20" s="3489"/>
      <c r="O20" s="3490" t="s">
        <v>7</v>
      </c>
      <c r="P20" s="3489"/>
      <c r="R20" s="782"/>
    </row>
    <row r="21" spans="1:18" x14ac:dyDescent="0.4">
      <c r="A21" s="43">
        <v>3</v>
      </c>
      <c r="B21" s="144" t="s">
        <v>39</v>
      </c>
      <c r="C21" s="145"/>
      <c r="D21" s="145"/>
      <c r="E21" s="145"/>
      <c r="F21" s="145"/>
      <c r="G21" s="145"/>
      <c r="H21" s="3582"/>
      <c r="I21" s="3582"/>
      <c r="J21" s="3582"/>
      <c r="K21" s="3582"/>
      <c r="L21" s="3582"/>
      <c r="M21" s="3582"/>
      <c r="N21" s="3583"/>
      <c r="O21" s="3632" t="e">
        <f ca="1">I19/H19</f>
        <v>#DIV/0!</v>
      </c>
      <c r="P21" s="3633"/>
      <c r="R21" s="782"/>
    </row>
    <row r="22" spans="1:18" ht="15.4" thickBot="1" x14ac:dyDescent="0.45">
      <c r="A22" s="43">
        <v>4</v>
      </c>
      <c r="B22" s="3495" t="s">
        <v>40</v>
      </c>
      <c r="C22" s="3496"/>
      <c r="D22" s="3496"/>
      <c r="E22" s="3496"/>
      <c r="F22" s="3496"/>
      <c r="G22" s="3496"/>
      <c r="H22" s="3481" t="s">
        <v>41</v>
      </c>
      <c r="I22" s="3481"/>
      <c r="J22" s="3482"/>
      <c r="K22" s="3627" t="e">
        <f ca="1">KALKULATION!G712</f>
        <v>#DIV/0!</v>
      </c>
      <c r="L22" s="3628"/>
      <c r="M22" s="3497"/>
      <c r="N22" s="3498"/>
      <c r="O22" s="3629" t="e">
        <f ca="1">K22*O21</f>
        <v>#DIV/0!</v>
      </c>
      <c r="P22" s="3630"/>
      <c r="R22" s="782"/>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782"/>
    </row>
    <row r="24" spans="1:18" x14ac:dyDescent="0.4">
      <c r="A24" s="43">
        <v>6</v>
      </c>
      <c r="B24" s="3458" t="s">
        <v>109</v>
      </c>
      <c r="C24" s="3458"/>
      <c r="D24" s="3458"/>
      <c r="E24" s="3458"/>
      <c r="F24" s="3458"/>
      <c r="G24" s="3458"/>
      <c r="H24" s="3415" t="s">
        <v>87</v>
      </c>
      <c r="I24" s="3415"/>
      <c r="J24" s="3416"/>
      <c r="K24" s="3429">
        <f ca="1">KALKULATION!H712</f>
        <v>0.151</v>
      </c>
      <c r="L24" s="3430"/>
      <c r="M24" s="3431"/>
      <c r="N24" s="3432"/>
      <c r="O24" s="3546" t="e">
        <f ca="1">K24*O23</f>
        <v>#DIV/0!</v>
      </c>
      <c r="P24" s="3547"/>
      <c r="R24" s="782"/>
    </row>
    <row r="25" spans="1:18" x14ac:dyDescent="0.4">
      <c r="A25" s="43">
        <v>7</v>
      </c>
      <c r="B25" s="3458" t="s">
        <v>136</v>
      </c>
      <c r="C25" s="3458"/>
      <c r="D25" s="3458"/>
      <c r="E25" s="3458"/>
      <c r="F25" s="3458"/>
      <c r="G25" s="3458"/>
      <c r="H25" s="3415" t="s">
        <v>87</v>
      </c>
      <c r="I25" s="3415"/>
      <c r="J25" s="3416"/>
      <c r="K25" s="3625">
        <f>KALKULATION!H720</f>
        <v>0</v>
      </c>
      <c r="L25" s="3626"/>
      <c r="M25" s="3431"/>
      <c r="N25" s="3432"/>
      <c r="O25" s="3546" t="e">
        <f ca="1">K25*O23</f>
        <v>#DIV/0!</v>
      </c>
      <c r="P25" s="3547"/>
      <c r="R25" s="782"/>
    </row>
    <row r="26" spans="1:18" x14ac:dyDescent="0.4">
      <c r="A26" s="43">
        <v>8</v>
      </c>
      <c r="B26" s="3458" t="s">
        <v>67</v>
      </c>
      <c r="C26" s="3458"/>
      <c r="D26" s="3458"/>
      <c r="E26" s="3458"/>
      <c r="F26" s="3458"/>
      <c r="G26" s="3458"/>
      <c r="H26" s="3415" t="s">
        <v>87</v>
      </c>
      <c r="I26" s="3415"/>
      <c r="J26" s="3416"/>
      <c r="K26" s="3625">
        <f>KALKULATION!H732</f>
        <v>0</v>
      </c>
      <c r="L26" s="3626"/>
      <c r="M26" s="3431"/>
      <c r="N26" s="3432"/>
      <c r="O26" s="3546" t="e">
        <f ca="1">K26*O23</f>
        <v>#DIV/0!</v>
      </c>
      <c r="P26" s="3547"/>
      <c r="R26" s="782"/>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KALKULATION!H736</f>
        <v>#DIV/0!</v>
      </c>
      <c r="P27" s="3608"/>
      <c r="R27" s="782"/>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782"/>
    </row>
    <row r="29" spans="1:18" x14ac:dyDescent="0.4">
      <c r="A29" s="43">
        <v>11</v>
      </c>
      <c r="B29" s="2414" t="s">
        <v>104</v>
      </c>
      <c r="C29" s="2414"/>
      <c r="D29" s="2414"/>
      <c r="E29" s="2414"/>
      <c r="F29" s="2414"/>
      <c r="G29" s="2414"/>
      <c r="H29" s="2414"/>
      <c r="I29" s="2414"/>
      <c r="J29" s="2414"/>
      <c r="K29" s="2414"/>
      <c r="L29" s="2414"/>
      <c r="M29" s="2414"/>
      <c r="N29" s="2414"/>
      <c r="O29" s="3546" t="e">
        <f ca="1">KALKULATION!H737</f>
        <v>#DIV/0!</v>
      </c>
      <c r="P29" s="3547"/>
      <c r="R29" s="782"/>
    </row>
    <row r="30" spans="1:18" x14ac:dyDescent="0.4">
      <c r="A30" s="43">
        <v>12</v>
      </c>
      <c r="B30" s="3458" t="s">
        <v>43</v>
      </c>
      <c r="C30" s="3458"/>
      <c r="D30" s="3458"/>
      <c r="E30" s="3458"/>
      <c r="F30" s="3458"/>
      <c r="G30" s="3458"/>
      <c r="H30" s="3415" t="s">
        <v>44</v>
      </c>
      <c r="I30" s="3415"/>
      <c r="J30" s="3416"/>
      <c r="K30" s="3625">
        <f ca="1">KALKULATION!H738</f>
        <v>0.30270000000000002</v>
      </c>
      <c r="L30" s="3626"/>
      <c r="M30" s="3431"/>
      <c r="N30" s="3432"/>
      <c r="O30" s="3546" t="e">
        <f ca="1">K30*O28</f>
        <v>#DIV/0!</v>
      </c>
      <c r="P30" s="3547"/>
      <c r="R30" s="782"/>
    </row>
    <row r="31" spans="1:18" x14ac:dyDescent="0.4">
      <c r="A31" s="43">
        <v>13</v>
      </c>
      <c r="B31" s="3458" t="s">
        <v>45</v>
      </c>
      <c r="C31" s="3458"/>
      <c r="D31" s="3458"/>
      <c r="E31" s="3458"/>
      <c r="F31" s="3458"/>
      <c r="G31" s="3458"/>
      <c r="H31" s="3415" t="s">
        <v>44</v>
      </c>
      <c r="I31" s="3415"/>
      <c r="J31" s="3416"/>
      <c r="K31" s="3625">
        <f ca="1">KALKULATION!H739</f>
        <v>0.66</v>
      </c>
      <c r="L31" s="3626"/>
      <c r="M31" s="3431"/>
      <c r="N31" s="3432"/>
      <c r="O31" s="3546" t="e">
        <f ca="1">K31*O28</f>
        <v>#DIV/0!</v>
      </c>
      <c r="P31" s="3547"/>
      <c r="R31" s="782"/>
    </row>
    <row r="32" spans="1:18" ht="15.4" thickBot="1" x14ac:dyDescent="0.45">
      <c r="A32" s="43">
        <v>14</v>
      </c>
      <c r="B32" s="3460" t="s">
        <v>46</v>
      </c>
      <c r="C32" s="3461"/>
      <c r="D32" s="3461"/>
      <c r="E32" s="3461"/>
      <c r="F32" s="3461"/>
      <c r="G32" s="3461"/>
      <c r="H32" s="3462" t="s">
        <v>44</v>
      </c>
      <c r="I32" s="3462"/>
      <c r="J32" s="3463"/>
      <c r="K32" s="3627" t="e">
        <f ca="1">O32/O28</f>
        <v>#DIV/0!</v>
      </c>
      <c r="L32" s="3628"/>
      <c r="M32" s="3433"/>
      <c r="N32" s="3434"/>
      <c r="O32" s="3607">
        <f ca="1">KALKULATION!H740</f>
        <v>7.0000000000000007E-2</v>
      </c>
      <c r="P32" s="3608"/>
      <c r="R32" s="782"/>
    </row>
    <row r="33" spans="1:19"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782"/>
    </row>
    <row r="34" spans="1:19" x14ac:dyDescent="0.4">
      <c r="A34" s="43">
        <v>16</v>
      </c>
      <c r="B34" s="2414" t="s">
        <v>48</v>
      </c>
      <c r="C34" s="2414"/>
      <c r="D34" s="2414"/>
      <c r="E34" s="2414"/>
      <c r="F34" s="2414"/>
      <c r="G34" s="2414"/>
      <c r="H34" s="3643" t="str">
        <f>IF(_Anzeige_Prozent=_Nein,"in % auf B15","in % auf B15 + in € = ∑")</f>
        <v>in % auf B15 + in € = ∑</v>
      </c>
      <c r="I34" s="3643"/>
      <c r="J34" s="3644"/>
      <c r="K34" s="3645">
        <f>IF(_Anzeige_Prozent=_Nein,KALKULATION!G741+KALKULATION!H741/O33,KALKULATION!G741)</f>
        <v>4.7500000000000001E-2</v>
      </c>
      <c r="L34" s="3646"/>
      <c r="M34" s="3647">
        <f ca="1">IF(_Anzeige_Prozent=_Nein,"",KALKULATION!H741)</f>
        <v>3.21</v>
      </c>
      <c r="N34" s="3648"/>
      <c r="O34" s="3546" t="e">
        <f ca="1">SUM(KALKULATION!H741,KALKULATION!G741*O33)</f>
        <v>#DIV/0!</v>
      </c>
      <c r="P34" s="3547"/>
      <c r="R34" s="782"/>
    </row>
    <row r="35" spans="1:19" ht="24.4" customHeight="1" x14ac:dyDescent="0.4">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782"/>
    </row>
    <row r="36" spans="1:19" x14ac:dyDescent="0.4">
      <c r="A36" s="79" t="s">
        <v>49</v>
      </c>
      <c r="B36" s="3472" t="str">
        <f>IF(SUM(K36:N36)=0,"",KALKULATION!A744)</f>
        <v/>
      </c>
      <c r="C36" s="3473"/>
      <c r="D36" s="3473"/>
      <c r="E36" s="3473"/>
      <c r="F36" s="3473"/>
      <c r="G36" s="3473"/>
      <c r="H36" s="3473"/>
      <c r="I36" s="3473"/>
      <c r="J36" s="3474"/>
      <c r="K36" s="3603" t="str">
        <f>IF(KALKULATION!A744="","",IF(_Anzeige_Prozent=_Nein,"",KALKULATION!G744))</f>
        <v/>
      </c>
      <c r="L36" s="3604"/>
      <c r="M36" s="3546" t="str">
        <f>IF(KALKULATION!A744="","",SUM(KALKULATION!F744,KALKULATION!H744))</f>
        <v/>
      </c>
      <c r="N36" s="3547"/>
      <c r="O36" s="3599"/>
      <c r="P36" s="3600"/>
      <c r="R36" s="782"/>
    </row>
    <row r="37" spans="1:19" x14ac:dyDescent="0.4">
      <c r="A37" s="79" t="s">
        <v>50</v>
      </c>
      <c r="B37" s="3400" t="str">
        <f>IF(SUM(K37:N37)=0,"",KALKULATION!A745)</f>
        <v/>
      </c>
      <c r="C37" s="3401"/>
      <c r="D37" s="3401"/>
      <c r="E37" s="3401"/>
      <c r="F37" s="3401"/>
      <c r="G37" s="3401"/>
      <c r="H37" s="3401"/>
      <c r="I37" s="3401"/>
      <c r="J37" s="3402"/>
      <c r="K37" s="3603" t="str">
        <f>IF(KALKULATION!A745="","",IF(_Anzeige_Prozent=_Nein,"",KALKULATION!G745))</f>
        <v/>
      </c>
      <c r="L37" s="3604"/>
      <c r="M37" s="3546" t="str">
        <f>IF(KALKULATION!A745="","",SUM(KALKULATION!F745,KALKULATION!H745))</f>
        <v/>
      </c>
      <c r="N37" s="3547"/>
      <c r="O37" s="3599"/>
      <c r="P37" s="3600"/>
      <c r="R37" s="782"/>
    </row>
    <row r="38" spans="1:19" ht="15.4" thickBot="1" x14ac:dyDescent="0.45">
      <c r="A38" s="79" t="s">
        <v>51</v>
      </c>
      <c r="B38" s="3475" t="str">
        <f>IF(SUM(K38:N38)=0,"",KALKULATION!A746)</f>
        <v/>
      </c>
      <c r="C38" s="3476"/>
      <c r="D38" s="3476"/>
      <c r="E38" s="3476"/>
      <c r="F38" s="3476"/>
      <c r="G38" s="3476"/>
      <c r="H38" s="3476"/>
      <c r="I38" s="3476"/>
      <c r="J38" s="3477"/>
      <c r="K38" s="3605" t="str">
        <f>IF(KALKULATION!A746="","",IF(_Anzeige_Prozent=_Nein,"",KALKULATION!G746))</f>
        <v/>
      </c>
      <c r="L38" s="3606"/>
      <c r="M38" s="3607" t="str">
        <f>IF(KALKULATION!A746="","",SUM(KALKULATION!F746,KALKULATION!H746))</f>
        <v/>
      </c>
      <c r="N38" s="3608"/>
      <c r="O38" s="3601"/>
      <c r="P38" s="3602"/>
      <c r="R38" s="782"/>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782"/>
    </row>
    <row r="40" spans="1:19" ht="27.85" customHeight="1" x14ac:dyDescent="0.4">
      <c r="A40" s="43">
        <v>19</v>
      </c>
      <c r="B40" s="3412" t="str">
        <f>IF(AND(COUNTA(KALKULATION!A695:C699)=1,KALKULATION!E695=1),KALKULATION!M302,IF(KALKULATION!H693="Ø","Personalkosten gesamt (Regie) pro Person","Personalkosten gesamt (Regie) für die Partie"))</f>
        <v>Personalkosten gesamt (Regie) für die Partie</v>
      </c>
      <c r="C40" s="3413"/>
      <c r="D40" s="3413"/>
      <c r="E40" s="3413"/>
      <c r="F40" s="3413"/>
      <c r="G40" s="3413"/>
      <c r="H40" s="3413"/>
      <c r="I40" s="3413"/>
      <c r="J40" s="3414"/>
      <c r="K40" s="3459" t="s">
        <v>185</v>
      </c>
      <c r="L40" s="2229"/>
      <c r="M40" s="375"/>
      <c r="N40" s="3591" t="e">
        <f ca="1">IF(KALKULATION!H693="Ø",SUM(M39,O39),SUM(M39,O39)*H19)</f>
        <v>#DIV/0!</v>
      </c>
      <c r="O40" s="3591"/>
      <c r="P40" s="376"/>
      <c r="R40" s="782"/>
    </row>
    <row r="41" spans="1:19" hidden="1" x14ac:dyDescent="0.4">
      <c r="A41" s="43"/>
      <c r="B41" s="102" t="s">
        <v>55</v>
      </c>
      <c r="C41" s="4"/>
      <c r="D41" s="4"/>
      <c r="E41" s="4"/>
      <c r="F41" s="4"/>
      <c r="G41" s="4"/>
      <c r="H41" s="5"/>
      <c r="I41" s="1"/>
      <c r="K41" s="3"/>
      <c r="L41" s="3"/>
      <c r="M41" s="25"/>
      <c r="N41" s="26"/>
      <c r="O41" s="26"/>
      <c r="P41" s="27"/>
      <c r="R41" s="782"/>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782"/>
    </row>
    <row r="43" spans="1:19" ht="15.4" thickBot="1" x14ac:dyDescent="0.45">
      <c r="A43" s="43">
        <v>20</v>
      </c>
      <c r="B43" s="3460"/>
      <c r="C43" s="3461"/>
      <c r="D43" s="3461"/>
      <c r="E43" s="3461"/>
      <c r="F43" s="3461"/>
      <c r="G43" s="3461"/>
      <c r="H43" s="3464"/>
      <c r="I43" s="3616" t="str">
        <f>IF(M39="","",KALKULATION!H748)</f>
        <v/>
      </c>
      <c r="J43" s="3617"/>
      <c r="K43" s="3616">
        <f>KALKULATION!H751</f>
        <v>0.28000000000000003</v>
      </c>
      <c r="L43" s="3617"/>
      <c r="M43" s="3614" t="str">
        <f>IFERROR(I43*M39,"")</f>
        <v/>
      </c>
      <c r="N43" s="3615"/>
      <c r="O43" s="3614" t="e">
        <f ca="1">K43*O39</f>
        <v>#DIV/0!</v>
      </c>
      <c r="P43" s="3615"/>
      <c r="R43" s="782"/>
    </row>
    <row r="44" spans="1:19" x14ac:dyDescent="0.4">
      <c r="A44" s="43">
        <v>21</v>
      </c>
      <c r="B44" s="1148" t="s">
        <v>894</v>
      </c>
      <c r="C44" s="1154"/>
      <c r="D44" s="1154"/>
      <c r="E44" s="1154"/>
      <c r="F44" s="1154"/>
      <c r="G44" s="1154"/>
      <c r="H44" s="1154"/>
      <c r="I44" s="1156"/>
      <c r="J44" s="1152"/>
      <c r="K44" s="1152"/>
      <c r="L44" s="1153"/>
      <c r="M44" s="3611" t="str">
        <f>IFERROR(IF(M39="","",SUM(M39,M43)),"")</f>
        <v/>
      </c>
      <c r="N44" s="3612"/>
      <c r="O44" s="3611" t="str">
        <f ca="1">IFERROR(SUM(O39,O43),"")</f>
        <v/>
      </c>
      <c r="P44" s="3612"/>
      <c r="R44" s="782"/>
    </row>
    <row r="45" spans="1:19" ht="27.85" customHeight="1" x14ac:dyDescent="0.4">
      <c r="A45" s="44">
        <v>22</v>
      </c>
      <c r="B45" s="3588" t="str">
        <f>KALKULATION!C753</f>
        <v>Regielohnpreis gesamt als Partiepreis pro Stunde für [0 Personen]</v>
      </c>
      <c r="C45" s="3589"/>
      <c r="D45" s="3589"/>
      <c r="E45" s="3589"/>
      <c r="F45" s="3589"/>
      <c r="G45" s="3589"/>
      <c r="H45" s="3589"/>
      <c r="I45" s="3589"/>
      <c r="J45" s="3590"/>
      <c r="K45" s="3459" t="s">
        <v>186</v>
      </c>
      <c r="L45" s="2229"/>
      <c r="M45" s="375"/>
      <c r="N45" s="3591">
        <f ca="1">IFERROR(IF(KALKULATION!H693="Ø",SUM(M44,O44),SUM(M44,O44)*KALKULATION!E700),"??")</f>
        <v>0</v>
      </c>
      <c r="O45" s="3591"/>
      <c r="P45" s="376"/>
      <c r="R45" s="782"/>
      <c r="S45" s="374"/>
    </row>
    <row r="46" spans="1:19" hidden="1" x14ac:dyDescent="0.4">
      <c r="A46" s="101"/>
      <c r="B46" s="102" t="s">
        <v>55</v>
      </c>
      <c r="C46" s="1"/>
      <c r="D46" s="1"/>
      <c r="E46" s="1"/>
      <c r="F46" s="1"/>
      <c r="G46" s="1"/>
      <c r="H46" s="1"/>
      <c r="I46" s="2"/>
      <c r="J46" s="23"/>
      <c r="K46" s="23"/>
      <c r="M46" s="22"/>
      <c r="N46" s="22"/>
      <c r="O46" s="21"/>
      <c r="R46" s="782"/>
    </row>
    <row r="47" spans="1:19"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782"/>
    </row>
    <row r="48" spans="1:19"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oty7ZuEgaER2X4y06u8tbJRk15EAYkdxnJHFCYFoITGspfXhMvKW2e42xuGlSO9Ne2nVmgbNI7EE8PD0jeMwHA==" saltValue="10Y5CilDTlwHGb1kFGPUZw==" spinCount="100000" sheet="1" formatColumns="0" selectLockedCells="1"/>
  <mergeCells count="156">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812"/>
    </row>
    <row r="2" spans="1:18" x14ac:dyDescent="0.4">
      <c r="A2" s="3531"/>
      <c r="B2" s="3505" t="s">
        <v>57</v>
      </c>
      <c r="C2" s="3506"/>
      <c r="D2" s="3506"/>
      <c r="E2" s="3506"/>
      <c r="F2" s="3532" t="str">
        <f>IF(KALKULATION!D764="","Regiepartiepersonalpreis",KALKULATION!D764)</f>
        <v>Regiepartiepersonalpreis</v>
      </c>
      <c r="G2" s="3532"/>
      <c r="H2" s="3532"/>
      <c r="I2" s="3532"/>
      <c r="J2" s="3533"/>
      <c r="K2" s="3457" t="s">
        <v>24</v>
      </c>
      <c r="L2" s="3458"/>
      <c r="M2" s="3458"/>
      <c r="N2" s="3458"/>
      <c r="O2" s="3458"/>
      <c r="P2" s="3528"/>
      <c r="R2" s="812"/>
    </row>
    <row r="3" spans="1:18" x14ac:dyDescent="0.4">
      <c r="A3" s="3531"/>
      <c r="B3" s="3247"/>
      <c r="C3" s="3248"/>
      <c r="D3" s="3248"/>
      <c r="E3" s="3248"/>
      <c r="F3" s="3534"/>
      <c r="G3" s="3534"/>
      <c r="H3" s="3534"/>
      <c r="I3" s="3534"/>
      <c r="J3" s="3535"/>
      <c r="K3" s="3400" t="str">
        <f ca="1">' K3 PP'!K3</f>
        <v>Mittellohnpreisbroschüre EuM 2025</v>
      </c>
      <c r="L3" s="3401"/>
      <c r="M3" s="3401"/>
      <c r="N3" s="3401"/>
      <c r="O3" s="3401"/>
      <c r="P3" s="3402"/>
      <c r="R3" s="812"/>
    </row>
    <row r="4" spans="1:18"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812"/>
    </row>
    <row r="5" spans="1:18" x14ac:dyDescent="0.4">
      <c r="A5" s="3531"/>
      <c r="B5" s="3397" t="s">
        <v>619</v>
      </c>
      <c r="C5" s="3398"/>
      <c r="D5" s="3398"/>
      <c r="E5" s="3399"/>
      <c r="F5" s="3406" t="s">
        <v>620</v>
      </c>
      <c r="G5" s="3407"/>
      <c r="H5" s="3407"/>
      <c r="I5" s="3407"/>
      <c r="J5" s="3408"/>
      <c r="K5" s="3515" t="str">
        <f ca="1">' K3 PP'!K5</f>
        <v/>
      </c>
      <c r="L5" s="3516"/>
      <c r="M5" s="3516"/>
      <c r="N5" s="3516"/>
      <c r="O5" s="3516"/>
      <c r="P5" s="3517"/>
      <c r="R5" s="812"/>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812"/>
    </row>
    <row r="7" spans="1:18" x14ac:dyDescent="0.4">
      <c r="A7" s="3531"/>
      <c r="B7" s="2455" t="s">
        <v>126</v>
      </c>
      <c r="C7" s="3493"/>
      <c r="D7" s="3493"/>
      <c r="E7" s="3493"/>
      <c r="F7" s="3562" t="str">
        <f>IF(OR(COUNTA(KALKULATION!A769:C773)&gt;1),"FÜR REGIEPARTIE","FÜR REGIE")</f>
        <v>FÜR REGIE</v>
      </c>
      <c r="G7" s="3563"/>
      <c r="H7" s="3563"/>
      <c r="I7" s="3563"/>
      <c r="J7" s="3564"/>
      <c r="K7" s="3446" t="s">
        <v>140</v>
      </c>
      <c r="L7" s="3446"/>
      <c r="M7" s="3446"/>
      <c r="N7" s="3446"/>
      <c r="O7" s="3446"/>
      <c r="P7" s="3447"/>
      <c r="R7" s="812"/>
    </row>
    <row r="8" spans="1:18"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812"/>
    </row>
    <row r="9" spans="1:18" x14ac:dyDescent="0.4">
      <c r="A9" s="79">
        <v>1</v>
      </c>
      <c r="B9" s="3521" t="s">
        <v>106</v>
      </c>
      <c r="C9" s="3382"/>
      <c r="D9" s="3382"/>
      <c r="E9" s="3522"/>
      <c r="F9" s="3431" t="s">
        <v>107</v>
      </c>
      <c r="G9" s="3650"/>
      <c r="H9" s="78" t="str">
        <f>IF(KALKULATION!H767="Ø","Anteil","Anzahl")</f>
        <v>Anteil</v>
      </c>
      <c r="I9" s="3380" t="s">
        <v>257</v>
      </c>
      <c r="J9" s="3381"/>
      <c r="K9" s="3382" t="s">
        <v>108</v>
      </c>
      <c r="L9" s="3382"/>
      <c r="M9" s="3382"/>
      <c r="N9" s="3382"/>
      <c r="O9" s="3382"/>
      <c r="P9" s="28">
        <f ca="1">KALKULATION!C87</f>
        <v>38.5</v>
      </c>
      <c r="R9" s="812"/>
    </row>
    <row r="10" spans="1:18" x14ac:dyDescent="0.4">
      <c r="A10" s="43" t="s">
        <v>29</v>
      </c>
      <c r="B10" s="3538"/>
      <c r="C10" s="3538"/>
      <c r="D10" s="3538"/>
      <c r="E10" s="3538"/>
      <c r="F10" s="3541"/>
      <c r="G10" s="3542"/>
      <c r="H10" s="200"/>
      <c r="I10" s="3541"/>
      <c r="J10" s="3542"/>
      <c r="K10" s="3565" t="s">
        <v>141</v>
      </c>
      <c r="L10" s="3565"/>
      <c r="M10" s="3565"/>
      <c r="N10" s="3566"/>
      <c r="O10" s="29" t="s">
        <v>30</v>
      </c>
      <c r="P10" s="6" t="s">
        <v>18</v>
      </c>
      <c r="R10" s="812"/>
    </row>
    <row r="11" spans="1:18" ht="15.75" x14ac:dyDescent="0.5">
      <c r="A11" s="43" t="s">
        <v>31</v>
      </c>
      <c r="B11" s="3649" t="str">
        <f>IF(KALKULATION!A769=0,"",(KALKULATION!A769))</f>
        <v/>
      </c>
      <c r="C11" s="3649"/>
      <c r="D11" s="3649"/>
      <c r="E11" s="3649"/>
      <c r="F11" s="3546" t="str">
        <f ca="1">IFERROR((VLOOKUP(B11,Stammdaten!A$7:D$33,4,FALSE)),"")</f>
        <v/>
      </c>
      <c r="G11" s="3547"/>
      <c r="H11" s="381" t="str">
        <f ca="1">IF(F11="","",IF(KALKULATION!H$767="Ø",TEXT(KALKULATION!F769,"0,00%"),TEXT(KALKULATION!E769,"0,0")))</f>
        <v/>
      </c>
      <c r="I11" s="3546" t="str">
        <f ca="1">IFERROR(IF(OR(F11*H11=0,B11=""),"",F11*H11),"")</f>
        <v/>
      </c>
      <c r="J11" s="3547"/>
      <c r="K11" s="3638" t="str">
        <f>IF(B11="","1b darf nicht leer sein!!!",KALKULATION!N800)</f>
        <v>1b darf nicht leer sein!!!</v>
      </c>
      <c r="L11" s="3639"/>
      <c r="M11" s="3639"/>
      <c r="N11" s="3639"/>
      <c r="O11" s="1031" t="str">
        <f>KALKULATION!P800</f>
        <v/>
      </c>
      <c r="P11" s="163">
        <v>1</v>
      </c>
      <c r="R11" s="813"/>
    </row>
    <row r="12" spans="1:18" x14ac:dyDescent="0.4">
      <c r="A12" s="43" t="s">
        <v>32</v>
      </c>
      <c r="B12" s="3649" t="str">
        <f>IF(KALKULATION!A770=0,"",(KALKULATION!A770))</f>
        <v/>
      </c>
      <c r="C12" s="3649"/>
      <c r="D12" s="3649"/>
      <c r="E12" s="3649"/>
      <c r="F12" s="3546" t="str">
        <f ca="1">IFERROR((VLOOKUP(B12,Stammdaten!A$7:D$33,4,FALSE)),"")</f>
        <v/>
      </c>
      <c r="G12" s="3547"/>
      <c r="H12" s="381" t="str">
        <f ca="1">IF(F12="","",IF(KALKULATION!H$767="Ø",TEXT(KALKULATION!F770,"0,00%"),TEXT(KALKULATION!E770,"0,0")))</f>
        <v/>
      </c>
      <c r="I12" s="3546" t="str">
        <f t="shared" ref="I12:I15" ca="1" si="0">IFERROR(IF(OR(F12*H12=0,B12=""),"",F12*H12),"")</f>
        <v/>
      </c>
      <c r="J12" s="3547"/>
      <c r="K12" s="3569" t="str">
        <f>IF(AND(_Anzeige_Prozent=_Ja,KALKULATION!N804&lt;&gt;""),"Erfasst sind Verr.std. für: "&amp;KALKULATION!O804,"")</f>
        <v/>
      </c>
      <c r="L12" s="3570"/>
      <c r="M12" s="3570"/>
      <c r="N12" s="3571"/>
      <c r="O12" s="554"/>
      <c r="P12" s="164"/>
      <c r="R12" s="812"/>
    </row>
    <row r="13" spans="1:18" x14ac:dyDescent="0.4">
      <c r="A13" s="43" t="s">
        <v>33</v>
      </c>
      <c r="B13" s="3649" t="str">
        <f>IF(KALKULATION!A771=0,"",(KALKULATION!A771))</f>
        <v/>
      </c>
      <c r="C13" s="3649"/>
      <c r="D13" s="3649"/>
      <c r="E13" s="3649"/>
      <c r="F13" s="3546" t="str">
        <f ca="1">IFERROR((VLOOKUP(B13,Stammdaten!A$7:D$33,4,FALSE)),"")</f>
        <v/>
      </c>
      <c r="G13" s="3547"/>
      <c r="H13" s="381" t="str">
        <f ca="1">IF(F13="","",IF(KALKULATION!H$767="Ø",TEXT(KALKULATION!F771,"0,00%"),TEXT(KALKULATION!E771,"0,0")))</f>
        <v/>
      </c>
      <c r="I13" s="3546" t="str">
        <f t="shared" ca="1" si="0"/>
        <v/>
      </c>
      <c r="J13" s="3547"/>
      <c r="K13" s="3569"/>
      <c r="L13" s="3570"/>
      <c r="M13" s="3570"/>
      <c r="N13" s="3571"/>
      <c r="O13" s="554"/>
      <c r="P13" s="35"/>
      <c r="R13" s="812"/>
    </row>
    <row r="14" spans="1:18" x14ac:dyDescent="0.4">
      <c r="A14" s="43" t="s">
        <v>34</v>
      </c>
      <c r="B14" s="3649" t="str">
        <f>IF(KALKULATION!A772=0,"",(KALKULATION!A772))</f>
        <v/>
      </c>
      <c r="C14" s="3649"/>
      <c r="D14" s="3649"/>
      <c r="E14" s="3649"/>
      <c r="F14" s="3546" t="str">
        <f ca="1">IFERROR((VLOOKUP(B14,Stammdaten!A$7:D$33,4,FALSE)),"")</f>
        <v/>
      </c>
      <c r="G14" s="3547"/>
      <c r="H14" s="381" t="str">
        <f ca="1">IF(F14="","",IF(KALKULATION!H$767="Ø",TEXT(KALKULATION!F772,"0,00%"),TEXT(KALKULATION!E772,"0,0")))</f>
        <v/>
      </c>
      <c r="I14" s="3546" t="str">
        <f t="shared" ca="1" si="0"/>
        <v/>
      </c>
      <c r="J14" s="3547"/>
      <c r="K14" s="3569"/>
      <c r="L14" s="3570"/>
      <c r="M14" s="3570"/>
      <c r="N14" s="3571"/>
      <c r="O14" s="34"/>
      <c r="P14" s="35"/>
      <c r="R14" s="812"/>
    </row>
    <row r="15" spans="1:18" x14ac:dyDescent="0.4">
      <c r="A15" s="43" t="s">
        <v>35</v>
      </c>
      <c r="B15" s="3649" t="str">
        <f>IF(KALKULATION!A773=0,"",(KALKULATION!A773))</f>
        <v/>
      </c>
      <c r="C15" s="3649"/>
      <c r="D15" s="3649"/>
      <c r="E15" s="3649"/>
      <c r="F15" s="3546" t="str">
        <f ca="1">IFERROR((VLOOKUP(B15,Stammdaten!A$7:D$33,4,FALSE)),"")</f>
        <v/>
      </c>
      <c r="G15" s="3547"/>
      <c r="H15" s="381" t="str">
        <f ca="1">IF(F15="","",IF(KALKULATION!H$767="Ø",TEXT(KALKULATION!F773,"0,00%"),TEXT(KALKULATION!E773,"0,0")))</f>
        <v/>
      </c>
      <c r="I15" s="3546" t="str">
        <f t="shared" ca="1" si="0"/>
        <v/>
      </c>
      <c r="J15" s="3547"/>
      <c r="K15" s="3538"/>
      <c r="L15" s="3538"/>
      <c r="M15" s="3538"/>
      <c r="N15" s="3539"/>
      <c r="O15" s="34"/>
      <c r="P15" s="35"/>
      <c r="R15" s="812"/>
    </row>
    <row r="16" spans="1:18" x14ac:dyDescent="0.4">
      <c r="A16" s="43" t="s">
        <v>36</v>
      </c>
      <c r="B16" s="3538"/>
      <c r="C16" s="3538"/>
      <c r="D16" s="3538"/>
      <c r="E16" s="3538"/>
      <c r="F16" s="3541"/>
      <c r="G16" s="3542"/>
      <c r="H16" s="200"/>
      <c r="I16" s="3541"/>
      <c r="J16" s="3542"/>
      <c r="K16" s="3636"/>
      <c r="L16" s="3636"/>
      <c r="M16" s="3636"/>
      <c r="N16" s="3637"/>
      <c r="O16" s="36"/>
      <c r="P16" s="37"/>
      <c r="R16" s="812"/>
    </row>
    <row r="17" spans="1:18" x14ac:dyDescent="0.4">
      <c r="A17" s="43" t="s">
        <v>37</v>
      </c>
      <c r="B17" s="3538"/>
      <c r="C17" s="3538"/>
      <c r="D17" s="3538"/>
      <c r="E17" s="3538"/>
      <c r="F17" s="3541"/>
      <c r="G17" s="3542"/>
      <c r="H17" s="200"/>
      <c r="I17" s="3541"/>
      <c r="J17" s="3542"/>
      <c r="K17" s="3636"/>
      <c r="L17" s="3636"/>
      <c r="M17" s="3636"/>
      <c r="N17" s="3637"/>
      <c r="O17" s="36"/>
      <c r="P17" s="37"/>
      <c r="R17" s="812"/>
    </row>
    <row r="18" spans="1:18" ht="15.4" thickBot="1" x14ac:dyDescent="0.45">
      <c r="A18" s="43" t="s">
        <v>38</v>
      </c>
      <c r="B18" s="3572"/>
      <c r="C18" s="3573"/>
      <c r="D18" s="3573"/>
      <c r="E18" s="3573"/>
      <c r="F18" s="3576"/>
      <c r="G18" s="3577"/>
      <c r="H18" s="201"/>
      <c r="I18" s="3576"/>
      <c r="J18" s="3577"/>
      <c r="K18" s="3634"/>
      <c r="L18" s="3634"/>
      <c r="M18" s="3634"/>
      <c r="N18" s="3635"/>
      <c r="O18" s="39"/>
      <c r="P18" s="40"/>
      <c r="R18" s="812"/>
    </row>
    <row r="19" spans="1:18" x14ac:dyDescent="0.4">
      <c r="A19" s="43">
        <v>2</v>
      </c>
      <c r="B19" s="1165" t="s">
        <v>258</v>
      </c>
      <c r="C19" s="1166"/>
      <c r="D19" s="1167"/>
      <c r="E19" s="1167"/>
      <c r="F19" s="1167"/>
      <c r="G19" s="1167"/>
      <c r="H19" s="1168" t="str">
        <f>IF(KALKULATION!H$767="Ø",TEXT(KALKULATION!F774,"0%"),TEXT(KALKULATION!E774,"0,0"))</f>
        <v>0%</v>
      </c>
      <c r="I19" s="3525">
        <f ca="1">IF(AND(_OK?="OK!",_OK_KV?="OK_KV!"),SUM(I10:J18),KALKULATION!G774)</f>
        <v>0</v>
      </c>
      <c r="J19" s="3526"/>
      <c r="K19" s="3631" t="s">
        <v>143</v>
      </c>
      <c r="L19" s="3631"/>
      <c r="M19" s="3631"/>
      <c r="N19" s="3631"/>
      <c r="O19" s="3631"/>
      <c r="P19" s="1169">
        <v>1</v>
      </c>
      <c r="R19" s="812"/>
    </row>
    <row r="20" spans="1:18" x14ac:dyDescent="0.4">
      <c r="A20" s="43"/>
      <c r="B20" s="3493"/>
      <c r="C20" s="3493"/>
      <c r="D20" s="3493"/>
      <c r="E20" s="3493"/>
      <c r="F20" s="3493"/>
      <c r="G20" s="3493"/>
      <c r="H20" s="3493"/>
      <c r="I20" s="3493"/>
      <c r="J20" s="3493"/>
      <c r="K20" s="3493"/>
      <c r="L20" s="2456"/>
      <c r="M20" s="3488" t="s">
        <v>6</v>
      </c>
      <c r="N20" s="3489"/>
      <c r="O20" s="3490" t="s">
        <v>7</v>
      </c>
      <c r="P20" s="3489"/>
      <c r="R20" s="812"/>
    </row>
    <row r="21" spans="1:18" x14ac:dyDescent="0.4">
      <c r="A21" s="43">
        <v>3</v>
      </c>
      <c r="B21" s="144" t="s">
        <v>39</v>
      </c>
      <c r="C21" s="145"/>
      <c r="D21" s="145"/>
      <c r="E21" s="145"/>
      <c r="F21" s="145"/>
      <c r="G21" s="145"/>
      <c r="H21" s="3582"/>
      <c r="I21" s="3582"/>
      <c r="J21" s="3582"/>
      <c r="K21" s="3582"/>
      <c r="L21" s="3582"/>
      <c r="M21" s="3582"/>
      <c r="N21" s="3583"/>
      <c r="O21" s="3632" t="e">
        <f ca="1">I19/H19</f>
        <v>#DIV/0!</v>
      </c>
      <c r="P21" s="3633"/>
      <c r="R21" s="812"/>
    </row>
    <row r="22" spans="1:18" ht="15.4" thickBot="1" x14ac:dyDescent="0.45">
      <c r="A22" s="43">
        <v>4</v>
      </c>
      <c r="B22" s="3495" t="s">
        <v>40</v>
      </c>
      <c r="C22" s="3496"/>
      <c r="D22" s="3496"/>
      <c r="E22" s="3496"/>
      <c r="F22" s="3496"/>
      <c r="G22" s="3496"/>
      <c r="H22" s="3481" t="s">
        <v>41</v>
      </c>
      <c r="I22" s="3481"/>
      <c r="J22" s="3482"/>
      <c r="K22" s="3627" t="e">
        <f ca="1">KALKULATION!G786</f>
        <v>#DIV/0!</v>
      </c>
      <c r="L22" s="3628"/>
      <c r="M22" s="3497"/>
      <c r="N22" s="3498"/>
      <c r="O22" s="3629" t="e">
        <f ca="1">K22*O21</f>
        <v>#DIV/0!</v>
      </c>
      <c r="P22" s="3630"/>
      <c r="R22" s="812"/>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812"/>
    </row>
    <row r="24" spans="1:18" x14ac:dyDescent="0.4">
      <c r="A24" s="43">
        <v>6</v>
      </c>
      <c r="B24" s="3458" t="s">
        <v>109</v>
      </c>
      <c r="C24" s="3458"/>
      <c r="D24" s="3458"/>
      <c r="E24" s="3458"/>
      <c r="F24" s="3458"/>
      <c r="G24" s="3458"/>
      <c r="H24" s="3415" t="s">
        <v>87</v>
      </c>
      <c r="I24" s="3415"/>
      <c r="J24" s="3416"/>
      <c r="K24" s="3429" t="e">
        <f ca="1">KALKULATION!H786</f>
        <v>#DIV/0!</v>
      </c>
      <c r="L24" s="3430"/>
      <c r="M24" s="3431"/>
      <c r="N24" s="3432"/>
      <c r="O24" s="3546" t="e">
        <f ca="1">K24*O23</f>
        <v>#DIV/0!</v>
      </c>
      <c r="P24" s="3547"/>
      <c r="R24" s="812"/>
    </row>
    <row r="25" spans="1:18" x14ac:dyDescent="0.4">
      <c r="A25" s="43">
        <v>7</v>
      </c>
      <c r="B25" s="3458" t="s">
        <v>136</v>
      </c>
      <c r="C25" s="3458"/>
      <c r="D25" s="3458"/>
      <c r="E25" s="3458"/>
      <c r="F25" s="3458"/>
      <c r="G25" s="3458"/>
      <c r="H25" s="3415" t="s">
        <v>87</v>
      </c>
      <c r="I25" s="3415"/>
      <c r="J25" s="3416"/>
      <c r="K25" s="3625">
        <f>KALKULATION!H794</f>
        <v>0</v>
      </c>
      <c r="L25" s="3626"/>
      <c r="M25" s="3431"/>
      <c r="N25" s="3432"/>
      <c r="O25" s="3546" t="e">
        <f ca="1">K25*O23</f>
        <v>#DIV/0!</v>
      </c>
      <c r="P25" s="3547"/>
      <c r="R25" s="812"/>
    </row>
    <row r="26" spans="1:18" x14ac:dyDescent="0.4">
      <c r="A26" s="43">
        <v>8</v>
      </c>
      <c r="B26" s="3458" t="s">
        <v>67</v>
      </c>
      <c r="C26" s="3458"/>
      <c r="D26" s="3458"/>
      <c r="E26" s="3458"/>
      <c r="F26" s="3458"/>
      <c r="G26" s="3458"/>
      <c r="H26" s="3415" t="s">
        <v>87</v>
      </c>
      <c r="I26" s="3415"/>
      <c r="J26" s="3416"/>
      <c r="K26" s="3625">
        <f>KALKULATION!H806</f>
        <v>0</v>
      </c>
      <c r="L26" s="3626"/>
      <c r="M26" s="3431"/>
      <c r="N26" s="3432"/>
      <c r="O26" s="3546" t="e">
        <f ca="1">K26*O23</f>
        <v>#DIV/0!</v>
      </c>
      <c r="P26" s="3547"/>
      <c r="R26" s="812"/>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KALKULATION!H810</f>
        <v>#DIV/0!</v>
      </c>
      <c r="P27" s="3608"/>
      <c r="R27" s="812"/>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812"/>
    </row>
    <row r="29" spans="1:18" x14ac:dyDescent="0.4">
      <c r="A29" s="43">
        <v>11</v>
      </c>
      <c r="B29" s="2414" t="s">
        <v>104</v>
      </c>
      <c r="C29" s="2414"/>
      <c r="D29" s="2414"/>
      <c r="E29" s="2414"/>
      <c r="F29" s="2414"/>
      <c r="G29" s="2414"/>
      <c r="H29" s="2414"/>
      <c r="I29" s="2414"/>
      <c r="J29" s="2414"/>
      <c r="K29" s="2414"/>
      <c r="L29" s="2414"/>
      <c r="M29" s="2414"/>
      <c r="N29" s="2414"/>
      <c r="O29" s="3546" t="e">
        <f ca="1">KALKULATION!H811</f>
        <v>#DIV/0!</v>
      </c>
      <c r="P29" s="3547"/>
      <c r="R29" s="812"/>
    </row>
    <row r="30" spans="1:18" x14ac:dyDescent="0.4">
      <c r="A30" s="43">
        <v>12</v>
      </c>
      <c r="B30" s="3458" t="s">
        <v>43</v>
      </c>
      <c r="C30" s="3458"/>
      <c r="D30" s="3458"/>
      <c r="E30" s="3458"/>
      <c r="F30" s="3458"/>
      <c r="G30" s="3458"/>
      <c r="H30" s="3415" t="s">
        <v>44</v>
      </c>
      <c r="I30" s="3415"/>
      <c r="J30" s="3416"/>
      <c r="K30" s="3625">
        <f ca="1">KALKULATION!H812</f>
        <v>0.30270000000000002</v>
      </c>
      <c r="L30" s="3626"/>
      <c r="M30" s="3431"/>
      <c r="N30" s="3432"/>
      <c r="O30" s="3546" t="e">
        <f ca="1">K30*O28</f>
        <v>#DIV/0!</v>
      </c>
      <c r="P30" s="3547"/>
      <c r="R30" s="812"/>
    </row>
    <row r="31" spans="1:18" x14ac:dyDescent="0.4">
      <c r="A31" s="43">
        <v>13</v>
      </c>
      <c r="B31" s="3458" t="s">
        <v>45</v>
      </c>
      <c r="C31" s="3458"/>
      <c r="D31" s="3458"/>
      <c r="E31" s="3458"/>
      <c r="F31" s="3458"/>
      <c r="G31" s="3458"/>
      <c r="H31" s="3415" t="s">
        <v>44</v>
      </c>
      <c r="I31" s="3415"/>
      <c r="J31" s="3416"/>
      <c r="K31" s="3625">
        <f ca="1">KALKULATION!H813</f>
        <v>0.66</v>
      </c>
      <c r="L31" s="3626"/>
      <c r="M31" s="3431"/>
      <c r="N31" s="3432"/>
      <c r="O31" s="3546" t="e">
        <f ca="1">K31*O28</f>
        <v>#DIV/0!</v>
      </c>
      <c r="P31" s="3547"/>
      <c r="R31" s="812"/>
    </row>
    <row r="32" spans="1:18" ht="15.4" thickBot="1" x14ac:dyDescent="0.45">
      <c r="A32" s="43">
        <v>14</v>
      </c>
      <c r="B32" s="3460" t="s">
        <v>46</v>
      </c>
      <c r="C32" s="3461"/>
      <c r="D32" s="3461"/>
      <c r="E32" s="3461"/>
      <c r="F32" s="3461"/>
      <c r="G32" s="3461"/>
      <c r="H32" s="3462" t="s">
        <v>44</v>
      </c>
      <c r="I32" s="3462"/>
      <c r="J32" s="3463"/>
      <c r="K32" s="3627" t="e">
        <f ca="1">O32/O28</f>
        <v>#DIV/0!</v>
      </c>
      <c r="L32" s="3628"/>
      <c r="M32" s="3433"/>
      <c r="N32" s="3434"/>
      <c r="O32" s="3607">
        <f ca="1">KALKULATION!H814</f>
        <v>7.0000000000000007E-2</v>
      </c>
      <c r="P32" s="3608"/>
      <c r="R32" s="812"/>
    </row>
    <row r="33" spans="1:19"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812"/>
    </row>
    <row r="34" spans="1:19" x14ac:dyDescent="0.4">
      <c r="A34" s="43">
        <v>16</v>
      </c>
      <c r="B34" s="2414" t="s">
        <v>48</v>
      </c>
      <c r="C34" s="2414"/>
      <c r="D34" s="2414"/>
      <c r="E34" s="2414"/>
      <c r="F34" s="2414"/>
      <c r="G34" s="2414"/>
      <c r="H34" s="3643" t="str">
        <f>IF(_Anzeige_Prozent=_Nein,"in % auf B15","in % auf B15 + in € = ∑")</f>
        <v>in % auf B15 + in € = ∑</v>
      </c>
      <c r="I34" s="3643"/>
      <c r="J34" s="3644"/>
      <c r="K34" s="3645">
        <f>IF(_Anzeige_Prozent=_Nein,KALKULATION!G815+KALKULATION!H815/O33,KALKULATION!G815)</f>
        <v>4.7500000000000001E-2</v>
      </c>
      <c r="L34" s="3646"/>
      <c r="M34" s="3647">
        <f ca="1">IF(_Anzeige_Prozent=_Nein,"",KALKULATION!H815)</f>
        <v>3.21</v>
      </c>
      <c r="N34" s="3648"/>
      <c r="O34" s="3546" t="e">
        <f ca="1">SUM(KALKULATION!H815,KALKULATION!G815*O33)</f>
        <v>#DIV/0!</v>
      </c>
      <c r="P34" s="3547"/>
      <c r="R34" s="812"/>
    </row>
    <row r="35" spans="1:19" ht="24.4" customHeight="1" x14ac:dyDescent="0.4">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812"/>
    </row>
    <row r="36" spans="1:19" x14ac:dyDescent="0.4">
      <c r="A36" s="79" t="s">
        <v>49</v>
      </c>
      <c r="B36" s="3472" t="str">
        <f>IF(SUM(K$36:N$36)=0,"",KALKULATION!A818)</f>
        <v/>
      </c>
      <c r="C36" s="3473"/>
      <c r="D36" s="3473"/>
      <c r="E36" s="3473"/>
      <c r="F36" s="3473"/>
      <c r="G36" s="3473"/>
      <c r="H36" s="3473"/>
      <c r="I36" s="3473"/>
      <c r="J36" s="3474"/>
      <c r="K36" s="3603" t="str">
        <f>IF(KALKULATION!A818="","",IF(_Anzeige_Prozent=_Nein,"",KALKULATION!G818))</f>
        <v/>
      </c>
      <c r="L36" s="3604"/>
      <c r="M36" s="3546" t="str">
        <f>IF(KALKULATION!A818="","",SUM(KALKULATION!F818,KALKULATION!H818))</f>
        <v/>
      </c>
      <c r="N36" s="3547"/>
      <c r="O36" s="3599"/>
      <c r="P36" s="3600"/>
      <c r="R36" s="812"/>
    </row>
    <row r="37" spans="1:19" x14ac:dyDescent="0.4">
      <c r="A37" s="79" t="s">
        <v>50</v>
      </c>
      <c r="B37" s="3400" t="str">
        <f>IF(SUM(K$36:N$36)=0,"",KALKULATION!A819)</f>
        <v/>
      </c>
      <c r="C37" s="3401"/>
      <c r="D37" s="3401"/>
      <c r="E37" s="3401"/>
      <c r="F37" s="3401"/>
      <c r="G37" s="3401"/>
      <c r="H37" s="3401"/>
      <c r="I37" s="3401"/>
      <c r="J37" s="3402"/>
      <c r="K37" s="3603" t="str">
        <f>IF(KALKULATION!A819="","",IF(_Anzeige_Prozent=_Nein,"",KALKULATION!G819))</f>
        <v/>
      </c>
      <c r="L37" s="3604"/>
      <c r="M37" s="3546" t="str">
        <f>IF(KALKULATION!A819="","",SUM(KALKULATION!F819,KALKULATION!H819))</f>
        <v/>
      </c>
      <c r="N37" s="3547"/>
      <c r="O37" s="3599"/>
      <c r="P37" s="3600"/>
      <c r="R37" s="812"/>
    </row>
    <row r="38" spans="1:19" ht="15.4" thickBot="1" x14ac:dyDescent="0.45">
      <c r="A38" s="79" t="s">
        <v>51</v>
      </c>
      <c r="B38" s="3475" t="str">
        <f>IF(SUM(K$36:N$36)=0,"",KALKULATION!A820)</f>
        <v/>
      </c>
      <c r="C38" s="3476"/>
      <c r="D38" s="3476"/>
      <c r="E38" s="3476"/>
      <c r="F38" s="3476"/>
      <c r="G38" s="3476"/>
      <c r="H38" s="3476"/>
      <c r="I38" s="3476"/>
      <c r="J38" s="3477"/>
      <c r="K38" s="3605" t="str">
        <f>IF(KALKULATION!A820="","",IF(_Anzeige_Prozent=_Nein,"",KALKULATION!G820))</f>
        <v/>
      </c>
      <c r="L38" s="3606"/>
      <c r="M38" s="3607" t="str">
        <f>IF(KALKULATION!A820="","",SUM(KALKULATION!F820,KALKULATION!H820))</f>
        <v/>
      </c>
      <c r="N38" s="3608"/>
      <c r="O38" s="3601"/>
      <c r="P38" s="3602"/>
      <c r="R38" s="812"/>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812"/>
    </row>
    <row r="40" spans="1:19" ht="27.85" customHeight="1" x14ac:dyDescent="0.4">
      <c r="A40" s="43">
        <v>19</v>
      </c>
      <c r="B40" s="3412" t="str">
        <f>IF(AND(COUNTA(KALKULATION!A769:C773)=1,KALKULATION!E769=1),KALKULATION!M302,IF(KALKULATION!H767="Ø","Personalkosten gesamt (Regie) pro Person","Personalkosten gesamt (Regie) für die Partie"))</f>
        <v>Personalkosten gesamt (Regie) pro Person</v>
      </c>
      <c r="C40" s="3413"/>
      <c r="D40" s="3413"/>
      <c r="E40" s="3413"/>
      <c r="F40" s="3413"/>
      <c r="G40" s="3413"/>
      <c r="H40" s="3413"/>
      <c r="I40" s="3413"/>
      <c r="J40" s="3414"/>
      <c r="K40" s="3459" t="s">
        <v>185</v>
      </c>
      <c r="L40" s="2229"/>
      <c r="M40" s="375"/>
      <c r="N40" s="3591" t="e">
        <f ca="1">IF(KALKULATION!H767="Ø",SUM(M39,O39),SUM(M39,O39)*H19)</f>
        <v>#DIV/0!</v>
      </c>
      <c r="O40" s="3591"/>
      <c r="P40" s="376"/>
      <c r="R40" s="812"/>
    </row>
    <row r="41" spans="1:19" hidden="1" x14ac:dyDescent="0.4">
      <c r="A41" s="43"/>
      <c r="B41" s="102" t="s">
        <v>55</v>
      </c>
      <c r="C41" s="4"/>
      <c r="D41" s="4"/>
      <c r="E41" s="4"/>
      <c r="F41" s="4"/>
      <c r="G41" s="4"/>
      <c r="H41" s="5"/>
      <c r="I41" s="1"/>
      <c r="K41" s="3"/>
      <c r="L41" s="3"/>
      <c r="M41" s="25"/>
      <c r="N41" s="26"/>
      <c r="O41" s="26"/>
      <c r="P41" s="27"/>
      <c r="R41" s="812"/>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812"/>
    </row>
    <row r="43" spans="1:19" ht="15.4" thickBot="1" x14ac:dyDescent="0.45">
      <c r="A43" s="43">
        <v>20</v>
      </c>
      <c r="B43" s="3460"/>
      <c r="C43" s="3461"/>
      <c r="D43" s="3461"/>
      <c r="E43" s="3461"/>
      <c r="F43" s="3461"/>
      <c r="G43" s="3461"/>
      <c r="H43" s="3464"/>
      <c r="I43" s="3616" t="str">
        <f>IF(M39="","",KALKULATION!H822)</f>
        <v/>
      </c>
      <c r="J43" s="3617"/>
      <c r="K43" s="3616">
        <f>KALKULATION!H825</f>
        <v>0.28000000000000003</v>
      </c>
      <c r="L43" s="3617"/>
      <c r="M43" s="3614" t="str">
        <f>IFERROR(I43*M39,"")</f>
        <v/>
      </c>
      <c r="N43" s="3615"/>
      <c r="O43" s="3614" t="e">
        <f ca="1">K43*O39</f>
        <v>#DIV/0!</v>
      </c>
      <c r="P43" s="3615"/>
      <c r="R43" s="812"/>
    </row>
    <row r="44" spans="1:19" x14ac:dyDescent="0.4">
      <c r="A44" s="43">
        <v>21</v>
      </c>
      <c r="B44" s="1148" t="s">
        <v>894</v>
      </c>
      <c r="C44" s="1154"/>
      <c r="D44" s="1154"/>
      <c r="E44" s="1154"/>
      <c r="F44" s="1154"/>
      <c r="G44" s="1154"/>
      <c r="H44" s="1154"/>
      <c r="I44" s="1156"/>
      <c r="J44" s="1152"/>
      <c r="K44" s="1152"/>
      <c r="L44" s="1153"/>
      <c r="M44" s="3611" t="str">
        <f>IFERROR(IF(M39="","",SUM(M39,M43)),"")</f>
        <v/>
      </c>
      <c r="N44" s="3612"/>
      <c r="O44" s="3611" t="str">
        <f ca="1">IFERROR(SUM(O39,O43),"")</f>
        <v/>
      </c>
      <c r="P44" s="3612"/>
      <c r="R44" s="812"/>
    </row>
    <row r="45" spans="1:19" ht="27.85" customHeight="1" x14ac:dyDescent="0.4">
      <c r="A45" s="44">
        <v>22</v>
      </c>
      <c r="B45" s="3588" t="str">
        <f>KALKULATION!C827</f>
        <v>Regielohnpreis gesamt als Ø-Preis pro Person und Stunde</v>
      </c>
      <c r="C45" s="3589"/>
      <c r="D45" s="3589"/>
      <c r="E45" s="3589"/>
      <c r="F45" s="3589"/>
      <c r="G45" s="3589"/>
      <c r="H45" s="3589"/>
      <c r="I45" s="3589"/>
      <c r="J45" s="3590"/>
      <c r="K45" s="3459" t="s">
        <v>186</v>
      </c>
      <c r="L45" s="2229"/>
      <c r="M45" s="375"/>
      <c r="N45" s="3591">
        <f ca="1">IFERROR(IF(KALKULATION!H767="Ø",SUM(M44,O44),SUM(M44,O44)*KALKULATION!E774),"??")</f>
        <v>0</v>
      </c>
      <c r="O45" s="3591"/>
      <c r="P45" s="376"/>
      <c r="R45" s="812"/>
      <c r="S45" s="374"/>
    </row>
    <row r="46" spans="1:19" ht="15.4" hidden="1" thickTop="1" x14ac:dyDescent="0.4">
      <c r="A46" s="101"/>
      <c r="B46" s="102" t="s">
        <v>55</v>
      </c>
      <c r="C46" s="1"/>
      <c r="D46" s="1"/>
      <c r="E46" s="1"/>
      <c r="F46" s="1"/>
      <c r="G46" s="1"/>
      <c r="H46" s="1"/>
      <c r="I46" s="2"/>
      <c r="J46" s="23"/>
      <c r="K46" s="23"/>
      <c r="M46" s="22"/>
      <c r="N46" s="22"/>
      <c r="O46" s="21"/>
      <c r="R46" s="812"/>
    </row>
    <row r="47" spans="1:19"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824"/>
    </row>
    <row r="48" spans="1:19" ht="10.050000000000001" customHeight="1" x14ac:dyDescent="0.4">
      <c r="A48" s="594"/>
      <c r="B48" s="594"/>
      <c r="C48" s="594"/>
      <c r="D48" s="594"/>
      <c r="E48" s="594"/>
      <c r="F48" s="594"/>
      <c r="G48" s="594"/>
      <c r="H48" s="594"/>
      <c r="I48" s="594"/>
      <c r="J48" s="594"/>
      <c r="K48" s="594"/>
      <c r="L48" s="594"/>
      <c r="M48" s="594"/>
      <c r="N48" s="594"/>
      <c r="O48" s="594"/>
      <c r="P48" s="594"/>
      <c r="R48" s="812"/>
    </row>
  </sheetData>
  <sheetProtection algorithmName="SHA-512" hashValue="YHzMorthoPVYGumQWKBeOliRB14gdJCqOBOQpci0IQL4oJKHSkEBShBn3KzfKUcAfGbKHi2wDsOjgbhIGcFiiw==" saltValue="LV6xANJpk2ZxXjEx01XIsg==" spinCount="100000" sheet="1" formatColumns="0" selectLockedCells="1"/>
  <mergeCells count="156">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5:J35"/>
    <mergeCell ref="K35:L35"/>
    <mergeCell ref="M35:N35"/>
    <mergeCell ref="O35:P38"/>
    <mergeCell ref="B36:J36"/>
    <mergeCell ref="K36:L36"/>
    <mergeCell ref="M36:N36"/>
    <mergeCell ref="B37:J37"/>
    <mergeCell ref="K37:L37"/>
    <mergeCell ref="M37:N3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M44:N44"/>
    <mergeCell ref="O44:P44"/>
    <mergeCell ref="B45:J45"/>
    <mergeCell ref="K45:L45"/>
    <mergeCell ref="N45:O45"/>
    <mergeCell ref="A47:C47"/>
    <mergeCell ref="D47:H47"/>
    <mergeCell ref="I47:M47"/>
    <mergeCell ref="N47:P47"/>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RowHeight="14.25" x14ac:dyDescent="0.45"/>
  <cols>
    <col min="1" max="1" width="10.6640625" style="42"/>
    <col min="2" max="4" width="13.5" style="42" customWidth="1"/>
    <col min="5" max="5" width="10.6640625" style="42"/>
    <col min="6" max="6" width="3.6640625" style="42" customWidth="1"/>
    <col min="7" max="16384" width="10.6640625" style="42"/>
  </cols>
  <sheetData>
    <row r="2" spans="2:8" x14ac:dyDescent="0.45">
      <c r="B2" s="730" t="s">
        <v>647</v>
      </c>
      <c r="C2" s="211"/>
      <c r="D2" s="723" t="s">
        <v>648</v>
      </c>
      <c r="E2" s="211"/>
    </row>
    <row r="3" spans="2:8" x14ac:dyDescent="0.45">
      <c r="B3" s="729" t="s">
        <v>649</v>
      </c>
      <c r="C3" s="211"/>
      <c r="D3" s="723" t="s">
        <v>650</v>
      </c>
      <c r="E3" s="211"/>
    </row>
    <row r="4" spans="2:8" x14ac:dyDescent="0.45">
      <c r="B4" s="726" t="s">
        <v>651</v>
      </c>
      <c r="C4" s="211"/>
      <c r="D4" s="723" t="s">
        <v>652</v>
      </c>
      <c r="E4" s="211"/>
    </row>
    <row r="5" spans="2:8" x14ac:dyDescent="0.45">
      <c r="B5" s="727" t="s">
        <v>653</v>
      </c>
      <c r="C5" s="211"/>
      <c r="D5" s="723" t="s">
        <v>654</v>
      </c>
      <c r="E5" s="211"/>
    </row>
    <row r="6" spans="2:8" x14ac:dyDescent="0.45">
      <c r="B6" s="728" t="s">
        <v>655</v>
      </c>
      <c r="C6" s="211"/>
      <c r="D6" s="723" t="s">
        <v>656</v>
      </c>
      <c r="E6" s="211"/>
      <c r="F6" s="981" t="s">
        <v>695</v>
      </c>
      <c r="H6" s="981"/>
    </row>
    <row r="7" spans="2:8" x14ac:dyDescent="0.45">
      <c r="B7" s="844" t="s">
        <v>694</v>
      </c>
      <c r="C7" s="211"/>
      <c r="D7" s="723" t="s">
        <v>657</v>
      </c>
      <c r="E7" s="211"/>
      <c r="F7" s="982" t="s">
        <v>695</v>
      </c>
      <c r="H7" s="982"/>
    </row>
    <row r="8" spans="2:8" x14ac:dyDescent="0.45">
      <c r="B8" s="723" t="s">
        <v>658</v>
      </c>
      <c r="C8" s="211"/>
      <c r="D8" s="723" t="s">
        <v>659</v>
      </c>
      <c r="E8" s="211"/>
      <c r="F8" s="983" t="s">
        <v>695</v>
      </c>
      <c r="H8" s="983"/>
    </row>
    <row r="9" spans="2:8" x14ac:dyDescent="0.45">
      <c r="B9" s="211"/>
      <c r="C9" s="211"/>
      <c r="D9" s="723" t="s">
        <v>660</v>
      </c>
      <c r="E9" s="211"/>
      <c r="F9" s="984" t="s">
        <v>695</v>
      </c>
      <c r="H9" s="984"/>
    </row>
    <row r="10" spans="2:8" x14ac:dyDescent="0.45">
      <c r="B10" s="725" t="s">
        <v>661</v>
      </c>
      <c r="C10" s="211"/>
      <c r="D10" s="723" t="s">
        <v>662</v>
      </c>
      <c r="E10" s="211"/>
      <c r="F10" s="985" t="s">
        <v>695</v>
      </c>
      <c r="H10" s="985"/>
    </row>
    <row r="11" spans="2:8" x14ac:dyDescent="0.45">
      <c r="B11" s="725" t="s">
        <v>928</v>
      </c>
      <c r="C11" s="211"/>
      <c r="D11" s="211"/>
      <c r="E11" s="211"/>
      <c r="F11" s="986" t="s">
        <v>695</v>
      </c>
      <c r="H11" s="986"/>
    </row>
    <row r="12" spans="2:8" x14ac:dyDescent="0.45">
      <c r="B12" s="211"/>
      <c r="C12" s="211"/>
      <c r="D12" s="723" t="s">
        <v>664</v>
      </c>
      <c r="E12" s="211"/>
      <c r="F12" s="987" t="s">
        <v>695</v>
      </c>
      <c r="H12" s="987"/>
    </row>
    <row r="13" spans="2:8" x14ac:dyDescent="0.45">
      <c r="B13" s="211"/>
      <c r="C13" s="211"/>
      <c r="E13" s="211"/>
    </row>
    <row r="14" spans="2:8" x14ac:dyDescent="0.45">
      <c r="B14" s="211"/>
      <c r="C14" s="211"/>
      <c r="D14" s="723" t="s">
        <v>665</v>
      </c>
      <c r="E14" s="211"/>
    </row>
    <row r="15" spans="2:8" x14ac:dyDescent="0.45">
      <c r="B15" s="989" t="s">
        <v>825</v>
      </c>
      <c r="C15" s="211"/>
      <c r="D15" s="723" t="s">
        <v>666</v>
      </c>
      <c r="E15" s="211"/>
    </row>
    <row r="16" spans="2:8" x14ac:dyDescent="0.45">
      <c r="B16" s="990" t="s">
        <v>117</v>
      </c>
      <c r="C16" s="211"/>
      <c r="D16" s="723" t="s">
        <v>667</v>
      </c>
      <c r="E16" s="211"/>
    </row>
    <row r="17" spans="2:9" x14ac:dyDescent="0.45">
      <c r="B17" s="724" t="s">
        <v>663</v>
      </c>
      <c r="C17" s="211"/>
      <c r="D17" s="723" t="s">
        <v>668</v>
      </c>
      <c r="E17" s="211"/>
    </row>
    <row r="18" spans="2:9" x14ac:dyDescent="0.45">
      <c r="B18" s="991" t="s">
        <v>826</v>
      </c>
      <c r="C18" s="211"/>
      <c r="D18" s="723" t="s">
        <v>669</v>
      </c>
      <c r="E18" s="211"/>
      <c r="I18" s="42" t="e">
        <f>WENN</f>
        <v>#NAME?</v>
      </c>
    </row>
    <row r="19" spans="2:9" x14ac:dyDescent="0.45">
      <c r="B19" s="723" t="s">
        <v>827</v>
      </c>
      <c r="C19" s="211"/>
      <c r="D19" s="723" t="s">
        <v>693</v>
      </c>
      <c r="E19" s="211"/>
    </row>
    <row r="20" spans="2:9" x14ac:dyDescent="0.45">
      <c r="B20" s="211"/>
      <c r="C20" s="211"/>
      <c r="D20" s="724" t="s">
        <v>663</v>
      </c>
      <c r="E20" s="211"/>
    </row>
    <row r="21" spans="2:9" x14ac:dyDescent="0.45">
      <c r="B21" s="211"/>
      <c r="C21" s="211"/>
      <c r="D21" s="211"/>
      <c r="E21" s="211"/>
    </row>
    <row r="23" spans="2:9" x14ac:dyDescent="0.45">
      <c r="D23" s="723" t="s">
        <v>979</v>
      </c>
    </row>
    <row r="25" spans="2:9" x14ac:dyDescent="0.45">
      <c r="B25" s="267"/>
      <c r="D25" s="3662" t="s">
        <v>1099</v>
      </c>
      <c r="E25" s="3662"/>
    </row>
    <row r="26" spans="2:9" x14ac:dyDescent="0.45">
      <c r="B26" s="267"/>
    </row>
    <row r="27" spans="2:9" x14ac:dyDescent="0.45">
      <c r="B27" s="267"/>
    </row>
    <row r="28" spans="2:9" x14ac:dyDescent="0.45">
      <c r="B28" s="267"/>
    </row>
    <row r="29" spans="2:9" x14ac:dyDescent="0.45">
      <c r="B29" s="267"/>
    </row>
    <row r="30" spans="2:9" x14ac:dyDescent="0.45">
      <c r="B30" s="267"/>
    </row>
    <row r="31" spans="2:9" x14ac:dyDescent="0.45">
      <c r="B31" s="267"/>
    </row>
    <row r="32" spans="2:9" x14ac:dyDescent="0.45">
      <c r="B32" s="972"/>
    </row>
    <row r="33" spans="2:2" x14ac:dyDescent="0.45">
      <c r="B33" s="267"/>
    </row>
    <row r="34" spans="2:2" x14ac:dyDescent="0.45">
      <c r="B34" s="267"/>
    </row>
    <row r="35" spans="2:2" x14ac:dyDescent="0.45">
      <c r="B35" s="267"/>
    </row>
    <row r="36" spans="2:2" x14ac:dyDescent="0.45">
      <c r="B36" s="267"/>
    </row>
    <row r="37" spans="2:2" x14ac:dyDescent="0.45">
      <c r="B37" s="267"/>
    </row>
    <row r="38" spans="2:2" x14ac:dyDescent="0.45">
      <c r="B38" s="267"/>
    </row>
    <row r="39" spans="2:2" x14ac:dyDescent="0.4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5"/>
  <cols>
    <col min="1" max="1" width="12.44140625" style="880" customWidth="1"/>
    <col min="2" max="4" width="11.21875" style="1268" hidden="1" customWidth="1"/>
    <col min="5" max="6" width="9.6640625" style="1268" hidden="1" customWidth="1"/>
    <col min="7" max="7" width="10.6640625" style="1268" hidden="1" customWidth="1"/>
    <col min="8" max="8" width="12.77734375" style="1268" hidden="1" customWidth="1"/>
    <col min="9" max="9" width="21.33203125" style="1268" customWidth="1"/>
    <col min="10" max="10" width="4.33203125" style="1268" customWidth="1"/>
    <col min="11" max="16384" width="10.6640625" style="880"/>
  </cols>
  <sheetData>
    <row r="1" spans="2:8" ht="16.149999999999999" thickBot="1" x14ac:dyDescent="0.55000000000000004"/>
    <row r="2" spans="2:8" x14ac:dyDescent="0.5">
      <c r="B2" s="2203" t="str">
        <f>'Lizenz u lies mich'!C7</f>
        <v>Mittellohnpreisbroschüre EuM 2025</v>
      </c>
      <c r="C2" s="2204"/>
      <c r="D2" s="2204"/>
      <c r="E2" s="2205"/>
      <c r="F2" s="1895">
        <f>LEN(B2)</f>
        <v>33</v>
      </c>
      <c r="G2" s="1896"/>
      <c r="H2" s="1897"/>
    </row>
    <row r="3" spans="2:8" ht="16.149999999999999" thickBot="1" x14ac:dyDescent="0.55000000000000004">
      <c r="B3" s="2206" t="str">
        <f>'Lizenz u lies mich'!C9</f>
        <v>Laufzeit bis 1.3.2025</v>
      </c>
      <c r="C3" s="2207"/>
      <c r="D3" s="2207"/>
      <c r="E3" s="2208"/>
      <c r="F3" s="1898">
        <f>LEN(B3)</f>
        <v>21</v>
      </c>
      <c r="H3" s="1899"/>
    </row>
    <row r="4" spans="2:8" x14ac:dyDescent="0.5">
      <c r="B4" s="1900" t="str">
        <f>TEXT('Lizenz u lies mich'!B14,"000000")</f>
        <v>045717</v>
      </c>
      <c r="C4" s="1901"/>
      <c r="D4" s="1901"/>
      <c r="E4" s="1902"/>
      <c r="F4" s="1903">
        <f>F2+F3</f>
        <v>54</v>
      </c>
      <c r="G4" s="1904"/>
      <c r="H4" s="1905"/>
    </row>
    <row r="5" spans="2:8" x14ac:dyDescent="0.5">
      <c r="B5" s="1906">
        <f>IFERROR(CODE(MID(B$2,1,1))+F2,61+F3)</f>
        <v>110</v>
      </c>
      <c r="C5" s="1907">
        <f>INT(B5/100)</f>
        <v>1</v>
      </c>
      <c r="D5" s="1907">
        <f>INT(B5/10)-C5*10</f>
        <v>1</v>
      </c>
      <c r="E5" s="1908">
        <f>B5-C5*100-D5*10</f>
        <v>0</v>
      </c>
      <c r="F5" s="1909"/>
      <c r="H5" s="1905"/>
    </row>
    <row r="6" spans="2:8" x14ac:dyDescent="0.5">
      <c r="B6" s="1910">
        <f>IFERROR(CODE(MID(B$2,2,1)),65)</f>
        <v>105</v>
      </c>
      <c r="C6" s="1904">
        <f t="shared" ref="C6:C31" si="0">INT(B6/100)</f>
        <v>1</v>
      </c>
      <c r="D6" s="1904">
        <f t="shared" ref="D6:D31" si="1">INT(B6/10)-C6*10</f>
        <v>0</v>
      </c>
      <c r="E6" s="1909">
        <f t="shared" ref="E6:E31" si="2">B6-C6*100-D6*10</f>
        <v>5</v>
      </c>
      <c r="F6" s="1909"/>
      <c r="H6" s="1905"/>
    </row>
    <row r="7" spans="2:8" x14ac:dyDescent="0.5">
      <c r="B7" s="1910">
        <f>IFERROR(CODE(MID(B$2,3,1)),69)</f>
        <v>116</v>
      </c>
      <c r="C7" s="1904">
        <f t="shared" si="0"/>
        <v>1</v>
      </c>
      <c r="D7" s="1904">
        <f t="shared" si="1"/>
        <v>1</v>
      </c>
      <c r="E7" s="1909">
        <f t="shared" si="2"/>
        <v>6</v>
      </c>
      <c r="F7" s="1909"/>
      <c r="H7" s="1905"/>
    </row>
    <row r="8" spans="2:8" x14ac:dyDescent="0.5">
      <c r="B8" s="1910">
        <f>IFERROR(CODE(MID(B$2,4,1)),61)</f>
        <v>116</v>
      </c>
      <c r="C8" s="1904">
        <f t="shared" si="0"/>
        <v>1</v>
      </c>
      <c r="D8" s="1904">
        <f t="shared" si="1"/>
        <v>1</v>
      </c>
      <c r="E8" s="1909">
        <f t="shared" si="2"/>
        <v>6</v>
      </c>
      <c r="F8" s="1909"/>
      <c r="H8" s="1905"/>
    </row>
    <row r="9" spans="2:8" x14ac:dyDescent="0.5">
      <c r="B9" s="1910">
        <f>IFERROR(CODE(MID(B$2,5,1))*2+F3,61+F4)</f>
        <v>223</v>
      </c>
      <c r="C9" s="1904">
        <f t="shared" si="0"/>
        <v>2</v>
      </c>
      <c r="D9" s="1904">
        <f t="shared" si="1"/>
        <v>2</v>
      </c>
      <c r="E9" s="1909">
        <f t="shared" si="2"/>
        <v>3</v>
      </c>
      <c r="F9" s="1909"/>
      <c r="H9" s="1905"/>
    </row>
    <row r="10" spans="2:8" x14ac:dyDescent="0.5">
      <c r="B10" s="1910">
        <f>IFERROR(CODE(MID(B$2,6,1)),91)</f>
        <v>108</v>
      </c>
      <c r="C10" s="1904">
        <f t="shared" si="0"/>
        <v>1</v>
      </c>
      <c r="D10" s="1904">
        <f t="shared" si="1"/>
        <v>0</v>
      </c>
      <c r="E10" s="1909">
        <f t="shared" si="2"/>
        <v>8</v>
      </c>
      <c r="F10" s="1909"/>
      <c r="H10" s="1905"/>
    </row>
    <row r="11" spans="2:8" x14ac:dyDescent="0.5">
      <c r="B11" s="1910">
        <f>IFERROR(CODE(MID(B$2,7,1)),61)</f>
        <v>108</v>
      </c>
      <c r="C11" s="1904">
        <f t="shared" si="0"/>
        <v>1</v>
      </c>
      <c r="D11" s="1904">
        <f t="shared" si="1"/>
        <v>0</v>
      </c>
      <c r="E11" s="1909">
        <f t="shared" si="2"/>
        <v>8</v>
      </c>
      <c r="F11" s="1909"/>
      <c r="H11" s="1905"/>
    </row>
    <row r="12" spans="2:8" x14ac:dyDescent="0.5">
      <c r="B12" s="1910">
        <f>IFERROR(CODE(MID(B$2,8,1))+F2,61)</f>
        <v>144</v>
      </c>
      <c r="C12" s="1904">
        <f t="shared" si="0"/>
        <v>1</v>
      </c>
      <c r="D12" s="1904">
        <f t="shared" si="1"/>
        <v>4</v>
      </c>
      <c r="E12" s="1909">
        <f t="shared" si="2"/>
        <v>4</v>
      </c>
      <c r="F12" s="1909"/>
      <c r="H12" s="1905"/>
    </row>
    <row r="13" spans="2:8" x14ac:dyDescent="0.5">
      <c r="B13" s="1910">
        <f>IFERROR(CODE(MID(B$2,9,1)),71)</f>
        <v>104</v>
      </c>
      <c r="C13" s="1904">
        <f t="shared" si="0"/>
        <v>1</v>
      </c>
      <c r="D13" s="1904">
        <f t="shared" si="1"/>
        <v>0</v>
      </c>
      <c r="E13" s="1909">
        <f t="shared" si="2"/>
        <v>4</v>
      </c>
      <c r="F13" s="1909"/>
      <c r="H13" s="1905"/>
    </row>
    <row r="14" spans="2:8" x14ac:dyDescent="0.5">
      <c r="B14" s="1911">
        <f>IFERROR(CODE(MID(B$2,10,1)),111)</f>
        <v>110</v>
      </c>
      <c r="C14" s="1912">
        <f t="shared" si="0"/>
        <v>1</v>
      </c>
      <c r="D14" s="1912">
        <f t="shared" si="1"/>
        <v>1</v>
      </c>
      <c r="E14" s="1913">
        <f t="shared" si="2"/>
        <v>0</v>
      </c>
      <c r="F14" s="1909"/>
      <c r="H14" s="1905"/>
    </row>
    <row r="15" spans="2:8" x14ac:dyDescent="0.5">
      <c r="B15" s="1906">
        <f>IFERROR(CODE(MID(B$3,1,1)),61)</f>
        <v>76</v>
      </c>
      <c r="C15" s="1907">
        <f t="shared" si="0"/>
        <v>0</v>
      </c>
      <c r="D15" s="1907">
        <f t="shared" si="1"/>
        <v>7</v>
      </c>
      <c r="E15" s="1908">
        <f t="shared" si="2"/>
        <v>6</v>
      </c>
      <c r="F15" s="1909"/>
      <c r="H15" s="1905"/>
    </row>
    <row r="16" spans="2:8" x14ac:dyDescent="0.5">
      <c r="B16" s="1910">
        <f>IFERROR(CODE(MID(B$3,2,1)),61)</f>
        <v>97</v>
      </c>
      <c r="C16" s="1904">
        <f t="shared" si="0"/>
        <v>0</v>
      </c>
      <c r="D16" s="1904">
        <f t="shared" si="1"/>
        <v>9</v>
      </c>
      <c r="E16" s="1909">
        <f t="shared" si="2"/>
        <v>7</v>
      </c>
      <c r="F16" s="1909"/>
      <c r="H16" s="1905"/>
    </row>
    <row r="17" spans="2:8" x14ac:dyDescent="0.5">
      <c r="B17" s="1910">
        <f>IFERROR(CODE(MID(B$3,3,1)),61)</f>
        <v>117</v>
      </c>
      <c r="C17" s="1904">
        <f t="shared" si="0"/>
        <v>1</v>
      </c>
      <c r="D17" s="1904">
        <f t="shared" si="1"/>
        <v>1</v>
      </c>
      <c r="E17" s="1909">
        <f t="shared" si="2"/>
        <v>7</v>
      </c>
      <c r="F17" s="1909"/>
      <c r="H17" s="1905"/>
    </row>
    <row r="18" spans="2:8" x14ac:dyDescent="0.5">
      <c r="B18" s="1910">
        <f>IFERROR(CODE(MID(B$3,4,1)),61)</f>
        <v>102</v>
      </c>
      <c r="C18" s="1904">
        <f t="shared" si="0"/>
        <v>1</v>
      </c>
      <c r="D18" s="1904">
        <f t="shared" si="1"/>
        <v>0</v>
      </c>
      <c r="E18" s="1909">
        <f t="shared" si="2"/>
        <v>2</v>
      </c>
      <c r="F18" s="1909"/>
      <c r="H18" s="1905"/>
    </row>
    <row r="19" spans="2:8" x14ac:dyDescent="0.5">
      <c r="B19" s="1910">
        <f>IFERROR(CODE(MID(B$3,5,1)),118)</f>
        <v>122</v>
      </c>
      <c r="C19" s="1904">
        <f t="shared" si="0"/>
        <v>1</v>
      </c>
      <c r="D19" s="1904">
        <f t="shared" si="1"/>
        <v>2</v>
      </c>
      <c r="E19" s="1909">
        <f t="shared" si="2"/>
        <v>2</v>
      </c>
      <c r="F19" s="1909"/>
      <c r="H19" s="1905"/>
    </row>
    <row r="20" spans="2:8" x14ac:dyDescent="0.5">
      <c r="B20" s="1910">
        <f>IFERROR(CODE(MID(B$3,6,1)),61)</f>
        <v>101</v>
      </c>
      <c r="C20" s="1904">
        <f t="shared" si="0"/>
        <v>1</v>
      </c>
      <c r="D20" s="1904">
        <f t="shared" si="1"/>
        <v>0</v>
      </c>
      <c r="E20" s="1909">
        <f t="shared" si="2"/>
        <v>1</v>
      </c>
      <c r="F20" s="1909"/>
      <c r="H20" s="1905"/>
    </row>
    <row r="21" spans="2:8" x14ac:dyDescent="0.5">
      <c r="B21" s="1910">
        <f>IFERROR(CODE(MID(B$3,7,1)),91)</f>
        <v>105</v>
      </c>
      <c r="C21" s="1904">
        <f t="shared" si="0"/>
        <v>1</v>
      </c>
      <c r="D21" s="1904">
        <f t="shared" si="1"/>
        <v>0</v>
      </c>
      <c r="E21" s="1909">
        <f t="shared" si="2"/>
        <v>5</v>
      </c>
      <c r="F21" s="1909"/>
      <c r="H21" s="1905"/>
    </row>
    <row r="22" spans="2:8" x14ac:dyDescent="0.5">
      <c r="B22" s="1910">
        <f>IFERROR(CODE(MID(B$3,8,1)),61)</f>
        <v>116</v>
      </c>
      <c r="C22" s="1904">
        <f t="shared" si="0"/>
        <v>1</v>
      </c>
      <c r="D22" s="1904">
        <f t="shared" si="1"/>
        <v>1</v>
      </c>
      <c r="E22" s="1909">
        <f t="shared" si="2"/>
        <v>6</v>
      </c>
      <c r="F22" s="1909"/>
      <c r="H22" s="1905"/>
    </row>
    <row r="23" spans="2:8" x14ac:dyDescent="0.5">
      <c r="B23" s="1910">
        <f>IFERROR(CODE(MID(B$3,9,1)),101)</f>
        <v>32</v>
      </c>
      <c r="C23" s="1904">
        <f t="shared" si="0"/>
        <v>0</v>
      </c>
      <c r="D23" s="1904">
        <f t="shared" si="1"/>
        <v>3</v>
      </c>
      <c r="E23" s="1909">
        <f t="shared" si="2"/>
        <v>2</v>
      </c>
      <c r="F23" s="1909"/>
      <c r="H23" s="1905"/>
    </row>
    <row r="24" spans="2:8" x14ac:dyDescent="0.5">
      <c r="B24" s="1910">
        <f>IFERROR(CODE(MID(B$3,10,1)),61)</f>
        <v>98</v>
      </c>
      <c r="C24" s="1904">
        <f t="shared" si="0"/>
        <v>0</v>
      </c>
      <c r="D24" s="1904">
        <f t="shared" si="1"/>
        <v>9</v>
      </c>
      <c r="E24" s="1909">
        <f t="shared" si="2"/>
        <v>8</v>
      </c>
      <c r="F24" s="1909"/>
      <c r="H24" s="1905"/>
    </row>
    <row r="25" spans="2:8" x14ac:dyDescent="0.5">
      <c r="B25" s="1911">
        <f>IFERROR(CODE(MID(B$3,11,1)),61)</f>
        <v>105</v>
      </c>
      <c r="C25" s="1912">
        <f t="shared" si="0"/>
        <v>1</v>
      </c>
      <c r="D25" s="1912">
        <f t="shared" si="1"/>
        <v>0</v>
      </c>
      <c r="E25" s="1913">
        <f t="shared" si="2"/>
        <v>5</v>
      </c>
      <c r="F25" s="1909"/>
      <c r="H25" s="1905"/>
    </row>
    <row r="26" spans="2:8" x14ac:dyDescent="0.5">
      <c r="B26" s="1906">
        <f>IFERROR(CODE(MID(B$4,1,1)),91)*2</f>
        <v>96</v>
      </c>
      <c r="C26" s="1907">
        <f t="shared" si="0"/>
        <v>0</v>
      </c>
      <c r="D26" s="1907">
        <f t="shared" si="1"/>
        <v>9</v>
      </c>
      <c r="E26" s="1908">
        <f t="shared" si="2"/>
        <v>6</v>
      </c>
      <c r="F26" s="1909"/>
      <c r="H26" s="1905"/>
    </row>
    <row r="27" spans="2:8" x14ac:dyDescent="0.5">
      <c r="B27" s="1910">
        <f>IFERROR(CODE(MID(B$4,2,1)),91)*2</f>
        <v>104</v>
      </c>
      <c r="C27" s="1904">
        <f t="shared" si="0"/>
        <v>1</v>
      </c>
      <c r="D27" s="1904">
        <f t="shared" si="1"/>
        <v>0</v>
      </c>
      <c r="E27" s="1909">
        <f t="shared" si="2"/>
        <v>4</v>
      </c>
      <c r="F27" s="1909"/>
      <c r="H27" s="1905"/>
    </row>
    <row r="28" spans="2:8" x14ac:dyDescent="0.5">
      <c r="B28" s="1910">
        <f>IFERROR(CODE(MID(B$4,3,1)),91)*2</f>
        <v>106</v>
      </c>
      <c r="C28" s="1904">
        <f t="shared" si="0"/>
        <v>1</v>
      </c>
      <c r="D28" s="1904">
        <f t="shared" si="1"/>
        <v>0</v>
      </c>
      <c r="E28" s="1909">
        <f t="shared" si="2"/>
        <v>6</v>
      </c>
      <c r="F28" s="1909"/>
      <c r="H28" s="1905"/>
    </row>
    <row r="29" spans="2:8" x14ac:dyDescent="0.5">
      <c r="B29" s="1910">
        <f>IFERROR(CODE(MID(B$4,4,1)),91)*2</f>
        <v>110</v>
      </c>
      <c r="C29" s="1904">
        <f t="shared" si="0"/>
        <v>1</v>
      </c>
      <c r="D29" s="1904">
        <f t="shared" si="1"/>
        <v>1</v>
      </c>
      <c r="E29" s="1909">
        <f t="shared" si="2"/>
        <v>0</v>
      </c>
      <c r="F29" s="1909"/>
      <c r="H29" s="1905"/>
    </row>
    <row r="30" spans="2:8" x14ac:dyDescent="0.5">
      <c r="B30" s="1910">
        <f>IFERROR(CODE(MID(B$4,5,1)),91)*2</f>
        <v>98</v>
      </c>
      <c r="C30" s="1904">
        <f t="shared" si="0"/>
        <v>0</v>
      </c>
      <c r="D30" s="1904">
        <f t="shared" si="1"/>
        <v>9</v>
      </c>
      <c r="E30" s="1909">
        <f t="shared" si="2"/>
        <v>8</v>
      </c>
      <c r="F30" s="1909"/>
      <c r="H30" s="1905"/>
    </row>
    <row r="31" spans="2:8" x14ac:dyDescent="0.5">
      <c r="B31" s="1911">
        <f>IFERROR(CODE(MID(B$4,5,1)),91)*2</f>
        <v>98</v>
      </c>
      <c r="C31" s="1912">
        <f t="shared" si="0"/>
        <v>0</v>
      </c>
      <c r="D31" s="1912">
        <f t="shared" si="1"/>
        <v>9</v>
      </c>
      <c r="E31" s="1913">
        <f t="shared" si="2"/>
        <v>8</v>
      </c>
      <c r="F31" s="1909"/>
      <c r="H31" s="1905"/>
    </row>
    <row r="32" spans="2:8" x14ac:dyDescent="0.5">
      <c r="B32" s="1910">
        <f>SUM(B5:B31)</f>
        <v>2927</v>
      </c>
      <c r="C32" s="1904">
        <f>SUM(C5:C31)</f>
        <v>21</v>
      </c>
      <c r="D32" s="1904">
        <f>SUM(D5:D31)</f>
        <v>70</v>
      </c>
      <c r="E32" s="1904">
        <f>SUM(E5:E31)</f>
        <v>127</v>
      </c>
      <c r="F32" s="1909">
        <f>SUM(C32:E32)</f>
        <v>218</v>
      </c>
      <c r="H32" s="1905"/>
    </row>
    <row r="33" spans="2:8" x14ac:dyDescent="0.5">
      <c r="B33" s="1911"/>
      <c r="C33" s="1914" t="str">
        <f>TEXT(C32*2.7,"0000")</f>
        <v>0057</v>
      </c>
      <c r="D33" s="1914" t="str">
        <f>TEXT(D32*3.6,"0000")</f>
        <v>0252</v>
      </c>
      <c r="E33" s="1914" t="str">
        <f>TEXT(E32*2.2,"0000")</f>
        <v>0279</v>
      </c>
      <c r="F33" s="1915" t="str">
        <f>TEXT(F32*0.95,"0000")</f>
        <v>0207</v>
      </c>
      <c r="H33" s="1905"/>
    </row>
    <row r="34" spans="2:8" x14ac:dyDescent="0.5">
      <c r="B34" s="1916"/>
      <c r="C34" s="1901"/>
      <c r="D34" s="1917" t="s">
        <v>199</v>
      </c>
      <c r="E34" s="1917" t="s">
        <v>200</v>
      </c>
      <c r="F34" s="1901" t="s">
        <v>200</v>
      </c>
      <c r="G34" s="1917" t="s">
        <v>201</v>
      </c>
      <c r="H34" s="1918"/>
    </row>
    <row r="35" spans="2:8" x14ac:dyDescent="0.5">
      <c r="B35" s="1919">
        <f>+C32+B46/2</f>
        <v>380</v>
      </c>
      <c r="C35" s="1920">
        <f>_xlfn.NUMBERVALUE(RIGHT(B35,3))</f>
        <v>380</v>
      </c>
      <c r="D35" s="1921">
        <f>IF(C35&lt;65,65+C35/2,C35)</f>
        <v>380</v>
      </c>
      <c r="E35" s="1922">
        <f>IF(D35&gt;122,D35*0.5+5,D35)</f>
        <v>195</v>
      </c>
      <c r="F35" s="1922">
        <f>IF(E35&gt;122,122-E35/100*3,E35)</f>
        <v>116</v>
      </c>
      <c r="G35" s="1922">
        <f>IF(AND(F35&gt;90,F35&lt;97),F35+10,F35)</f>
        <v>116</v>
      </c>
      <c r="H35" s="1923" t="str">
        <f>CHAR(INT(G35))</f>
        <v>t</v>
      </c>
    </row>
    <row r="36" spans="2:8" x14ac:dyDescent="0.5">
      <c r="B36" s="1919">
        <f>E6*10+E16*10+C19+C10+D21+E32/3</f>
        <v>164</v>
      </c>
      <c r="C36" s="1920">
        <f>_xlfn.NUMBERVALUE(RIGHT(B36,3))</f>
        <v>164</v>
      </c>
      <c r="D36" s="1921">
        <f>IF(C36&lt;65,65+C36/2,C36)</f>
        <v>164</v>
      </c>
      <c r="E36" s="1922">
        <f>IF(D36&gt;122,D36*0.5+5,D36)</f>
        <v>87</v>
      </c>
      <c r="F36" s="1922">
        <f>IF(E36&gt;122,122-E36/100*3,E36)</f>
        <v>87</v>
      </c>
      <c r="G36" s="1922">
        <f>IF(AND(F36&gt;90,F36&lt;97),F36+10,F36)</f>
        <v>87</v>
      </c>
      <c r="H36" s="1923" t="str">
        <f>CHAR(INT(G36))</f>
        <v>W</v>
      </c>
    </row>
    <row r="37" spans="2:8" x14ac:dyDescent="0.5">
      <c r="B37" s="1919">
        <f>E7*10+E17*10+C20+C11+D22*2+D32</f>
        <v>204</v>
      </c>
      <c r="C37" s="1920">
        <f>_xlfn.NUMBERVALUE(RIGHT(B37,3))</f>
        <v>204</v>
      </c>
      <c r="D37" s="1921">
        <f>IF(C37&lt;65,65+C37/2,C37)</f>
        <v>204</v>
      </c>
      <c r="E37" s="1922">
        <f>IF(D37&gt;122,D37*0.5+5,D37)</f>
        <v>107</v>
      </c>
      <c r="F37" s="1922">
        <f>IF(E37&gt;122,122-E37/100*3,E37)</f>
        <v>107</v>
      </c>
      <c r="G37" s="1922">
        <f>IF(AND(F37&gt;90,F37&lt;97),F37+10,F37)</f>
        <v>107</v>
      </c>
      <c r="H37" s="1923" t="str">
        <f>CHAR(INT(G37))</f>
        <v>k</v>
      </c>
    </row>
    <row r="38" spans="2:8" x14ac:dyDescent="0.5">
      <c r="B38" s="1919">
        <f>E8+E18+C21+C12+D23+C32+F4</f>
        <v>88</v>
      </c>
      <c r="C38" s="1920">
        <f>_xlfn.NUMBERVALUE(RIGHT(B38,3))</f>
        <v>88</v>
      </c>
      <c r="D38" s="1921">
        <f>IF(C38&lt;65,65+C38/2,C38)</f>
        <v>88</v>
      </c>
      <c r="E38" s="1922">
        <f>IF(D38&gt;122,D38*0.5+5,D38)</f>
        <v>88</v>
      </c>
      <c r="F38" s="1922">
        <f>IF(E38&gt;122,122-E38/100*3,E38)</f>
        <v>88</v>
      </c>
      <c r="G38" s="1922">
        <f>IF(AND(F38&gt;90,F38&lt;97),F38+10,F38)</f>
        <v>88</v>
      </c>
      <c r="H38" s="1923" t="str">
        <f>CHAR(INT(G38))</f>
        <v>X</v>
      </c>
    </row>
    <row r="39" spans="2:8" x14ac:dyDescent="0.5">
      <c r="B39" s="1924">
        <f>E9*10+E19+C22+C13+D24+B46+F32</f>
        <v>978</v>
      </c>
      <c r="C39" s="1925">
        <f>_xlfn.NUMBERVALUE(RIGHT(B39,3))</f>
        <v>978</v>
      </c>
      <c r="D39" s="1926">
        <f>IF(C39&lt;65,65+C39/2,C39)</f>
        <v>978</v>
      </c>
      <c r="E39" s="1927">
        <f>IF(D39&gt;122,D39*0.5+5,D39)</f>
        <v>494</v>
      </c>
      <c r="F39" s="1927">
        <f>IF(E39&gt;122,122-E39/100*3,E39)</f>
        <v>107</v>
      </c>
      <c r="G39" s="1927">
        <f>IF(AND(F39&gt;90,F39&lt;97),F39+10,F39)</f>
        <v>107</v>
      </c>
      <c r="H39" s="1928" t="str">
        <f>CHAR(INT(G39))</f>
        <v>k</v>
      </c>
    </row>
    <row r="40" spans="2:8" x14ac:dyDescent="0.5">
      <c r="B40" s="1929"/>
      <c r="C40" s="1930"/>
      <c r="D40" s="1930"/>
      <c r="E40" s="1930"/>
      <c r="F40" s="1931"/>
      <c r="H40" s="1905"/>
    </row>
    <row r="41" spans="2:8" x14ac:dyDescent="0.5">
      <c r="B41" s="1932" t="str">
        <f>LEFT(B4,3)</f>
        <v>045</v>
      </c>
      <c r="C41" s="1904"/>
      <c r="D41" s="1904"/>
      <c r="E41" s="1904"/>
      <c r="F41" s="1904"/>
      <c r="G41" s="1904"/>
      <c r="H41" s="1905"/>
    </row>
    <row r="42" spans="2:8" x14ac:dyDescent="0.5">
      <c r="B42" s="1932" t="str">
        <f>TEXT(C33,"000")</f>
        <v>057</v>
      </c>
      <c r="C42" s="1904"/>
      <c r="D42" s="1904"/>
      <c r="E42" s="1904"/>
      <c r="F42" s="1904"/>
      <c r="G42" s="1904"/>
      <c r="H42" s="1905"/>
    </row>
    <row r="43" spans="2:8" x14ac:dyDescent="0.5">
      <c r="B43" s="1932" t="str">
        <f>TEXT(D33,"000")</f>
        <v>252</v>
      </c>
      <c r="C43" s="1904"/>
      <c r="D43" s="1904"/>
      <c r="E43" s="1904"/>
      <c r="F43" s="1904"/>
      <c r="G43" s="1904"/>
      <c r="H43" s="1905"/>
    </row>
    <row r="44" spans="2:8" x14ac:dyDescent="0.5">
      <c r="B44" s="1932" t="str">
        <f>TEXT(E33,"000")</f>
        <v>279</v>
      </c>
      <c r="C44" s="1904"/>
      <c r="D44" s="1904"/>
      <c r="E44" s="1904"/>
      <c r="F44" s="1904"/>
      <c r="G44" s="1904"/>
      <c r="H44" s="1905"/>
    </row>
    <row r="45" spans="2:8" x14ac:dyDescent="0.5">
      <c r="B45" s="1932" t="str">
        <f>TEXT(F33,"000")</f>
        <v>207</v>
      </c>
      <c r="C45" s="1904"/>
      <c r="D45" s="1904"/>
      <c r="E45" s="1904"/>
      <c r="F45" s="1904"/>
      <c r="G45" s="1904"/>
      <c r="H45" s="1905"/>
    </row>
    <row r="46" spans="2:8" x14ac:dyDescent="0.5">
      <c r="B46" s="1932" t="str">
        <f>RIGHT(B4,3)</f>
        <v>717</v>
      </c>
      <c r="C46" s="1904"/>
      <c r="D46" s="1904"/>
      <c r="E46" s="1904"/>
      <c r="F46" s="1904"/>
      <c r="G46" s="1904"/>
      <c r="H46" s="1905"/>
    </row>
    <row r="47" spans="2:8" ht="16.149999999999999" thickBot="1" x14ac:dyDescent="0.55000000000000004">
      <c r="B47" s="1910"/>
      <c r="C47" s="1904"/>
      <c r="D47" s="1904"/>
      <c r="E47" s="1904"/>
      <c r="F47" s="1904"/>
      <c r="G47" s="1904"/>
      <c r="H47" s="1905"/>
    </row>
    <row r="48" spans="2:8" ht="16.149999999999999" thickBot="1" x14ac:dyDescent="0.55000000000000004">
      <c r="B48" s="1933" t="str">
        <f>B41&amp;H35&amp;B42&amp;H36&amp;B43&amp;H37&amp;B44&amp;H38&amp;B46&amp;H39&amp;B45</f>
        <v>045t057W252k279X717k207</v>
      </c>
      <c r="C48" s="1934"/>
      <c r="D48" s="1904"/>
      <c r="E48" s="1904" t="str">
        <f>LEFT(B48,3)</f>
        <v>045</v>
      </c>
      <c r="F48" s="1904" t="str">
        <f>RIGHT(B48,7)</f>
        <v>717k207</v>
      </c>
      <c r="G48" s="1904"/>
      <c r="H48" s="1905"/>
    </row>
    <row r="49" spans="1:8" x14ac:dyDescent="0.5">
      <c r="B49" s="1910"/>
      <c r="C49" s="1904"/>
      <c r="D49" s="1904"/>
      <c r="E49" s="1904" t="str">
        <f>LEFT(F48,3)</f>
        <v>717</v>
      </c>
      <c r="F49" s="1904"/>
      <c r="G49" s="1904"/>
      <c r="H49" s="1905"/>
    </row>
    <row r="50" spans="1:8" ht="16.149999999999999" thickBot="1" x14ac:dyDescent="0.55000000000000004">
      <c r="B50" s="1935"/>
      <c r="C50" s="1936"/>
      <c r="D50" s="1936"/>
      <c r="E50" s="1937">
        <f>E48*1000+E49</f>
        <v>45717</v>
      </c>
      <c r="F50" s="1936"/>
      <c r="G50" s="1936"/>
      <c r="H50" s="1938"/>
    </row>
    <row r="51" spans="1:8" x14ac:dyDescent="0.5">
      <c r="A51" s="880" t="str">
        <f>RIGHT(A50,3)</f>
        <v/>
      </c>
      <c r="B51" s="1268">
        <f>C32*D32*E32*F32+99</f>
        <v>40698519</v>
      </c>
    </row>
    <row r="52" spans="1:8" x14ac:dyDescent="0.5">
      <c r="A52" s="880">
        <f>F$2*10+1</f>
        <v>331</v>
      </c>
      <c r="B52" s="1268">
        <f>INT((B$51/A52-INT(B$51/A52))*A52)</f>
        <v>82</v>
      </c>
      <c r="C52" s="1920">
        <f>_xlfn.NUMBERVALUE(RIGHT(B52,3))</f>
        <v>82</v>
      </c>
      <c r="D52" s="1921">
        <f>IF(C52&lt;65,65+C52/2,C52)</f>
        <v>82</v>
      </c>
      <c r="E52" s="1922">
        <f>IF(D52&gt;122,D52*0.5+5,D52)</f>
        <v>82</v>
      </c>
      <c r="F52" s="1922">
        <f>IF(E52&gt;122,122-E52/100*3,E52)</f>
        <v>82</v>
      </c>
      <c r="G52" s="1922">
        <f>IF(AND(F52&gt;90,F52&lt;97),F52+10,F52)</f>
        <v>82</v>
      </c>
      <c r="H52" s="1923" t="str">
        <f>CHAR(INT(G52))</f>
        <v>R</v>
      </c>
    </row>
    <row r="53" spans="1:8" x14ac:dyDescent="0.5">
      <c r="A53" s="1245">
        <f>B52+G52+2</f>
        <v>166</v>
      </c>
      <c r="B53" s="1268">
        <f t="shared" ref="B53:B54" si="3">INT((B$51/A53-INT(B$51/A53))*A53)</f>
        <v>133</v>
      </c>
      <c r="C53" s="1920">
        <f t="shared" ref="C53:C54" si="4">_xlfn.NUMBERVALUE(RIGHT(B53,3))</f>
        <v>133</v>
      </c>
      <c r="D53" s="1921">
        <f t="shared" ref="D53:D54" si="5">IF(C53&lt;65,65+C53/2,C53)</f>
        <v>133</v>
      </c>
      <c r="E53" s="1922">
        <f t="shared" ref="E53:E54" si="6">IF(D53&gt;122,D53*0.5+5,D53)</f>
        <v>72</v>
      </c>
      <c r="F53" s="1922">
        <f t="shared" ref="F53:F54" si="7">IF(E53&gt;122,122-E53/100*3,E53)</f>
        <v>72</v>
      </c>
      <c r="G53" s="1922">
        <f t="shared" ref="G53:G54" si="8">IF(AND(F53&gt;90,F53&lt;97),F53+10,F53)</f>
        <v>72</v>
      </c>
      <c r="H53" s="1923" t="str">
        <f t="shared" ref="H53:H54" si="9">CHAR(INT(G53))</f>
        <v>H</v>
      </c>
    </row>
    <row r="54" spans="1:8" x14ac:dyDescent="0.5">
      <c r="A54" s="1245">
        <f>G53+3</f>
        <v>75</v>
      </c>
      <c r="B54" s="1268">
        <f t="shared" si="3"/>
        <v>69</v>
      </c>
      <c r="C54" s="1920">
        <f t="shared" si="4"/>
        <v>69</v>
      </c>
      <c r="D54" s="1921">
        <f t="shared" si="5"/>
        <v>69</v>
      </c>
      <c r="E54" s="1922">
        <f t="shared" si="6"/>
        <v>69</v>
      </c>
      <c r="F54" s="1922">
        <f t="shared" si="7"/>
        <v>69</v>
      </c>
      <c r="G54" s="1922">
        <f t="shared" si="8"/>
        <v>69</v>
      </c>
      <c r="H54" s="1923" t="str">
        <f t="shared" si="9"/>
        <v>E</v>
      </c>
    </row>
    <row r="55" spans="1:8" x14ac:dyDescent="0.5">
      <c r="A55" s="880">
        <f>B32</f>
        <v>2927</v>
      </c>
      <c r="B55" s="1268">
        <f t="shared" ref="B55" si="10">INT((B$51/A55-INT(B$51/A55))*A55)</f>
        <v>1510</v>
      </c>
      <c r="C55" s="1920">
        <f t="shared" ref="C55" si="11">_xlfn.NUMBERVALUE(RIGHT(B55,3))</f>
        <v>510</v>
      </c>
      <c r="D55" s="1921">
        <f t="shared" ref="D55" si="12">IF(C55&lt;65,65+C55/2,C55)</f>
        <v>510</v>
      </c>
      <c r="E55" s="1922">
        <f t="shared" ref="E55" si="13">IF(D55&gt;122,D55*0.5+5,D55)</f>
        <v>260</v>
      </c>
      <c r="F55" s="1922">
        <f t="shared" ref="F55" si="14">IF(E55&gt;122,122-E55/100*3,E55)</f>
        <v>114</v>
      </c>
      <c r="G55" s="1922">
        <f t="shared" ref="G55" si="15">IF(AND(F55&gt;90,F55&lt;97),F55+10,F55)</f>
        <v>114</v>
      </c>
      <c r="H55" s="1923" t="str">
        <f t="shared" ref="H55" si="16">CHAR(INT(G55))</f>
        <v>r</v>
      </c>
    </row>
    <row r="56" spans="1:8" x14ac:dyDescent="0.5">
      <c r="B56" s="1939" t="str">
        <f>H52&amp;H53&amp;H54&amp;H55</f>
        <v>RHEr</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2" sqref="I2"/>
    </sheetView>
  </sheetViews>
  <sheetFormatPr baseColWidth="10" defaultColWidth="10.6640625" defaultRowHeight="15.75" x14ac:dyDescent="0.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5">
      <c r="A1" s="2226" t="s">
        <v>112</v>
      </c>
      <c r="B1" s="2227"/>
      <c r="C1" s="2227"/>
      <c r="D1" s="2227"/>
      <c r="E1" s="2227"/>
      <c r="F1" s="2228"/>
      <c r="G1" s="2209" t="s">
        <v>436</v>
      </c>
      <c r="H1" s="2226" t="s">
        <v>270</v>
      </c>
      <c r="I1" s="2227"/>
      <c r="J1" s="2228"/>
      <c r="K1" s="1940"/>
      <c r="L1" s="2220"/>
      <c r="M1" s="2220"/>
      <c r="N1" s="2220"/>
      <c r="O1" s="2220"/>
      <c r="P1" s="2220"/>
    </row>
    <row r="2" spans="1:16" ht="50" customHeight="1" x14ac:dyDescent="0.5">
      <c r="A2" s="224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[K3_EuM_Quelle.xlsx] und dem Blattnamen mit [EuM_Spengler_25].  Die dort angelegten Stammdaten werden in das Kalk-Tool übertragen. </v>
      </c>
      <c r="B2" s="2241"/>
      <c r="C2" s="2241"/>
      <c r="D2" s="2241"/>
      <c r="E2" s="2241"/>
      <c r="F2" s="2242"/>
      <c r="G2" s="2210"/>
      <c r="H2" s="403" t="s">
        <v>440</v>
      </c>
      <c r="I2" s="1275" t="s">
        <v>1116</v>
      </c>
      <c r="J2" s="398" t="s">
        <v>177</v>
      </c>
      <c r="K2" s="11">
        <f ca="1">IFERROR(INDIRECT(CONCATENATE("[",$I$2,".xlsx]","DPNK","!B4")),"f")</f>
        <v>0</v>
      </c>
    </row>
    <row r="3" spans="1:16" ht="50" customHeight="1" x14ac:dyDescent="0.5">
      <c r="A3" s="251" t="str">
        <f ca="1">IF(H11="","A) Der Kollektivvertrag","                               FEHLER:")</f>
        <v>A) Der Kollektivvertrag</v>
      </c>
      <c r="B3" s="2231" t="str">
        <f ca="1">IFERROR(INDIRECT(CONCATENATE("[",$I$2,".xlsx]",$I$4,"!B3")),IF(K2="f","Es ist keine Datei mit der Bezeichnung ["&amp;I2&amp;"] geöffnet!","Eine Datei mit dem Namen ["&amp;I2&amp;"] ist geöffnet, Tabellenblatt ["&amp;I3&amp;"] konnte darin nicht gefunden werden!"))</f>
        <v>KollV Eisen- und Metallverarbeitende Gewerbe (ArbeiterInnen)</v>
      </c>
      <c r="C3" s="2232"/>
      <c r="D3" s="2232"/>
      <c r="E3" s="2232"/>
      <c r="F3" s="2233"/>
      <c r="G3" s="2211"/>
      <c r="H3" s="404" t="s">
        <v>441</v>
      </c>
      <c r="I3" s="1276" t="s">
        <v>1136</v>
      </c>
      <c r="J3" s="10"/>
      <c r="K3" s="1941"/>
    </row>
    <row r="4" spans="1:16" ht="15.75" customHeight="1" x14ac:dyDescent="0.5">
      <c r="A4" s="148" t="s">
        <v>99</v>
      </c>
      <c r="B4" s="258">
        <f ca="1">IFERROR(INDIRECT(CONCATENATE("[",$I$2,".xlsx]",$I$4,"!B4")),"?")</f>
        <v>45658</v>
      </c>
      <c r="C4" s="188" t="s">
        <v>224</v>
      </c>
      <c r="D4" s="189">
        <f ca="1">INDIRECT(CONCATENATE("[",$I$2,".xlsx]",$I$4,"!D4"))</f>
        <v>5.9880000000000003E-3</v>
      </c>
      <c r="E4" s="2229" t="s">
        <v>157</v>
      </c>
      <c r="F4" s="2230"/>
      <c r="G4" s="227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EuM_Spengler_25</v>
      </c>
      <c r="J4" s="89"/>
      <c r="K4" s="1941"/>
    </row>
    <row r="5" spans="1:16" x14ac:dyDescent="0.5">
      <c r="A5" s="2288" t="s">
        <v>745</v>
      </c>
      <c r="B5" s="2290" t="s">
        <v>173</v>
      </c>
      <c r="C5" s="2290" t="s">
        <v>91</v>
      </c>
      <c r="D5" s="2283" t="s">
        <v>127</v>
      </c>
      <c r="E5" s="2290" t="s">
        <v>113</v>
      </c>
      <c r="F5" s="2283" t="s">
        <v>71</v>
      </c>
      <c r="G5" s="2272"/>
      <c r="H5" s="256" t="s">
        <v>279</v>
      </c>
      <c r="I5" s="97" t="str">
        <f ca="1">IFERROR(TEXT(B4,"TT.MM.JJJJ"),"Nicht auslesbar!!")</f>
        <v>01.01.2025</v>
      </c>
      <c r="J5" s="89"/>
      <c r="K5" s="1941"/>
    </row>
    <row r="6" spans="1:16" x14ac:dyDescent="0.5">
      <c r="A6" s="2289"/>
      <c r="B6" s="2291"/>
      <c r="C6" s="2291"/>
      <c r="D6" s="2284"/>
      <c r="E6" s="2291"/>
      <c r="F6" s="2284"/>
      <c r="G6" s="2272"/>
      <c r="H6" s="257" t="s">
        <v>281</v>
      </c>
      <c r="I6" s="191">
        <f ca="1">IFERROR(TODAY()-B4,99999999)</f>
        <v>13</v>
      </c>
      <c r="J6" s="395"/>
      <c r="K6" s="186"/>
    </row>
    <row r="7" spans="1:16" x14ac:dyDescent="0.5">
      <c r="A7" s="104" t="str">
        <f ca="1">INDIRECT(CONCATENATE("[",$I$2,".xlsx]",$I$4,"!A7"))</f>
        <v>LG T Techniker</v>
      </c>
      <c r="B7" s="11">
        <f ca="1">INDIRECT(CONCATENATE("[",$I$2,".xlsx]",$I$4,"!B7"))</f>
        <v>4070.72</v>
      </c>
      <c r="C7" s="105" t="str">
        <f ca="1">INDIRECT(CONCATENATE("[",$I$2,".xlsx]",$I$4,"!C7"))</f>
        <v>LG T</v>
      </c>
      <c r="D7" s="118">
        <f t="shared" ref="D7:D27" ca="1" si="0">B7*$D$4</f>
        <v>24.38</v>
      </c>
      <c r="E7" s="121">
        <f ca="1">INDIRECT(CONCATENATE("[",$I$2,".xlsx]",$I$4,"!E7"))</f>
        <v>0.15</v>
      </c>
      <c r="F7" s="118">
        <f ca="1">D7*E7</f>
        <v>3.66</v>
      </c>
      <c r="G7" s="2272"/>
      <c r="J7" s="255"/>
    </row>
    <row r="8" spans="1:16" x14ac:dyDescent="0.5">
      <c r="A8" s="104" t="str">
        <f ca="1">INDIRECT(CONCATENATE("[",$I$2,".xlsx]",$I$4,"!A8"))</f>
        <v>LG 1 Spitzenfacharbeiter</v>
      </c>
      <c r="B8" s="11">
        <f ca="1">INDIRECT(CONCATENATE("[",$I$2,".xlsx]",$I$4,"!B8"))</f>
        <v>3726.84</v>
      </c>
      <c r="C8" s="105" t="str">
        <f ca="1">INDIRECT(CONCATENATE("[",$I$2,".xlsx]",$I$4,"!C8"))</f>
        <v>LG 1</v>
      </c>
      <c r="D8" s="118">
        <f t="shared" ca="1" si="0"/>
        <v>22.32</v>
      </c>
      <c r="E8" s="121">
        <f ca="1">INDIRECT(CONCATENATE("[",$I$2,".xlsx]",$I$4,"!E8"))</f>
        <v>0.15</v>
      </c>
      <c r="F8" s="118">
        <f t="shared" ref="F8:F27" ca="1" si="1">D8*E8</f>
        <v>3.35</v>
      </c>
      <c r="G8" s="2272"/>
      <c r="J8" s="255"/>
    </row>
    <row r="9" spans="1:16" ht="15.75" customHeight="1" x14ac:dyDescent="0.5">
      <c r="A9" s="104" t="str">
        <f ca="1">INDIRECT(CONCATENATE("[",$I$2,".xlsx]",$I$4,"!A9"))</f>
        <v>LG 2 Qualifizierter Facharbeiter</v>
      </c>
      <c r="B9" s="11">
        <f ca="1">INDIRECT(CONCATENATE("[",$I$2,".xlsx]",$I$4,"!B9"))</f>
        <v>3324.38</v>
      </c>
      <c r="C9" s="105" t="str">
        <f ca="1">INDIRECT(CONCATENATE("[",$I$2,".xlsx]",$I$4,"!C9"))</f>
        <v>LG 2</v>
      </c>
      <c r="D9" s="118">
        <f t="shared" ca="1" si="0"/>
        <v>19.91</v>
      </c>
      <c r="E9" s="121">
        <f ca="1">INDIRECT(CONCATENATE("[",$I$2,".xlsx]",$I$4,"!E9"))</f>
        <v>0.15</v>
      </c>
      <c r="F9" s="118">
        <f t="shared" ca="1" si="1"/>
        <v>2.99</v>
      </c>
      <c r="G9" s="2272"/>
      <c r="H9" s="253" t="s">
        <v>280</v>
      </c>
      <c r="I9" s="97" t="str">
        <f ca="1">IFERROR(TEXT(B134,"TT.MM.JJJJ"),"Nicht auslesbar!!")</f>
        <v>01.01.2025</v>
      </c>
      <c r="N9" s="1144"/>
      <c r="P9" s="1144"/>
    </row>
    <row r="10" spans="1:16" ht="15.75" customHeight="1" x14ac:dyDescent="0.5">
      <c r="A10" s="104" t="str">
        <f ca="1">INDIRECT(CONCATENATE("[",$I$2,".xlsx]",$I$4,"!A10"))</f>
        <v xml:space="preserve">LG 3 Facharbeiter </v>
      </c>
      <c r="B10" s="11">
        <f ca="1">INDIRECT(CONCATENATE("[",$I$2,".xlsx]",$I$4,"!B10"))</f>
        <v>2885.37</v>
      </c>
      <c r="C10" s="105" t="str">
        <f ca="1">INDIRECT(CONCATENATE("[",$I$2,".xlsx]",$I$4,"!C10"))</f>
        <v>LG 3</v>
      </c>
      <c r="D10" s="118">
        <f t="shared" ca="1" si="0"/>
        <v>17.28</v>
      </c>
      <c r="E10" s="121">
        <f ca="1">INDIRECT(CONCATENATE("[",$I$2,".xlsx]",$I$4,"!E10"))</f>
        <v>0.15</v>
      </c>
      <c r="F10" s="118">
        <f t="shared" ca="1" si="1"/>
        <v>2.59</v>
      </c>
      <c r="G10" s="2273"/>
      <c r="H10" s="257" t="s">
        <v>281</v>
      </c>
      <c r="I10" s="191">
        <f ca="1">IFERROR(TODAY()-B134,999999999)</f>
        <v>13</v>
      </c>
    </row>
    <row r="11" spans="1:16" ht="15.75" customHeight="1" x14ac:dyDescent="0.5">
      <c r="A11" s="104" t="str">
        <f ca="1">INDIRECT(CONCATENATE("[",$I$2,".xlsx]",$I$4,"!A11"))</f>
        <v>LG 4 Besonders qualifizierter Arbeitnehmer</v>
      </c>
      <c r="B11" s="11">
        <f ca="1">INDIRECT(CONCATENATE("[",$I$2,".xlsx]",$I$4,"!B11"))</f>
        <v>2699.99</v>
      </c>
      <c r="C11" s="105" t="str">
        <f ca="1">INDIRECT(CONCATENATE("[",$I$2,".xlsx]",$I$4,"!C11"))</f>
        <v>LG 4</v>
      </c>
      <c r="D11" s="118">
        <f t="shared" ca="1" si="0"/>
        <v>16.170000000000002</v>
      </c>
      <c r="E11" s="121">
        <f ca="1">INDIRECT(CONCATENATE("[",$I$2,".xlsx]",$I$4,"!E11"))</f>
        <v>0.15</v>
      </c>
      <c r="F11" s="118">
        <f t="shared" ca="1" si="1"/>
        <v>2.4300000000000002</v>
      </c>
      <c r="G11" s="252"/>
      <c r="H11" s="2225"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2225"/>
      <c r="J11" s="2225"/>
    </row>
    <row r="12" spans="1:16" ht="15.75" customHeight="1" x14ac:dyDescent="0.5">
      <c r="A12" s="104" t="str">
        <f ca="1">INDIRECT(CONCATENATE("[",$I$2,".xlsx]",$I$4,"!A12"))</f>
        <v>LG 5 Qualifizierter Arbeitnehmer</v>
      </c>
      <c r="B12" s="11">
        <f ca="1">INDIRECT(CONCATENATE("[",$I$2,".xlsx]",$I$4,"!B12"))</f>
        <v>2570.7199999999998</v>
      </c>
      <c r="C12" s="105" t="str">
        <f ca="1">INDIRECT(CONCATENATE("[",$I$2,".xlsx]",$I$4,"!C12"))</f>
        <v>LG 5</v>
      </c>
      <c r="D12" s="118">
        <f t="shared" ca="1" si="0"/>
        <v>15.39</v>
      </c>
      <c r="E12" s="121">
        <f ca="1">INDIRECT(CONCATENATE("[",$I$2,".xlsx]",$I$4,"!E12"))</f>
        <v>0.15</v>
      </c>
      <c r="F12" s="118">
        <f t="shared" ca="1" si="1"/>
        <v>2.31</v>
      </c>
      <c r="G12" s="252"/>
      <c r="H12" s="2225"/>
      <c r="I12" s="2225"/>
      <c r="J12" s="2225"/>
      <c r="L12" s="1144"/>
      <c r="M12" s="1144"/>
      <c r="N12" s="1144"/>
      <c r="O12" s="1144"/>
      <c r="P12" s="1144" t="s">
        <v>987</v>
      </c>
    </row>
    <row r="13" spans="1:16" ht="15.75" customHeight="1" x14ac:dyDescent="0.5">
      <c r="A13" s="104" t="str">
        <f ca="1">INDIRECT(CONCATENATE("[",$I$2,".xlsx]",$I$4,"!A13"))</f>
        <v>LG 6 Arbeitnehmer mit Zweckausbildung</v>
      </c>
      <c r="B13" s="11">
        <f ca="1">INDIRECT(CONCATENATE("[",$I$2,".xlsx]",$I$4,"!B13"))</f>
        <v>2516.58</v>
      </c>
      <c r="C13" s="105" t="str">
        <f ca="1">INDIRECT(CONCATENATE("[",$I$2,".xlsx]",$I$4,"!C13"))</f>
        <v>LG 6</v>
      </c>
      <c r="D13" s="118">
        <f t="shared" ca="1" si="0"/>
        <v>15.07</v>
      </c>
      <c r="E13" s="121">
        <f ca="1">INDIRECT(CONCATENATE("[",$I$2,".xlsx]",$I$4,"!E13"))</f>
        <v>0.15</v>
      </c>
      <c r="F13" s="118">
        <f t="shared" ca="1" si="1"/>
        <v>2.2599999999999998</v>
      </c>
      <c r="H13" s="2225"/>
      <c r="I13" s="2225"/>
      <c r="J13" s="2225"/>
      <c r="L13" s="2222"/>
      <c r="M13" s="2222"/>
      <c r="N13" s="2222"/>
      <c r="O13" s="2222"/>
      <c r="P13" s="2222"/>
    </row>
    <row r="14" spans="1:16" ht="15.75" customHeight="1" x14ac:dyDescent="0.5">
      <c r="A14" s="104" t="str">
        <f ca="1">INDIRECT(CONCATENATE("[",$I$2,".xlsx]",$I$4,"!A14"))</f>
        <v>LG 7 Arbeitnehmer ohne Zweckausbildung</v>
      </c>
      <c r="B14" s="11">
        <f ca="1">INDIRECT(CONCATENATE("[",$I$2,".xlsx]",$I$4,"!B14"))</f>
        <v>2516.58</v>
      </c>
      <c r="C14" s="105" t="str">
        <f ca="1">INDIRECT(CONCATENATE("[",$I$2,".xlsx]",$I$4,"!C14"))</f>
        <v>LG 7</v>
      </c>
      <c r="D14" s="118">
        <f t="shared" ca="1" si="0"/>
        <v>15.07</v>
      </c>
      <c r="E14" s="121">
        <f ca="1">INDIRECT(CONCATENATE("[",$I$2,".xlsx]",$I$4,"!E14"))</f>
        <v>0.15</v>
      </c>
      <c r="F14" s="118">
        <f t="shared" ca="1" si="1"/>
        <v>2.2599999999999998</v>
      </c>
      <c r="G14" s="2221" t="str">
        <f>IFERROR(IF(_OK_KV?&lt;&gt;"OK_KV!",L13,""),"Quelldatei geöffnet? Vorhandenes Blatt ausgewählt? Zulässigen KollV verwendet (bei Verbandslizenzierung für Mitglieder)?")</f>
        <v/>
      </c>
      <c r="H14" s="2225"/>
      <c r="I14" s="2225"/>
      <c r="J14" s="2225"/>
    </row>
    <row r="15" spans="1:16" ht="15.75" customHeight="1" x14ac:dyDescent="0.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2221"/>
      <c r="H15" s="2225"/>
      <c r="I15" s="2225"/>
      <c r="J15" s="2225"/>
    </row>
    <row r="16" spans="1:16" ht="15.75" customHeight="1" x14ac:dyDescent="0.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2221"/>
      <c r="H16" s="2225"/>
      <c r="I16" s="2225"/>
      <c r="J16" s="2225"/>
    </row>
    <row r="17" spans="1:10" ht="15.75" customHeight="1" x14ac:dyDescent="0.5">
      <c r="A17" s="104" t="str">
        <f ca="1">INDIRECT(CONCATENATE("[",$I$2,".xlsx]",$I$4,"!A17"))</f>
        <v># eingetragene Werte prüfen</v>
      </c>
      <c r="B17" s="11">
        <f ca="1">INDIRECT(CONCATENATE("[",$I$2,".xlsx]",$I$4,"!B17"))</f>
        <v>0</v>
      </c>
      <c r="C17" s="105">
        <f ca="1">INDIRECT(CONCATENATE("[",$I$2,".xlsx]",$I$4,"!C17"))</f>
        <v>0</v>
      </c>
      <c r="D17" s="118">
        <f t="shared" ca="1" si="0"/>
        <v>0</v>
      </c>
      <c r="E17" s="121">
        <f ca="1">INDIRECT(CONCATENATE("[",$I$2,".xlsx]",$I$4,"!E17"))</f>
        <v>0</v>
      </c>
      <c r="F17" s="118">
        <f t="shared" ca="1" si="1"/>
        <v>0</v>
      </c>
      <c r="G17" s="2221"/>
      <c r="H17" s="2225"/>
      <c r="I17" s="2225"/>
      <c r="J17" s="2225"/>
    </row>
    <row r="18" spans="1:10" ht="15.75" customHeight="1" x14ac:dyDescent="0.5">
      <c r="A18" s="104" t="str">
        <f ca="1">INDIRECT(CONCATENATE("[",$I$2,".xlsx]",$I$4,"!A18"))</f>
        <v># AKV auf betriebliche Werte ändern!</v>
      </c>
      <c r="B18" s="11">
        <f ca="1">INDIRECT(CONCATENATE("[",$I$2,".xlsx]",$I$4,"!B18"))</f>
        <v>0</v>
      </c>
      <c r="C18" s="105">
        <f ca="1">INDIRECT(CONCATENATE("[",$I$2,".xlsx]",$I$4,"!C18"))</f>
        <v>0</v>
      </c>
      <c r="D18" s="118">
        <f t="shared" ca="1" si="0"/>
        <v>0</v>
      </c>
      <c r="E18" s="121">
        <f ca="1">INDIRECT(CONCATENATE("[",$I$2,".xlsx]",$I$4,"!E18"))</f>
        <v>0</v>
      </c>
      <c r="F18" s="118">
        <f t="shared" ca="1" si="1"/>
        <v>0</v>
      </c>
      <c r="G18" s="2221"/>
      <c r="H18" s="2225"/>
      <c r="I18" s="2225"/>
      <c r="J18" s="2225"/>
    </row>
    <row r="19" spans="1:10" x14ac:dyDescent="0.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2221"/>
      <c r="H19" s="2225"/>
      <c r="I19" s="2225"/>
      <c r="J19" s="2225"/>
    </row>
    <row r="20" spans="1:10" x14ac:dyDescent="0.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2221"/>
      <c r="H20" s="2225"/>
      <c r="I20" s="2225"/>
      <c r="J20" s="2225"/>
    </row>
    <row r="21" spans="1:10" x14ac:dyDescent="0.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2221"/>
      <c r="H21" s="2225"/>
      <c r="I21" s="2225"/>
      <c r="J21" s="2225"/>
    </row>
    <row r="22" spans="1:10" x14ac:dyDescent="0.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2221"/>
    </row>
    <row r="23" spans="1:10" x14ac:dyDescent="0.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2221"/>
    </row>
    <row r="24" spans="1:10" x14ac:dyDescent="0.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2221"/>
    </row>
    <row r="25" spans="1:10" x14ac:dyDescent="0.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2221"/>
    </row>
    <row r="26" spans="1:10" x14ac:dyDescent="0.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2221"/>
    </row>
    <row r="27" spans="1:10" x14ac:dyDescent="0.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2221"/>
    </row>
    <row r="28" spans="1:10" x14ac:dyDescent="0.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2221"/>
    </row>
    <row r="29" spans="1:10" x14ac:dyDescent="0.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2221"/>
    </row>
    <row r="30" spans="1:10" x14ac:dyDescent="0.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2221"/>
    </row>
    <row r="31" spans="1:10" x14ac:dyDescent="0.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2221"/>
    </row>
    <row r="32" spans="1:10" x14ac:dyDescent="0.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2221"/>
    </row>
    <row r="33" spans="1:7" x14ac:dyDescent="0.5">
      <c r="A33" s="885"/>
      <c r="B33" s="892"/>
      <c r="C33" s="898"/>
      <c r="D33" s="899">
        <f ca="1">B33*D4</f>
        <v>0</v>
      </c>
      <c r="E33" s="897"/>
      <c r="F33" s="899">
        <f>B33*E33</f>
        <v>0</v>
      </c>
      <c r="G33" s="2221"/>
    </row>
    <row r="34" spans="1:7" x14ac:dyDescent="0.5">
      <c r="A34" s="2285" t="s">
        <v>149</v>
      </c>
      <c r="B34" s="2286"/>
      <c r="C34" s="2286"/>
      <c r="D34" s="2286"/>
      <c r="E34" s="2286"/>
      <c r="F34" s="2287"/>
    </row>
    <row r="35" spans="1:7" x14ac:dyDescent="0.5">
      <c r="A35" s="2292" t="s">
        <v>734</v>
      </c>
      <c r="B35" s="2293"/>
      <c r="C35" s="2293"/>
      <c r="D35" s="2293"/>
      <c r="E35" s="2293"/>
      <c r="F35" s="2294"/>
    </row>
    <row r="36" spans="1:7" ht="18" customHeight="1" x14ac:dyDescent="0.5">
      <c r="A36" s="2236" t="s">
        <v>429</v>
      </c>
      <c r="B36" s="2237"/>
      <c r="C36" s="2238"/>
      <c r="E36" s="2212" t="s">
        <v>733</v>
      </c>
      <c r="F36" s="2213"/>
    </row>
    <row r="37" spans="1:7" ht="15.75" customHeight="1" x14ac:dyDescent="0.5">
      <c r="A37" s="8" t="s">
        <v>131</v>
      </c>
      <c r="B37" s="9"/>
      <c r="C37" s="173">
        <f ca="1">INDIRECT(CONCATENATE("[",$I$2,".xlsx]",$I$4,"!C37"))</f>
        <v>38.5</v>
      </c>
      <c r="E37" s="2214"/>
      <c r="F37" s="2215"/>
    </row>
    <row r="38" spans="1:7" x14ac:dyDescent="0.5">
      <c r="A38" s="106" t="s">
        <v>174</v>
      </c>
      <c r="B38" s="107" t="s">
        <v>175</v>
      </c>
      <c r="C38" s="107" t="s">
        <v>70</v>
      </c>
      <c r="E38" s="2214"/>
      <c r="F38" s="2215"/>
    </row>
    <row r="39" spans="1:7" x14ac:dyDescent="0.5">
      <c r="A39" s="104" t="str">
        <f ca="1">INDIRECT(CONCATENATE("[",$I$2,".xlsx]",$I$4,"!A39"))</f>
        <v>Zeitausgleich 25%</v>
      </c>
      <c r="B39" s="111">
        <f ca="1">INDIRECT(CONCATENATE("[",$I$2,".xlsx]",$I$4,"!B39"))</f>
        <v>1.17</v>
      </c>
      <c r="C39" s="113">
        <f ca="1">INDIRECT(CONCATENATE("[",$I$2,".xlsx]",$I$4,"!C39"))</f>
        <v>0.25</v>
      </c>
      <c r="E39" s="2214"/>
      <c r="F39" s="2215"/>
    </row>
    <row r="40" spans="1:7" x14ac:dyDescent="0.5">
      <c r="A40" s="104" t="str">
        <f ca="1">INDIRECT(CONCATENATE("[",$I$2,".xlsx]",$I$4,"!A40"))</f>
        <v>Zeitausgleich 50%</v>
      </c>
      <c r="B40" s="112">
        <f ca="1">INDIRECT(CONCATENATE("[",$I$2,".xlsx]",$I$4,"!B40"))</f>
        <v>1.17</v>
      </c>
      <c r="C40" s="113">
        <f ca="1">INDIRECT(CONCATENATE("[",$I$2,".xlsx]",$I$4,"!C40"))</f>
        <v>0.5</v>
      </c>
      <c r="E40" s="2214"/>
      <c r="F40" s="2215"/>
    </row>
    <row r="41" spans="1:7" x14ac:dyDescent="0.5">
      <c r="A41" s="104" t="str">
        <f ca="1">INDIRECT(CONCATENATE("[",$I$2,".xlsx]",$I$4,"!A41"))</f>
        <v>Überstunde 50%</v>
      </c>
      <c r="B41" s="112">
        <f ca="1">INDIRECT(CONCATENATE("[",$I$2,".xlsx]",$I$4,"!B41"))</f>
        <v>1.17</v>
      </c>
      <c r="C41" s="113">
        <f ca="1">INDIRECT(CONCATENATE("[",$I$2,".xlsx]",$I$4,"!C41"))</f>
        <v>0.5</v>
      </c>
      <c r="E41" s="2214"/>
      <c r="F41" s="2215"/>
    </row>
    <row r="42" spans="1:7" x14ac:dyDescent="0.5">
      <c r="A42" s="104" t="str">
        <f ca="1">INDIRECT(CONCATENATE("[",$I$2,".xlsx]",$I$4,"!A42"))</f>
        <v>Überstunde 75%</v>
      </c>
      <c r="B42" s="112">
        <f ca="1">INDIRECT(CONCATENATE("[",$I$2,".xlsx]",$I$4,"!B42"))</f>
        <v>1.17</v>
      </c>
      <c r="C42" s="113">
        <f ca="1">INDIRECT(CONCATENATE("[",$I$2,".xlsx]",$I$4,"!C42"))</f>
        <v>0.75</v>
      </c>
      <c r="E42" s="2214"/>
      <c r="F42" s="2215"/>
    </row>
    <row r="43" spans="1:7" x14ac:dyDescent="0.5">
      <c r="A43" s="104" t="str">
        <f ca="1">INDIRECT(CONCATENATE("[",$I$2,".xlsx]",$I$4,"!A43"))</f>
        <v>Überstunde 100%</v>
      </c>
      <c r="B43" s="112">
        <f ca="1">INDIRECT(CONCATENATE("[",$I$2,".xlsx]",$I$4,"!B43"))</f>
        <v>1.17</v>
      </c>
      <c r="C43" s="113">
        <f ca="1">INDIRECT(CONCATENATE("[",$I$2,".xlsx]",$I$4,"!C43"))</f>
        <v>1</v>
      </c>
      <c r="E43" s="2214"/>
      <c r="F43" s="2215"/>
    </row>
    <row r="44" spans="1:7" x14ac:dyDescent="0.5">
      <c r="A44" s="104">
        <f ca="1">INDIRECT(CONCATENATE("[",$I$2,".xlsx]",$I$4,"!A44"))</f>
        <v>0</v>
      </c>
      <c r="B44" s="112">
        <f ca="1">INDIRECT(CONCATENATE("[",$I$2,".xlsx]",$I$4,"!B44"))</f>
        <v>0</v>
      </c>
      <c r="C44" s="113">
        <f ca="1">INDIRECT(CONCATENATE("[",$I$2,".xlsx]",$I$4,"!C44"))</f>
        <v>0</v>
      </c>
      <c r="E44" s="2214"/>
      <c r="F44" s="2215"/>
    </row>
    <row r="45" spans="1:7" x14ac:dyDescent="0.5">
      <c r="A45" s="104">
        <f ca="1">INDIRECT(CONCATENATE("[",$I$2,".xlsx]",$I$4,"!A45"))</f>
        <v>0</v>
      </c>
      <c r="B45" s="112">
        <f ca="1">INDIRECT(CONCATENATE("[",$I$2,".xlsx]",$I$4,"!B45"))</f>
        <v>0</v>
      </c>
      <c r="C45" s="113">
        <f ca="1">INDIRECT(CONCATENATE("[",$I$2,".xlsx]",$I$4,"!C45"))</f>
        <v>0</v>
      </c>
      <c r="E45" s="2214"/>
      <c r="F45" s="2215"/>
    </row>
    <row r="46" spans="1:7" x14ac:dyDescent="0.5">
      <c r="A46" s="104">
        <f ca="1">INDIRECT(CONCATENATE("[",$I$2,".xlsx]",$I$4,"!A46"))</f>
        <v>0</v>
      </c>
      <c r="B46" s="112">
        <f ca="1">INDIRECT(CONCATENATE("[",$I$2,".xlsx]",$I$4,"!B46"))</f>
        <v>0</v>
      </c>
      <c r="C46" s="113">
        <f ca="1">INDIRECT(CONCATENATE("[",$I$2,".xlsx]",$I$4,"!C46"))</f>
        <v>0</v>
      </c>
      <c r="E46" s="2214"/>
      <c r="F46" s="2215"/>
    </row>
    <row r="47" spans="1:7" x14ac:dyDescent="0.5">
      <c r="A47" s="104">
        <f ca="1">INDIRECT(CONCATENATE("[",$I$2,".xlsx]",$I$4,"!A47"))</f>
        <v>0</v>
      </c>
      <c r="B47" s="112">
        <f ca="1">INDIRECT(CONCATENATE("[",$I$2,".xlsx]",$I$4,"!B47"))</f>
        <v>0</v>
      </c>
      <c r="C47" s="113">
        <f ca="1">INDIRECT(CONCATENATE("[",$I$2,".xlsx]",$I$4,"!C47"))</f>
        <v>0</v>
      </c>
      <c r="E47" s="2214"/>
      <c r="F47" s="2215"/>
    </row>
    <row r="48" spans="1:7" x14ac:dyDescent="0.5">
      <c r="A48" s="888"/>
      <c r="B48" s="889"/>
      <c r="C48" s="896"/>
      <c r="E48" s="2214"/>
      <c r="F48" s="2215"/>
    </row>
    <row r="49" spans="1:6" x14ac:dyDescent="0.5">
      <c r="A49" s="106" t="s">
        <v>176</v>
      </c>
      <c r="B49" s="107" t="s">
        <v>175</v>
      </c>
      <c r="C49" s="107" t="s">
        <v>70</v>
      </c>
      <c r="E49" s="2214"/>
      <c r="F49" s="2215"/>
    </row>
    <row r="50" spans="1:6" x14ac:dyDescent="0.5">
      <c r="A50" s="104" t="str">
        <f ca="1">INDIRECT(CONCATENATE("[",$I$2,".xlsx]",$I$4,"!A50"))</f>
        <v>Sonntagszuschlag (Basis=Lohn)</v>
      </c>
      <c r="B50" s="112">
        <f ca="1">INDIRECT(CONCATENATE("[",$I$2,".xlsx]",$I$4,"!B50"))</f>
        <v>1</v>
      </c>
      <c r="C50" s="113">
        <f ca="1">INDIRECT(CONCATENATE("[",$I$2,".xlsx]",$I$4,"!C50"))</f>
        <v>1</v>
      </c>
      <c r="E50" s="2214"/>
      <c r="F50" s="2215"/>
    </row>
    <row r="51" spans="1:6" x14ac:dyDescent="0.5">
      <c r="A51" s="104">
        <f ca="1">INDIRECT(CONCATENATE("[",$I$2,".xlsx]",$I$4,"!A51"))</f>
        <v>0</v>
      </c>
      <c r="B51" s="112">
        <f ca="1">INDIRECT(CONCATENATE("[",$I$2,".xlsx]",$I$4,"!B51"))</f>
        <v>0</v>
      </c>
      <c r="C51" s="113">
        <f ca="1">INDIRECT(CONCATENATE("[",$I$2,".xlsx]",$I$4,"!C51"))</f>
        <v>0</v>
      </c>
      <c r="E51" s="2214"/>
      <c r="F51" s="2215"/>
    </row>
    <row r="52" spans="1:6" x14ac:dyDescent="0.5">
      <c r="A52" s="104">
        <f ca="1">INDIRECT(CONCATENATE("[",$I$2,".xlsx]",$I$4,"!A52"))</f>
        <v>0</v>
      </c>
      <c r="B52" s="112">
        <f ca="1">INDIRECT(CONCATENATE("[",$I$2,".xlsx]",$I$4,"!B52"))</f>
        <v>0</v>
      </c>
      <c r="C52" s="113">
        <f ca="1">INDIRECT(CONCATENATE("[",$I$2,".xlsx]",$I$4,"!C52"))</f>
        <v>0</v>
      </c>
      <c r="E52" s="2214"/>
      <c r="F52" s="2215"/>
    </row>
    <row r="53" spans="1:6" x14ac:dyDescent="0.5">
      <c r="A53" s="104">
        <f ca="1">INDIRECT(CONCATENATE("[",$I$2,".xlsx]",$I$4,"!A53"))</f>
        <v>0</v>
      </c>
      <c r="B53" s="112">
        <f ca="1">INDIRECT(CONCATENATE("[",$I$2,".xlsx]",$I$4,"!B53"))</f>
        <v>0</v>
      </c>
      <c r="C53" s="113">
        <f ca="1">INDIRECT(CONCATENATE("[",$I$2,".xlsx]",$I$4,"!C53"))</f>
        <v>0</v>
      </c>
      <c r="E53" s="2214"/>
      <c r="F53" s="2215"/>
    </row>
    <row r="54" spans="1:6" x14ac:dyDescent="0.5">
      <c r="A54" s="104">
        <f ca="1">INDIRECT(CONCATENATE("[",$I$2,".xlsx]",$I$4,"!A54"))</f>
        <v>0</v>
      </c>
      <c r="B54" s="112">
        <f ca="1">INDIRECT(CONCATENATE("[",$I$2,".xlsx]",$I$4,"!B54"))</f>
        <v>0</v>
      </c>
      <c r="C54" s="113">
        <f ca="1">INDIRECT(CONCATENATE("[",$I$2,".xlsx]",$I$4,"!C54"))</f>
        <v>0</v>
      </c>
      <c r="E54" s="2216"/>
      <c r="F54" s="2217"/>
    </row>
    <row r="55" spans="1:6" x14ac:dyDescent="0.5">
      <c r="A55" s="885"/>
      <c r="B55" s="886"/>
      <c r="C55" s="887"/>
      <c r="D55" s="119"/>
      <c r="E55" s="882"/>
      <c r="F55" s="850"/>
    </row>
    <row r="56" spans="1:6" x14ac:dyDescent="0.5">
      <c r="A56" s="434" t="s">
        <v>194</v>
      </c>
      <c r="B56" s="883" t="s">
        <v>195</v>
      </c>
      <c r="C56" s="884"/>
      <c r="F56" s="89"/>
    </row>
    <row r="57" spans="1:6" x14ac:dyDescent="0.5">
      <c r="A57" s="104" t="str">
        <f ca="1">INDIRECT(CONCATENATE("[",$I$2,".xlsx]",$I$4,"!A56"))</f>
        <v>Nachtarbeiteit, 22-6 Uhr</v>
      </c>
      <c r="B57" s="249">
        <f ca="1">INDIRECT(CONCATENATE("[",$I$2,".xlsx]",$I$4,"!B56"))</f>
        <v>3.1309999999999998</v>
      </c>
      <c r="C57" s="108"/>
      <c r="F57" s="89"/>
    </row>
    <row r="58" spans="1:6" x14ac:dyDescent="0.5">
      <c r="A58" s="104" t="str">
        <f ca="1">INDIRECT(CONCATENATE("[",$I$2,".xlsx]",$I$4,"!A57"))</f>
        <v>Schichtzulage (2. Schicht)</v>
      </c>
      <c r="B58" s="249">
        <f ca="1">INDIRECT(CONCATENATE("[",$I$2,".xlsx]",$I$4,"!B57"))</f>
        <v>1.042</v>
      </c>
      <c r="C58" s="109"/>
      <c r="F58" s="89"/>
    </row>
    <row r="59" spans="1:6" x14ac:dyDescent="0.5">
      <c r="A59" s="104" t="str">
        <f ca="1">INDIRECT(CONCATENATE("[",$I$2,".xlsx]",$I$4,"!A58"))</f>
        <v>Schichtzulage (3. Schicht)</v>
      </c>
      <c r="B59" s="249">
        <f ca="1">INDIRECT(CONCATENATE("[",$I$2,".xlsx]",$I$4,"!B58"))</f>
        <v>3.1309999999999998</v>
      </c>
      <c r="C59" s="109"/>
      <c r="F59" s="89"/>
    </row>
    <row r="60" spans="1:6" x14ac:dyDescent="0.5">
      <c r="A60" s="104">
        <f ca="1">INDIRECT(CONCATENATE("[",$I$2,".xlsx]",$I$4,"!A59"))</f>
        <v>0</v>
      </c>
      <c r="B60" s="249">
        <f ca="1">INDIRECT(CONCATENATE("[",$I$2,".xlsx]",$I$4,"!B59"))</f>
        <v>0</v>
      </c>
      <c r="C60" s="109"/>
      <c r="F60" s="89"/>
    </row>
    <row r="61" spans="1:6" x14ac:dyDescent="0.5">
      <c r="A61" s="104">
        <f ca="1">INDIRECT(CONCATENATE("[",$I$2,".xlsx]",$I$4,"!A60"))</f>
        <v>0</v>
      </c>
      <c r="B61" s="249">
        <f ca="1">INDIRECT(CONCATENATE("[",$I$2,".xlsx]",$I$4,"!B60"))</f>
        <v>0</v>
      </c>
      <c r="C61" s="110"/>
      <c r="F61" s="89"/>
    </row>
    <row r="62" spans="1:6" x14ac:dyDescent="0.5">
      <c r="A62" s="885"/>
      <c r="B62" s="890"/>
      <c r="C62" s="110"/>
      <c r="F62" s="89"/>
    </row>
    <row r="63" spans="1:6" x14ac:dyDescent="0.5">
      <c r="A63" s="58" t="s">
        <v>129</v>
      </c>
      <c r="B63" s="96"/>
      <c r="C63" s="97"/>
      <c r="F63" s="89"/>
    </row>
    <row r="64" spans="1:6" x14ac:dyDescent="0.5">
      <c r="A64" s="45" t="s">
        <v>158</v>
      </c>
      <c r="C64" s="89"/>
      <c r="F64" s="89"/>
    </row>
    <row r="65" spans="1:6" x14ac:dyDescent="0.5">
      <c r="A65" s="46" t="s">
        <v>150</v>
      </c>
      <c r="B65" s="98"/>
      <c r="C65" s="99"/>
      <c r="F65" s="89"/>
    </row>
    <row r="66" spans="1:6" x14ac:dyDescent="0.5">
      <c r="A66" s="2253"/>
      <c r="B66" s="2254"/>
      <c r="C66" s="2254"/>
      <c r="F66" s="89"/>
    </row>
    <row r="67" spans="1:6" x14ac:dyDescent="0.5">
      <c r="A67" s="2255"/>
      <c r="B67" s="2256"/>
      <c r="C67" s="2256"/>
      <c r="F67" s="89"/>
    </row>
    <row r="68" spans="1:6" ht="15.75" customHeight="1" x14ac:dyDescent="0.5">
      <c r="A68" s="2236" t="s">
        <v>430</v>
      </c>
      <c r="B68" s="2237"/>
      <c r="C68" s="2238"/>
      <c r="D68" s="2277" t="s">
        <v>746</v>
      </c>
      <c r="E68" s="2278"/>
      <c r="F68" s="2279"/>
    </row>
    <row r="69" spans="1:6" x14ac:dyDescent="0.5">
      <c r="A69" s="114" t="s">
        <v>88</v>
      </c>
      <c r="B69" s="159" t="s">
        <v>90</v>
      </c>
      <c r="C69" s="115" t="s">
        <v>110</v>
      </c>
      <c r="D69" s="2277"/>
      <c r="E69" s="2278"/>
      <c r="F69" s="2279"/>
    </row>
    <row r="70" spans="1:6" x14ac:dyDescent="0.5">
      <c r="A70" s="116" t="str">
        <f ca="1">INDIRECT(CONCATENATE("[",$I$2,".xlsx]",$I$4,"!A68"))</f>
        <v>Vorarbeiterzuschlag</v>
      </c>
      <c r="B70" s="1212">
        <f ca="1">INDIRECT(CONCATENATE("[",$I$2,".xlsx]",$I$4,"!B68"))</f>
        <v>0.1</v>
      </c>
      <c r="C70" s="249">
        <f ca="1">INDIRECT(CONCATENATE("[",$I$2,".xlsx]",$I$4,"!C68"))</f>
        <v>0</v>
      </c>
      <c r="D70" s="2277"/>
      <c r="E70" s="2278"/>
      <c r="F70" s="2279"/>
    </row>
    <row r="71" spans="1:6" x14ac:dyDescent="0.5">
      <c r="A71" s="104" t="str">
        <f ca="1">INDIRECT(CONCATENATE("[",$I$2,".xlsx]",$I$4,"!A69"))</f>
        <v>Schmutzzulage</v>
      </c>
      <c r="B71" s="1212">
        <f ca="1">INDIRECT(CONCATENATE("[",$I$2,".xlsx]",$I$4,"!B69"))</f>
        <v>0</v>
      </c>
      <c r="C71" s="249">
        <f ca="1">INDIRECT(CONCATENATE("[",$I$2,".xlsx]",$I$4,"!C69"))</f>
        <v>0.73</v>
      </c>
      <c r="D71" s="2277"/>
      <c r="E71" s="2278"/>
      <c r="F71" s="2279"/>
    </row>
    <row r="72" spans="1:6" x14ac:dyDescent="0.5">
      <c r="A72" s="104" t="str">
        <f ca="1">INDIRECT(CONCATENATE("[",$I$2,".xlsx]",$I$4,"!A70"))</f>
        <v>Erschwerniszulage</v>
      </c>
      <c r="B72" s="1212">
        <f ca="1">INDIRECT(CONCATENATE("[",$I$2,".xlsx]",$I$4,"!B70"))</f>
        <v>0</v>
      </c>
      <c r="C72" s="249">
        <f ca="1">INDIRECT(CONCATENATE("[",$I$2,".xlsx]",$I$4,"!C70"))</f>
        <v>0.73</v>
      </c>
      <c r="D72" s="161"/>
      <c r="F72" s="89"/>
    </row>
    <row r="73" spans="1:6" x14ac:dyDescent="0.5">
      <c r="A73" s="104" t="str">
        <f ca="1">INDIRECT(CONCATENATE("[",$I$2,".xlsx]",$I$4,"!A71"))</f>
        <v>Gefahrenzulage</v>
      </c>
      <c r="B73" s="1212">
        <f ca="1">INDIRECT(CONCATENATE("[",$I$2,".xlsx]",$I$4,"!B71"))</f>
        <v>0</v>
      </c>
      <c r="C73" s="249">
        <f ca="1">INDIRECT(CONCATENATE("[",$I$2,".xlsx]",$I$4,"!C71"))</f>
        <v>0.73</v>
      </c>
      <c r="D73" s="161"/>
      <c r="F73" s="89"/>
    </row>
    <row r="74" spans="1:6" x14ac:dyDescent="0.5">
      <c r="A74" s="104">
        <f ca="1">INDIRECT(CONCATENATE("[",$I$2,".xlsx]",$I$4,"!A72"))</f>
        <v>0</v>
      </c>
      <c r="B74" s="1212">
        <f ca="1">INDIRECT(CONCATENATE("[",$I$2,".xlsx]",$I$4,"!B72"))</f>
        <v>0</v>
      </c>
      <c r="C74" s="249">
        <f ca="1">INDIRECT(CONCATENATE("[",$I$2,".xlsx]",$I$4,"!C72"))</f>
        <v>0</v>
      </c>
      <c r="D74" s="161"/>
      <c r="F74" s="89"/>
    </row>
    <row r="75" spans="1:6" x14ac:dyDescent="0.5">
      <c r="A75" s="104">
        <f ca="1">INDIRECT(CONCATENATE("[",$I$2,".xlsx]",$I$4,"!A73"))</f>
        <v>0</v>
      </c>
      <c r="B75" s="1212">
        <f ca="1">INDIRECT(CONCATENATE("[",$I$2,".xlsx]",$I$4,"!B73"))</f>
        <v>0</v>
      </c>
      <c r="C75" s="249">
        <f ca="1">INDIRECT(CONCATENATE("[",$I$2,".xlsx]",$I$4,"!C73"))</f>
        <v>0</v>
      </c>
      <c r="D75" s="161"/>
      <c r="E75" s="161"/>
      <c r="F75" s="89"/>
    </row>
    <row r="76" spans="1:6" x14ac:dyDescent="0.5">
      <c r="A76" s="104">
        <f ca="1">INDIRECT(CONCATENATE("[",$I$2,".xlsx]",$I$4,"!A74"))</f>
        <v>0</v>
      </c>
      <c r="B76" s="1212">
        <f ca="1">INDIRECT(CONCATENATE("[",$I$2,".xlsx]",$I$4,"!B74"))</f>
        <v>0</v>
      </c>
      <c r="C76" s="249">
        <f ca="1">INDIRECT(CONCATENATE("[",$I$2,".xlsx]",$I$4,"!C74"))</f>
        <v>0</v>
      </c>
      <c r="D76" s="161"/>
      <c r="F76" s="89"/>
    </row>
    <row r="77" spans="1:6" x14ac:dyDescent="0.5">
      <c r="A77" s="104">
        <f ca="1">INDIRECT(CONCATENATE("[",$I$2,".xlsx]",$I$4,"!A75"))</f>
        <v>0</v>
      </c>
      <c r="B77" s="1212">
        <f ca="1">INDIRECT(CONCATENATE("[",$I$2,".xlsx]",$I$4,"!B75"))</f>
        <v>0</v>
      </c>
      <c r="C77" s="249">
        <f ca="1">INDIRECT(CONCATENATE("[",$I$2,".xlsx]",$I$4,"!C75"))</f>
        <v>0</v>
      </c>
      <c r="D77" s="161"/>
      <c r="F77" s="89"/>
    </row>
    <row r="78" spans="1:6" x14ac:dyDescent="0.5">
      <c r="A78" s="104">
        <f ca="1">INDIRECT(CONCATENATE("[",$I$2,".xlsx]",$I$4,"!A76"))</f>
        <v>0</v>
      </c>
      <c r="B78" s="1212">
        <f ca="1">INDIRECT(CONCATENATE("[",$I$2,".xlsx]",$I$4,"!B76"))</f>
        <v>0</v>
      </c>
      <c r="C78" s="249">
        <f ca="1">INDIRECT(CONCATENATE("[",$I$2,".xlsx]",$I$4,"!C76"))</f>
        <v>0</v>
      </c>
      <c r="D78" s="161"/>
      <c r="F78" s="89"/>
    </row>
    <row r="79" spans="1:6" x14ac:dyDescent="0.5">
      <c r="A79" s="104">
        <f ca="1">INDIRECT(CONCATENATE("[",$I$2,".xlsx]",$I$4,"!A77"))</f>
        <v>0</v>
      </c>
      <c r="B79" s="1212">
        <f ca="1">INDIRECT(CONCATENATE("[",$I$2,".xlsx]",$I$4,"!B77"))</f>
        <v>0</v>
      </c>
      <c r="C79" s="249">
        <f ca="1">INDIRECT(CONCATENATE("[",$I$2,".xlsx]",$I$4,"!C77"))</f>
        <v>0</v>
      </c>
      <c r="D79" s="161"/>
      <c r="F79" s="89"/>
    </row>
    <row r="80" spans="1:6" x14ac:dyDescent="0.5">
      <c r="A80" s="104">
        <f ca="1">INDIRECT(CONCATENATE("[",$I$2,".xlsx]",$I$4,"!A78"))</f>
        <v>0</v>
      </c>
      <c r="B80" s="1212">
        <f ca="1">INDIRECT(CONCATENATE("[",$I$2,".xlsx]",$I$4,"!B78"))</f>
        <v>0</v>
      </c>
      <c r="C80" s="249">
        <f ca="1">INDIRECT(CONCATENATE("[",$I$2,".xlsx]",$I$4,"!C78"))</f>
        <v>0</v>
      </c>
      <c r="D80" s="161"/>
      <c r="F80" s="89"/>
    </row>
    <row r="81" spans="1:6" x14ac:dyDescent="0.5">
      <c r="A81" s="104">
        <f ca="1">INDIRECT(CONCATENATE("[",$I$2,".xlsx]",$I$4,"!A79"))</f>
        <v>0</v>
      </c>
      <c r="B81" s="1212">
        <f ca="1">INDIRECT(CONCATENATE("[",$I$2,".xlsx]",$I$4,"!B79"))</f>
        <v>0</v>
      </c>
      <c r="C81" s="249">
        <f ca="1">INDIRECT(CONCATENATE("[",$I$2,".xlsx]",$I$4,"!C79"))</f>
        <v>0</v>
      </c>
      <c r="D81" s="161"/>
      <c r="F81" s="89"/>
    </row>
    <row r="82" spans="1:6" x14ac:dyDescent="0.5">
      <c r="A82" s="104">
        <f ca="1">INDIRECT(CONCATENATE("[",$I$2,".xlsx]",$I$4,"!A80"))</f>
        <v>0</v>
      </c>
      <c r="B82" s="1212">
        <f ca="1">INDIRECT(CONCATENATE("[",$I$2,".xlsx]",$I$4,"!B80"))</f>
        <v>0</v>
      </c>
      <c r="C82" s="249">
        <f ca="1">INDIRECT(CONCATENATE("[",$I$2,".xlsx]",$I$4,"!C80"))</f>
        <v>0</v>
      </c>
      <c r="D82" s="161"/>
      <c r="F82" s="89"/>
    </row>
    <row r="83" spans="1:6" x14ac:dyDescent="0.5">
      <c r="A83" s="104">
        <f ca="1">INDIRECT(CONCATENATE("[",$I$2,".xlsx]",$I$4,"!A81"))</f>
        <v>0</v>
      </c>
      <c r="B83" s="1212">
        <f ca="1">INDIRECT(CONCATENATE("[",$I$2,".xlsx]",$I$4,"!B81"))</f>
        <v>0</v>
      </c>
      <c r="C83" s="249">
        <f ca="1">INDIRECT(CONCATENATE("[",$I$2,".xlsx]",$I$4,"!C81"))</f>
        <v>0</v>
      </c>
      <c r="D83" s="161"/>
      <c r="F83" s="89"/>
    </row>
    <row r="84" spans="1:6" x14ac:dyDescent="0.5">
      <c r="A84" s="104">
        <f ca="1">INDIRECT(CONCATENATE("[",$I$2,".xlsx]",$I$4,"!A82"))</f>
        <v>0</v>
      </c>
      <c r="B84" s="1212">
        <f ca="1">INDIRECT(CONCATENATE("[",$I$2,".xlsx]",$I$4,"!B82"))</f>
        <v>0</v>
      </c>
      <c r="C84" s="249">
        <f ca="1">INDIRECT(CONCATENATE("[",$I$2,".xlsx]",$I$4,"!C82"))</f>
        <v>0</v>
      </c>
      <c r="D84" s="161"/>
      <c r="F84" s="89"/>
    </row>
    <row r="85" spans="1:6" x14ac:dyDescent="0.5">
      <c r="A85" s="104">
        <f ca="1">INDIRECT(CONCATENATE("[",$I$2,".xlsx]",$I$4,"!A83"))</f>
        <v>0</v>
      </c>
      <c r="B85" s="1212">
        <f ca="1">INDIRECT(CONCATENATE("[",$I$2,".xlsx]",$I$4,"!B83"))</f>
        <v>0</v>
      </c>
      <c r="C85" s="249">
        <f ca="1">INDIRECT(CONCATENATE("[",$I$2,".xlsx]",$I$4,"!C83"))</f>
        <v>0</v>
      </c>
      <c r="D85" s="161"/>
      <c r="F85" s="89"/>
    </row>
    <row r="86" spans="1:6" x14ac:dyDescent="0.5">
      <c r="A86" s="104">
        <f ca="1">INDIRECT(CONCATENATE("[",$I$2,".xlsx]",$I$4,"!A84"))</f>
        <v>0</v>
      </c>
      <c r="B86" s="1212">
        <f ca="1">INDIRECT(CONCATENATE("[",$I$2,".xlsx]",$I$4,"!B84"))</f>
        <v>0</v>
      </c>
      <c r="C86" s="249">
        <f ca="1">INDIRECT(CONCATENATE("[",$I$2,".xlsx]",$I$4,"!C84"))</f>
        <v>0</v>
      </c>
      <c r="D86" s="161"/>
      <c r="F86" s="89"/>
    </row>
    <row r="87" spans="1:6" x14ac:dyDescent="0.5">
      <c r="A87" s="104">
        <f ca="1">INDIRECT(CONCATENATE("[",$I$2,".xlsx]",$I$4,"!A85"))</f>
        <v>0</v>
      </c>
      <c r="B87" s="1212">
        <f ca="1">INDIRECT(CONCATENATE("[",$I$2,".xlsx]",$I$4,"!B85"))</f>
        <v>0</v>
      </c>
      <c r="C87" s="249">
        <f ca="1">INDIRECT(CONCATENATE("[",$I$2,".xlsx]",$I$4,"!C85"))</f>
        <v>0</v>
      </c>
      <c r="D87" s="161"/>
      <c r="F87" s="89"/>
    </row>
    <row r="88" spans="1:6" x14ac:dyDescent="0.5">
      <c r="A88" s="104">
        <f ca="1">INDIRECT(CONCATENATE("[",$I$2,".xlsx]",$I$4,"!A86"))</f>
        <v>0</v>
      </c>
      <c r="B88" s="1212">
        <f ca="1">INDIRECT(CONCATENATE("[",$I$2,".xlsx]",$I$4,"!B86"))</f>
        <v>0</v>
      </c>
      <c r="C88" s="249">
        <f ca="1">INDIRECT(CONCATENATE("[",$I$2,".xlsx]",$I$4,"!C86"))</f>
        <v>0</v>
      </c>
      <c r="D88" s="161"/>
      <c r="F88" s="89"/>
    </row>
    <row r="89" spans="1:6" x14ac:dyDescent="0.5">
      <c r="A89" s="104">
        <f ca="1">INDIRECT(CONCATENATE("[",$I$2,".xlsx]",$I$4,"!A87"))</f>
        <v>0</v>
      </c>
      <c r="B89" s="1212">
        <f ca="1">INDIRECT(CONCATENATE("[",$I$2,".xlsx]",$I$4,"!B87"))</f>
        <v>0</v>
      </c>
      <c r="C89" s="249">
        <f ca="1">INDIRECT(CONCATENATE("[",$I$2,".xlsx]",$I$4,"!C87"))</f>
        <v>0</v>
      </c>
      <c r="D89" s="161"/>
      <c r="F89" s="89"/>
    </row>
    <row r="90" spans="1:6" x14ac:dyDescent="0.5">
      <c r="A90" s="104">
        <f ca="1">INDIRECT(CONCATENATE("[",$I$2,".xlsx]",$I$4,"!A88"))</f>
        <v>0</v>
      </c>
      <c r="B90" s="1212">
        <f ca="1">INDIRECT(CONCATENATE("[",$I$2,".xlsx]",$I$4,"!B88"))</f>
        <v>0</v>
      </c>
      <c r="C90" s="249">
        <f ca="1">INDIRECT(CONCATENATE("[",$I$2,".xlsx]",$I$4,"!C88"))</f>
        <v>0</v>
      </c>
      <c r="D90" s="161"/>
      <c r="F90" s="89"/>
    </row>
    <row r="91" spans="1:6" x14ac:dyDescent="0.5">
      <c r="A91" s="104">
        <f ca="1">INDIRECT(CONCATENATE("[",$I$2,".xlsx]",$I$4,"!A89"))</f>
        <v>0</v>
      </c>
      <c r="B91" s="1212">
        <f ca="1">INDIRECT(CONCATENATE("[",$I$2,".xlsx]",$I$4,"!B89"))</f>
        <v>0</v>
      </c>
      <c r="C91" s="249">
        <f ca="1">INDIRECT(CONCATENATE("[",$I$2,".xlsx]",$I$4,"!C90"))</f>
        <v>0</v>
      </c>
      <c r="D91" s="161"/>
      <c r="F91" s="89"/>
    </row>
    <row r="92" spans="1:6" x14ac:dyDescent="0.5">
      <c r="A92" s="104">
        <f ca="1">INDIRECT(CONCATENATE("[",$I$2,".xlsx]",$I$4,"!A90"))</f>
        <v>0</v>
      </c>
      <c r="B92" s="1212">
        <f ca="1">INDIRECT(CONCATENATE("[",$I$2,".xlsx]",$I$4,"!B90"))</f>
        <v>0</v>
      </c>
      <c r="C92" s="249">
        <f ca="1">INDIRECT(CONCATENATE("[",$I$2,".xlsx]",$I$4,"!C90"))</f>
        <v>0</v>
      </c>
      <c r="D92" s="161"/>
      <c r="F92" s="89"/>
    </row>
    <row r="93" spans="1:6" x14ac:dyDescent="0.5">
      <c r="A93" s="104">
        <f ca="1">INDIRECT(CONCATENATE("[",$I$2,".xlsx]",$I$4,"!A91"))</f>
        <v>0</v>
      </c>
      <c r="B93" s="1212">
        <f ca="1">INDIRECT(CONCATENATE("[",$I$2,".xlsx]",$I$4,"!B91"))</f>
        <v>0</v>
      </c>
      <c r="C93" s="249">
        <f ca="1">INDIRECT(CONCATENATE("[",$I$2,".xlsx]",$I$4,"!C91"))</f>
        <v>0</v>
      </c>
      <c r="D93" s="161"/>
      <c r="F93" s="89"/>
    </row>
    <row r="94" spans="1:6" x14ac:dyDescent="0.5">
      <c r="A94" s="104">
        <f ca="1">INDIRECT(CONCATENATE("[",$I$2,".xlsx]",$I$4,"!A92"))</f>
        <v>0</v>
      </c>
      <c r="B94" s="1212">
        <f ca="1">INDIRECT(CONCATENATE("[",$I$2,".xlsx]",$I$4,"!B92"))</f>
        <v>0</v>
      </c>
      <c r="C94" s="249">
        <f ca="1">INDIRECT(CONCATENATE("[",$I$2,".xlsx]",$I$4,"!C92"))</f>
        <v>0</v>
      </c>
      <c r="D94" s="161"/>
      <c r="F94" s="89"/>
    </row>
    <row r="95" spans="1:6" x14ac:dyDescent="0.5">
      <c r="A95" s="104">
        <f ca="1">INDIRECT(CONCATENATE("[",$I$2,".xlsx]",$I$4,"!A93"))</f>
        <v>0</v>
      </c>
      <c r="B95" s="1212">
        <f ca="1">INDIRECT(CONCATENATE("[",$I$2,".xlsx]",$I$4,"!B93"))</f>
        <v>0</v>
      </c>
      <c r="C95" s="249">
        <f ca="1">INDIRECT(CONCATENATE("[",$I$2,".xlsx]",$I$4,"!C93"))</f>
        <v>0</v>
      </c>
      <c r="D95" s="161"/>
      <c r="F95" s="89"/>
    </row>
    <row r="96" spans="1:6" x14ac:dyDescent="0.5">
      <c r="A96" s="885"/>
      <c r="B96" s="1213"/>
      <c r="C96" s="890"/>
      <c r="D96" s="161"/>
      <c r="F96" s="89"/>
    </row>
    <row r="97" spans="1:6" x14ac:dyDescent="0.5">
      <c r="A97" s="2239"/>
      <c r="B97" s="2224"/>
      <c r="C97" s="2224"/>
      <c r="F97" s="89"/>
    </row>
    <row r="98" spans="1:6" x14ac:dyDescent="0.5">
      <c r="A98" s="2236" t="s">
        <v>431</v>
      </c>
      <c r="B98" s="2237"/>
      <c r="C98" s="2237"/>
      <c r="D98" s="2238"/>
      <c r="F98" s="89"/>
    </row>
    <row r="99" spans="1:6" x14ac:dyDescent="0.5">
      <c r="A99" s="8" t="s">
        <v>966</v>
      </c>
      <c r="B99" s="118">
        <f ca="1">INDIRECT(CONCATENATE("[",$I$2,".xlsx]",$I$4,"!B97"))</f>
        <v>30</v>
      </c>
      <c r="C99" s="1210" t="s">
        <v>967</v>
      </c>
      <c r="D99" s="118">
        <f ca="1">INDIRECT(CONCATENATE("[",$I$2,".xlsx]",$I$4,"!D97"))</f>
        <v>17</v>
      </c>
      <c r="F99" s="89"/>
    </row>
    <row r="100" spans="1:6" x14ac:dyDescent="0.5">
      <c r="A100" s="2234" t="s">
        <v>83</v>
      </c>
      <c r="B100" s="2258" t="s">
        <v>20</v>
      </c>
      <c r="C100" s="2259"/>
      <c r="D100" s="2260"/>
      <c r="F100" s="89"/>
    </row>
    <row r="101" spans="1:6" x14ac:dyDescent="0.5">
      <c r="A101" s="2235"/>
      <c r="B101" s="120" t="s">
        <v>80</v>
      </c>
      <c r="C101" s="120" t="s">
        <v>81</v>
      </c>
      <c r="D101" s="119" t="s">
        <v>56</v>
      </c>
      <c r="F101" s="89"/>
    </row>
    <row r="102" spans="1:6" x14ac:dyDescent="0.5">
      <c r="A102" s="104" t="str">
        <f ca="1">INDIRECT(CONCATENATE("[",$I$2,".xlsx]",$I$4,"!A100"))</f>
        <v>kleine Entfernungszul. (&gt;6Std)</v>
      </c>
      <c r="B102" s="11">
        <f ca="1">INDIRECT(CONCATENATE("[",$I$2,".xlsx]",$I$4,"!B100"))</f>
        <v>11.71</v>
      </c>
      <c r="C102" s="11">
        <f ca="1">INDIRECT(CONCATENATE("[",$I$2,".xlsx]",$I$4,"!C100"))</f>
        <v>0</v>
      </c>
      <c r="D102" s="11">
        <f ca="1">B102+C102</f>
        <v>11.71</v>
      </c>
      <c r="F102" s="89"/>
    </row>
    <row r="103" spans="1:6" x14ac:dyDescent="0.5">
      <c r="A103" s="104" t="str">
        <f ca="1">INDIRECT(CONCATENATE("[",$I$2,".xlsx]",$I$4,"!A101"))</f>
        <v>mittlere Entfernungszul. (&gt;11Std)</v>
      </c>
      <c r="B103" s="11">
        <f ca="1">INDIRECT(CONCATENATE("[",$I$2,".xlsx]",$I$4,"!B101"))</f>
        <v>28.2</v>
      </c>
      <c r="C103" s="11">
        <f ca="1">INDIRECT(CONCATENATE("[",$I$2,".xlsx]",$I$4,"!C101"))</f>
        <v>0</v>
      </c>
      <c r="D103" s="11">
        <f t="shared" ref="D103:D111" ca="1" si="4">B103+C103</f>
        <v>28.2</v>
      </c>
      <c r="F103" s="89"/>
    </row>
    <row r="104" spans="1:6" x14ac:dyDescent="0.5">
      <c r="A104" s="104" t="str">
        <f ca="1">INDIRECT(CONCATENATE("[",$I$2,".xlsx]",$I$4,"!A102"))</f>
        <v>große Entfernungszul. (&gt;11Std)</v>
      </c>
      <c r="B104" s="11">
        <f ca="1">INDIRECT(CONCATENATE("[",$I$2,".xlsx]",$I$4,"!B102"))</f>
        <v>30</v>
      </c>
      <c r="C104" s="11">
        <f ca="1">INDIRECT(CONCATENATE("[",$I$2,".xlsx]",$I$4,"!C102"))</f>
        <v>30.82</v>
      </c>
      <c r="D104" s="11">
        <f t="shared" ca="1" si="4"/>
        <v>60.82</v>
      </c>
      <c r="F104" s="89"/>
    </row>
    <row r="105" spans="1:6" x14ac:dyDescent="0.5">
      <c r="A105" s="104">
        <f ca="1">INDIRECT(CONCATENATE("[",$I$2,".xlsx]",$I$4,"!A103"))</f>
        <v>0</v>
      </c>
      <c r="B105" s="11">
        <f ca="1">INDIRECT(CONCATENATE("[",$I$2,".xlsx]",$I$4,"!B103"))</f>
        <v>0</v>
      </c>
      <c r="C105" s="11">
        <f ca="1">INDIRECT(CONCATENATE("[",$I$2,".xlsx]",$I$4,"!C103"))</f>
        <v>0</v>
      </c>
      <c r="D105" s="11">
        <f t="shared" ca="1" si="4"/>
        <v>0</v>
      </c>
      <c r="F105" s="89"/>
    </row>
    <row r="106" spans="1:6" x14ac:dyDescent="0.5">
      <c r="A106" s="104" t="str">
        <f ca="1">INDIRECT(CONCATENATE("[",$I$2,".xlsx]",$I$4,"!A104"))</f>
        <v>Nächtigungsgeld</v>
      </c>
      <c r="B106" s="11">
        <f ca="1">INDIRECT(CONCATENATE("[",$I$2,".xlsx]",$I$4,"!B104"))</f>
        <v>17</v>
      </c>
      <c r="C106" s="11">
        <f ca="1">INDIRECT(CONCATENATE("[",$I$2,".xlsx]",$I$4,"!C104"))</f>
        <v>4.62</v>
      </c>
      <c r="D106" s="11">
        <f t="shared" ca="1" si="4"/>
        <v>21.62</v>
      </c>
      <c r="F106" s="89"/>
    </row>
    <row r="107" spans="1:6" x14ac:dyDescent="0.5">
      <c r="A107" s="104">
        <f ca="1">INDIRECT(CONCATENATE("[",$I$2,".xlsx]",$I$4,"!A105"))</f>
        <v>0</v>
      </c>
      <c r="B107" s="11">
        <f ca="1">INDIRECT(CONCATENATE("[",$I$2,".xlsx]",$I$4,"!B105"))</f>
        <v>0</v>
      </c>
      <c r="C107" s="11">
        <f ca="1">INDIRECT(CONCATENATE("[",$I$2,".xlsx]",$I$4,"!C105"))</f>
        <v>0</v>
      </c>
      <c r="D107" s="11">
        <f t="shared" ca="1" si="4"/>
        <v>0</v>
      </c>
      <c r="F107" s="89"/>
    </row>
    <row r="108" spans="1:6" x14ac:dyDescent="0.5">
      <c r="A108" s="104">
        <f ca="1">INDIRECT(CONCATENATE("[",$I$2,".xlsx]",$I$4,"!A106"))</f>
        <v>0</v>
      </c>
      <c r="B108" s="11">
        <f ca="1">INDIRECT(CONCATENATE("[",$I$2,".xlsx]",$I$4,"!B106"))</f>
        <v>0</v>
      </c>
      <c r="C108" s="11">
        <f ca="1">INDIRECT(CONCATENATE("[",$I$2,".xlsx]",$I$4,"!C106"))</f>
        <v>0</v>
      </c>
      <c r="D108" s="11">
        <f t="shared" ca="1" si="4"/>
        <v>0</v>
      </c>
      <c r="F108" s="89"/>
    </row>
    <row r="109" spans="1:6" x14ac:dyDescent="0.5">
      <c r="A109" s="104">
        <f ca="1">INDIRECT(CONCATENATE("[",$I$2,".xlsx]",$I$4,"!A107"))</f>
        <v>0</v>
      </c>
      <c r="B109" s="11">
        <f ca="1">INDIRECT(CONCATENATE("[",$I$2,".xlsx]",$I$4,"!B107"))</f>
        <v>0</v>
      </c>
      <c r="C109" s="11">
        <f ca="1">INDIRECT(CONCATENATE("[",$I$2,".xlsx]",$I$4,"!C107"))</f>
        <v>0</v>
      </c>
      <c r="D109" s="11">
        <f t="shared" ca="1" si="4"/>
        <v>0</v>
      </c>
      <c r="F109" s="89"/>
    </row>
    <row r="110" spans="1:6" x14ac:dyDescent="0.5">
      <c r="A110" s="104">
        <f ca="1">INDIRECT(CONCATENATE("[",$I$2,".xlsx]",$I$4,"!A108"))</f>
        <v>0</v>
      </c>
      <c r="B110" s="11">
        <f ca="1">INDIRECT(CONCATENATE("[",$I$2,".xlsx]",$I$4,"!B108"))</f>
        <v>0</v>
      </c>
      <c r="C110" s="11">
        <f ca="1">INDIRECT(CONCATENATE("[",$I$2,".xlsx]",$I$4,"!C108"))</f>
        <v>0</v>
      </c>
      <c r="D110" s="11">
        <f t="shared" ca="1" si="4"/>
        <v>0</v>
      </c>
      <c r="F110" s="89"/>
    </row>
    <row r="111" spans="1:6" x14ac:dyDescent="0.5">
      <c r="A111" s="104">
        <f ca="1">INDIRECT(CONCATENATE("[",$I$2,".xlsx]",$I$4,"!A109"))</f>
        <v>0</v>
      </c>
      <c r="B111" s="11">
        <f ca="1">INDIRECT(CONCATENATE("[",$I$2,".xlsx]",$I$4,"!B109"))</f>
        <v>0</v>
      </c>
      <c r="C111" s="11">
        <f ca="1">INDIRECT(CONCATENATE("[",$I$2,".xlsx]",$I$4,"!C109"))</f>
        <v>0</v>
      </c>
      <c r="D111" s="11">
        <f t="shared" ca="1" si="4"/>
        <v>0</v>
      </c>
      <c r="F111" s="89"/>
    </row>
    <row r="112" spans="1:6" x14ac:dyDescent="0.5">
      <c r="A112" s="104">
        <f ca="1">INDIRECT(CONCATENATE("[",$I$2,".xlsx]",$I$4,"!A110"))</f>
        <v>0</v>
      </c>
      <c r="B112" s="11">
        <f ca="1">INDIRECT(CONCATENATE("[",$I$2,".xlsx]",$I$4,"!B110"))</f>
        <v>0</v>
      </c>
      <c r="C112" s="11">
        <f ca="1">INDIRECT(CONCATENATE("[",$I$2,".xlsx]",$I$4,"!C110"))</f>
        <v>0</v>
      </c>
      <c r="D112" s="11">
        <f ca="1">B112+C112</f>
        <v>0</v>
      </c>
      <c r="F112" s="89"/>
    </row>
    <row r="113" spans="1:6" x14ac:dyDescent="0.5">
      <c r="A113" s="885"/>
      <c r="B113" s="892"/>
      <c r="C113" s="892"/>
      <c r="D113" s="891">
        <f>B113+C113</f>
        <v>0</v>
      </c>
      <c r="F113" s="89"/>
    </row>
    <row r="114" spans="1:6" x14ac:dyDescent="0.5">
      <c r="A114" s="2234" t="s">
        <v>123</v>
      </c>
      <c r="B114" s="2258" t="s">
        <v>124</v>
      </c>
      <c r="C114" s="2259"/>
      <c r="D114" s="2260"/>
      <c r="F114" s="89"/>
    </row>
    <row r="115" spans="1:6" x14ac:dyDescent="0.5">
      <c r="A115" s="2235"/>
      <c r="B115" s="115" t="s">
        <v>80</v>
      </c>
      <c r="C115" s="115" t="s">
        <v>81</v>
      </c>
      <c r="D115" s="114" t="s">
        <v>56</v>
      </c>
      <c r="F115" s="89"/>
    </row>
    <row r="116" spans="1:6" x14ac:dyDescent="0.5">
      <c r="A116" s="104" t="str">
        <f ca="1">INDIRECT(CONCATENATE("[",$I$2,".xlsx]",$I$4,"!A114"))</f>
        <v>Montagezulage</v>
      </c>
      <c r="B116" s="249">
        <f ca="1">INDIRECT(CONCATENATE("[",$I$2,".xlsx]",$I$4,"!B114"))</f>
        <v>0</v>
      </c>
      <c r="C116" s="249">
        <f ca="1">INDIRECT(CONCATENATE("[",$I$2,".xlsx]",$I$4,"!C114"))</f>
        <v>1.1299999999999999</v>
      </c>
      <c r="D116" s="249">
        <f ca="1">B116+C116</f>
        <v>1.1299999999999999</v>
      </c>
      <c r="F116" s="89"/>
    </row>
    <row r="117" spans="1:6" x14ac:dyDescent="0.5">
      <c r="A117" s="104">
        <f ca="1">INDIRECT(CONCATENATE("[",$I$2,".xlsx]",$I$4,"!A115"))</f>
        <v>0</v>
      </c>
      <c r="B117" s="249">
        <f ca="1">INDIRECT(CONCATENATE("[",$I$2,".xlsx]",$I$4,"!B115"))</f>
        <v>0</v>
      </c>
      <c r="C117" s="249">
        <f ca="1">INDIRECT(CONCATENATE("[",$I$2,".xlsx]",$I$4,"!C115"))</f>
        <v>0</v>
      </c>
      <c r="D117" s="249">
        <f ca="1">B117+C117</f>
        <v>0</v>
      </c>
      <c r="F117" s="89"/>
    </row>
    <row r="118" spans="1:6" x14ac:dyDescent="0.5">
      <c r="A118" s="104">
        <f ca="1">INDIRECT(CONCATENATE("[",$I$2,".xlsx]",$I$4,"!A116"))</f>
        <v>0</v>
      </c>
      <c r="B118" s="249">
        <f ca="1">INDIRECT(CONCATENATE("[",$I$2,".xlsx]",$I$4,"!B116"))</f>
        <v>0</v>
      </c>
      <c r="C118" s="249">
        <f ca="1">INDIRECT(CONCATENATE("[",$I$2,".xlsx]",$I$4,"!C116"))</f>
        <v>0</v>
      </c>
      <c r="D118" s="249">
        <f ca="1">B118+C118</f>
        <v>0</v>
      </c>
      <c r="F118" s="89"/>
    </row>
    <row r="119" spans="1:6" x14ac:dyDescent="0.5">
      <c r="A119" s="885"/>
      <c r="B119" s="890"/>
      <c r="C119" s="890"/>
      <c r="D119" s="894">
        <f>B119+C119</f>
        <v>0</v>
      </c>
      <c r="F119" s="89"/>
    </row>
    <row r="120" spans="1:6" x14ac:dyDescent="0.5">
      <c r="A120" s="2234" t="s">
        <v>101</v>
      </c>
      <c r="B120" s="2258" t="s">
        <v>82</v>
      </c>
      <c r="C120" s="2259"/>
      <c r="D120" s="2260"/>
      <c r="F120" s="89"/>
    </row>
    <row r="121" spans="1:6" x14ac:dyDescent="0.5">
      <c r="A121" s="2235"/>
      <c r="B121" s="115" t="s">
        <v>80</v>
      </c>
      <c r="C121" s="115" t="s">
        <v>81</v>
      </c>
      <c r="D121" s="114" t="s">
        <v>56</v>
      </c>
      <c r="F121" s="89"/>
    </row>
    <row r="122" spans="1:6" x14ac:dyDescent="0.5">
      <c r="A122" s="104">
        <f ca="1">INDIRECT(CONCATENATE("[",$I$2,".xlsx]",$I$4,"!A119"))</f>
        <v>0</v>
      </c>
      <c r="B122" s="11">
        <f ca="1">INDIRECT(CONCATENATE("[",$I$2,".xlsx]",$I$4,"!B119"))</f>
        <v>0</v>
      </c>
      <c r="C122" s="11">
        <f ca="1">INDIRECT(CONCATENATE("[",$I$2,".xlsx]",$I$4,"!C119"))</f>
        <v>0</v>
      </c>
      <c r="D122" s="11">
        <f t="shared" ref="D122:D126" ca="1" si="5">B122+C122</f>
        <v>0</v>
      </c>
      <c r="F122" s="89"/>
    </row>
    <row r="123" spans="1:6" x14ac:dyDescent="0.5">
      <c r="A123" s="104">
        <f ca="1">INDIRECT(CONCATENATE("[",$I$2,".xlsx]",$I$4,"!A120"))</f>
        <v>0</v>
      </c>
      <c r="B123" s="11">
        <f ca="1">INDIRECT(CONCATENATE("[",$I$2,".xlsx]",$I$4,"!B120"))</f>
        <v>0</v>
      </c>
      <c r="C123" s="11">
        <f ca="1">INDIRECT(CONCATENATE("[",$I$2,".xlsx]",$I$4,"!C120"))</f>
        <v>0</v>
      </c>
      <c r="D123" s="11">
        <f t="shared" ca="1" si="5"/>
        <v>0</v>
      </c>
      <c r="F123" s="89"/>
    </row>
    <row r="124" spans="1:6" x14ac:dyDescent="0.5">
      <c r="A124" s="104">
        <f ca="1">INDIRECT(CONCATENATE("[",$I$2,".xlsx]",$I$4,"!A121"))</f>
        <v>0</v>
      </c>
      <c r="B124" s="11">
        <f ca="1">INDIRECT(CONCATENATE("[",$I$2,".xlsx]",$I$4,"!B121"))</f>
        <v>0</v>
      </c>
      <c r="C124" s="11">
        <f ca="1">INDIRECT(CONCATENATE("[",$I$2,".xlsx]",$I$4,"!C121"))</f>
        <v>0</v>
      </c>
      <c r="D124" s="11">
        <f t="shared" ca="1" si="5"/>
        <v>0</v>
      </c>
      <c r="F124" s="89"/>
    </row>
    <row r="125" spans="1:6" x14ac:dyDescent="0.5">
      <c r="A125" s="104">
        <f ca="1">INDIRECT(CONCATENATE("[",$I$2,".xlsx]",$I$4,"!A122"))</f>
        <v>0</v>
      </c>
      <c r="B125" s="11">
        <f ca="1">INDIRECT(CONCATENATE("[",$I$2,".xlsx]",$I$4,"!B122"))</f>
        <v>0</v>
      </c>
      <c r="C125" s="11">
        <f ca="1">INDIRECT(CONCATENATE("[",$I$2,".xlsx]",$I$4,"!C122"))</f>
        <v>0</v>
      </c>
      <c r="D125" s="11">
        <f t="shared" ca="1" si="5"/>
        <v>0</v>
      </c>
      <c r="F125" s="89"/>
    </row>
    <row r="126" spans="1:6" x14ac:dyDescent="0.5">
      <c r="A126" s="104">
        <f ca="1">INDIRECT(CONCATENATE("[",$I$2,".xlsx]",$I$4,"!A123"))</f>
        <v>0</v>
      </c>
      <c r="B126" s="11">
        <f ca="1">INDIRECT(CONCATENATE("[",$I$2,".xlsx]",$I$4,"!B123"))</f>
        <v>0</v>
      </c>
      <c r="C126" s="11">
        <f ca="1">INDIRECT(CONCATENATE("[",$I$2,".xlsx]",$I$4,"!C123"))</f>
        <v>0</v>
      </c>
      <c r="D126" s="11">
        <f t="shared" ca="1" si="5"/>
        <v>0</v>
      </c>
      <c r="F126" s="89"/>
    </row>
    <row r="127" spans="1:6" x14ac:dyDescent="0.5">
      <c r="A127" s="117">
        <f ca="1">INDIRECT(CONCATENATE("[",$I$2,".xlsx]",$I$4,"!A124"))</f>
        <v>0</v>
      </c>
      <c r="B127" s="41">
        <f ca="1">INDIRECT(CONCATENATE("[",$I$2,".xlsx]",$I$4,"!B124"))</f>
        <v>0</v>
      </c>
      <c r="C127" s="41">
        <f ca="1">INDIRECT(CONCATENATE("[",$I$2,".xlsx]",$I$4,"!C124"))</f>
        <v>0</v>
      </c>
      <c r="D127" s="41">
        <f ca="1">B127+C127</f>
        <v>0</v>
      </c>
      <c r="F127" s="89"/>
    </row>
    <row r="128" spans="1:6" x14ac:dyDescent="0.5">
      <c r="A128" s="893"/>
      <c r="B128" s="895"/>
      <c r="C128" s="895"/>
      <c r="D128" s="41">
        <f>B128+C128</f>
        <v>0</v>
      </c>
      <c r="F128" s="89"/>
    </row>
    <row r="129" spans="1:6" x14ac:dyDescent="0.5">
      <c r="A129" s="162" t="s">
        <v>114</v>
      </c>
      <c r="B129" s="9"/>
      <c r="C129" s="9"/>
      <c r="D129" s="10"/>
      <c r="E129" s="98"/>
      <c r="F129" s="99"/>
    </row>
    <row r="130" spans="1:6" x14ac:dyDescent="0.5">
      <c r="A130" s="2223"/>
      <c r="B130" s="2223"/>
      <c r="C130" s="2223"/>
      <c r="D130" s="2223"/>
    </row>
    <row r="131" spans="1:6" x14ac:dyDescent="0.5">
      <c r="A131" s="2224"/>
      <c r="B131" s="2224"/>
      <c r="C131" s="2224"/>
      <c r="D131" s="2224"/>
      <c r="E131" s="42"/>
    </row>
    <row r="132" spans="1:6" ht="21" x14ac:dyDescent="0.65">
      <c r="A132" s="2266" t="s">
        <v>437</v>
      </c>
      <c r="B132" s="2267"/>
      <c r="C132" s="2267"/>
      <c r="D132" s="2267"/>
      <c r="E132" s="2267"/>
      <c r="F132" s="2268"/>
    </row>
    <row r="133" spans="1:6" x14ac:dyDescent="0.5">
      <c r="A133" s="166" t="s">
        <v>438</v>
      </c>
      <c r="B133" s="2263" t="str">
        <f ca="1">INDIRECT(CONCATENATE("[",$I$2,".xlsx]",$I$4,"!B3"))</f>
        <v>KollV Eisen- und Metallverarbeitende Gewerbe (ArbeiterInnen)</v>
      </c>
      <c r="C133" s="2264"/>
      <c r="D133" s="2264"/>
      <c r="E133" s="2264"/>
      <c r="F133" s="2265"/>
    </row>
    <row r="134" spans="1:6" ht="15.75" customHeight="1" x14ac:dyDescent="0.5">
      <c r="A134" s="52" t="s">
        <v>66</v>
      </c>
      <c r="B134" s="152">
        <f ca="1">INDIRECT(CONCATENATE("[",$I$2,".xlsx]",$I$4,"!B130"))</f>
        <v>45658</v>
      </c>
      <c r="C134" s="2218" t="str">
        <f ca="1">IF((TODAY()-B134)&gt;365,"Datum älter als 1 Jahr. Werte auf Aktualität prüfen und Datum in der Quelldatei aktualisieren!","")</f>
        <v/>
      </c>
      <c r="D134" s="2274" t="str">
        <f>"Hinweis: Diese Werte können in der Quelldatei ["&amp;I2&amp;".xlsx] Blatt [DPNK] (erstes Blatt links) geändert werden. Die Zuordnung, welche Positionen der DPNK relevant sind, erfolgt im Blatt ["&amp;I3&amp;"]."</f>
        <v>Hinweis: Diese Werte können in der Quelldatei [K3_EuM_Quelle.xlsx] Blatt [DPNK] (erstes Blatt links) geändert werden. Die Zuordnung, welche Positionen der DPNK relevant sind, erfolgt im Blatt [EuM_Spengler_25].</v>
      </c>
      <c r="E134" s="2275"/>
      <c r="F134" s="2276"/>
    </row>
    <row r="135" spans="1:6" x14ac:dyDescent="0.5">
      <c r="A135" s="75" t="s">
        <v>43</v>
      </c>
      <c r="B135" s="2269" t="s">
        <v>90</v>
      </c>
      <c r="C135" s="2219"/>
      <c r="D135" s="2277"/>
      <c r="E135" s="2278"/>
      <c r="F135" s="2279"/>
    </row>
    <row r="136" spans="1:6" x14ac:dyDescent="0.5">
      <c r="A136" s="76">
        <f ca="1">B134</f>
        <v>45658</v>
      </c>
      <c r="B136" s="2270"/>
      <c r="C136" s="2219"/>
      <c r="D136" s="2277"/>
      <c r="E136" s="2278"/>
      <c r="F136" s="2279"/>
    </row>
    <row r="137" spans="1:6" x14ac:dyDescent="0.5">
      <c r="A137" s="129"/>
      <c r="B137" s="128" t="s">
        <v>111</v>
      </c>
      <c r="C137" s="2219"/>
      <c r="D137" s="2277"/>
      <c r="E137" s="2278"/>
      <c r="F137" s="2279"/>
    </row>
    <row r="138" spans="1:6" x14ac:dyDescent="0.5">
      <c r="A138" s="130" t="str">
        <f ca="1">INDIRECT(CONCATENATE("[",$I$2,".xlsx]",$I$4,"!A134"))</f>
        <v>Arbeitslosenversicherung</v>
      </c>
      <c r="B138" s="125">
        <f ca="1">INDIRECT(CONCATENATE("[",$I$2,".xlsx]",$I$4,"!C134"))</f>
        <v>2.9499999999999998E-2</v>
      </c>
      <c r="C138" s="2219"/>
      <c r="D138" s="2277"/>
      <c r="E138" s="2278"/>
      <c r="F138" s="2279"/>
    </row>
    <row r="139" spans="1:6" x14ac:dyDescent="0.5">
      <c r="A139" s="131" t="str">
        <f ca="1">INDIRECT(CONCATENATE("[",$I$2,".xlsx]",$I$4,"!A135"))</f>
        <v>Zuschlag Insolvenzentgeltsicherung</v>
      </c>
      <c r="B139" s="126">
        <f ca="1">INDIRECT(CONCATENATE("[",$I$2,".xlsx]",$I$4,"!C135"))</f>
        <v>1E-3</v>
      </c>
      <c r="C139" s="2219"/>
      <c r="D139" s="2277"/>
      <c r="E139" s="2278"/>
      <c r="F139" s="2279"/>
    </row>
    <row r="140" spans="1:6" x14ac:dyDescent="0.5">
      <c r="A140" s="131" t="str">
        <f ca="1">INDIRECT(CONCATENATE("[",$I$2,".xlsx]",$I$4,"!A136"))</f>
        <v>Pensionsversicherung ASVG</v>
      </c>
      <c r="B140" s="126">
        <f ca="1">INDIRECT(CONCATENATE("[",$I$2,".xlsx]",$I$4,"!C136"))</f>
        <v>0.1255</v>
      </c>
      <c r="C140" s="2219"/>
      <c r="D140" s="2280"/>
      <c r="E140" s="2281"/>
      <c r="F140" s="2282"/>
    </row>
    <row r="141" spans="1:6" x14ac:dyDescent="0.5">
      <c r="A141" s="131" t="str">
        <f ca="1">INDIRECT(CONCATENATE("[",$I$2,".xlsx]",$I$4,"!A137"))</f>
        <v>Krankenversicherung ASVG</v>
      </c>
      <c r="B141" s="126">
        <f ca="1">INDIRECT(CONCATENATE("[",$I$2,".xlsx]",$I$4,"!C137"))</f>
        <v>3.78E-2</v>
      </c>
      <c r="C141" s="399"/>
    </row>
    <row r="142" spans="1:6" x14ac:dyDescent="0.5">
      <c r="A142" s="131" t="str">
        <f ca="1">INDIRECT(CONCATENATE("[",$I$2,".xlsx]",$I$4,"!A138"))</f>
        <v>Unfallversicherung</v>
      </c>
      <c r="B142" s="126">
        <f ca="1">INDIRECT(CONCATENATE("[",$I$2,".xlsx]",$I$4,"!C138"))</f>
        <v>1.0999999999999999E-2</v>
      </c>
      <c r="C142" s="399"/>
    </row>
    <row r="143" spans="1:6" x14ac:dyDescent="0.5">
      <c r="A143" s="131" t="str">
        <f ca="1">INDIRECT(CONCATENATE("[",$I$2,".xlsx]",$I$4,"!A139"))</f>
        <v>Wohnbauförderungsbeitrag</v>
      </c>
      <c r="B143" s="126">
        <f ca="1">INDIRECT(CONCATENATE("[",$I$2,".xlsx]",$I$4,"!C139"))</f>
        <v>5.0000000000000001E-3</v>
      </c>
      <c r="C143" s="399"/>
    </row>
    <row r="144" spans="1:6" x14ac:dyDescent="0.5">
      <c r="A144" s="131" t="str">
        <f ca="1">INDIRECT(CONCATENATE("[",$I$2,".xlsx]",$I$4,"!A140"))</f>
        <v>Schlechtwetterentschädigungsbeitrag</v>
      </c>
      <c r="B144" s="126">
        <f ca="1">INDIRECT(CONCATENATE("[",$I$2,".xlsx]",$I$4,"!C140"))</f>
        <v>7.0000000000000001E-3</v>
      </c>
      <c r="C144" s="399"/>
    </row>
    <row r="145" spans="1:5" x14ac:dyDescent="0.5">
      <c r="A145" s="131" t="str">
        <f ca="1">INDIRECT(CONCATENATE("[",$I$2,".xlsx]",$I$4,"!A141"))</f>
        <v>Familienlastenausgleichsfonds</v>
      </c>
      <c r="B145" s="126">
        <f ca="1">INDIRECT(CONCATENATE("[",$I$2,".xlsx]",$I$4,"!C141"))</f>
        <v>3.6999999999999998E-2</v>
      </c>
      <c r="C145" s="399"/>
    </row>
    <row r="146" spans="1:5" x14ac:dyDescent="0.5">
      <c r="A146" s="131" t="str">
        <f ca="1">INDIRECT(CONCATENATE("[",$I$2,".xlsx]",$I$4,"!A142"))</f>
        <v>#DG Zuschl. FLAF (KU2; Ø-Wert; Wert Bundesland?)</v>
      </c>
      <c r="B146" s="126">
        <f ca="1">INDIRECT(CONCATENATE("[",$I$2,".xlsx]",$I$4,"!C142"))</f>
        <v>3.5999999999999999E-3</v>
      </c>
      <c r="C146" s="399"/>
    </row>
    <row r="147" spans="1:5" x14ac:dyDescent="0.5">
      <c r="A147" s="131" t="str">
        <f ca="1">INDIRECT(CONCATENATE("[",$I$2,".xlsx]",$I$4,"!A143"))</f>
        <v>Mitarbeitervorsorge (Abfertigung Neu)</v>
      </c>
      <c r="B147" s="126">
        <f ca="1">INDIRECT(CONCATENATE("[",$I$2,".xlsx]",$I$4,"!C143"))</f>
        <v>1.5299999999999999E-2</v>
      </c>
      <c r="C147" s="83"/>
    </row>
    <row r="148" spans="1:5" x14ac:dyDescent="0.5">
      <c r="A148" s="131" t="str">
        <f ca="1">INDIRECT(CONCATENATE("[",$I$2,".xlsx]",$I$4,"!A144"))</f>
        <v>Kommunalsteuer</v>
      </c>
      <c r="B148" s="126">
        <f ca="1">INDIRECT(CONCATENATE("[",$I$2,".xlsx]",$I$4,"!C144"))</f>
        <v>0.03</v>
      </c>
      <c r="C148" s="83"/>
    </row>
    <row r="149" spans="1:5" x14ac:dyDescent="0.5">
      <c r="A149" s="131" t="str">
        <f ca="1">INDIRECT(CONCATENATE("[",$I$2,".xlsx]",$I$4,"!A145"))</f>
        <v># frei verfügbar</v>
      </c>
      <c r="B149" s="126" t="str">
        <f ca="1">INDIRECT(CONCATENATE("[",$I$2,".xlsx]",$I$4,"!C145"))</f>
        <v/>
      </c>
      <c r="C149" s="83"/>
    </row>
    <row r="150" spans="1:5" x14ac:dyDescent="0.5">
      <c r="A150" s="132" t="str">
        <f ca="1">INDIRECT(CONCATENATE("[",$I$2,".xlsx]",$I$4,"!A146"))</f>
        <v># frei verfügbar</v>
      </c>
      <c r="B150" s="127" t="str">
        <f ca="1">INDIRECT(CONCATENATE("[",$I$2,".xlsx]",$I$4,"!C146"))</f>
        <v/>
      </c>
      <c r="C150" s="83"/>
    </row>
    <row r="151" spans="1:5" x14ac:dyDescent="0.5">
      <c r="A151" s="133" t="s">
        <v>130</v>
      </c>
      <c r="B151" s="90">
        <f ca="1">SUM(B138:B150)</f>
        <v>0.30270000000000002</v>
      </c>
      <c r="C151" s="74"/>
    </row>
    <row r="152" spans="1:5" x14ac:dyDescent="0.5">
      <c r="A152" s="2257"/>
      <c r="B152" s="2257"/>
      <c r="C152" s="74"/>
      <c r="D152" s="74"/>
      <c r="E152" s="74"/>
    </row>
    <row r="153" spans="1:5" x14ac:dyDescent="0.5">
      <c r="A153" s="94"/>
      <c r="B153" s="95"/>
      <c r="C153" s="2245" t="s">
        <v>575</v>
      </c>
      <c r="D153" s="2245" t="s">
        <v>196</v>
      </c>
      <c r="E153" s="2245" t="s">
        <v>576</v>
      </c>
    </row>
    <row r="154" spans="1:5" x14ac:dyDescent="0.5">
      <c r="A154" s="87"/>
      <c r="B154" s="92"/>
      <c r="C154" s="2246"/>
      <c r="D154" s="2246"/>
      <c r="E154" s="2246"/>
    </row>
    <row r="155" spans="1:5" ht="16.149999999999999" thickBot="1" x14ac:dyDescent="0.55000000000000004">
      <c r="A155" s="2247" t="s">
        <v>116</v>
      </c>
      <c r="B155" s="2248"/>
      <c r="C155" s="2246"/>
      <c r="D155" s="2246" t="s">
        <v>98</v>
      </c>
      <c r="E155" s="2246" t="s">
        <v>117</v>
      </c>
    </row>
    <row r="156" spans="1:5" x14ac:dyDescent="0.5">
      <c r="A156" s="2251" t="s">
        <v>188</v>
      </c>
      <c r="B156" s="2252"/>
      <c r="C156" s="123">
        <f ca="1">INDIRECT(CONCATENATE("[",$I$2,".xlsx]",$I$4,"!E152"))</f>
        <v>0.2331</v>
      </c>
      <c r="D156" s="588"/>
      <c r="E156" s="124">
        <f ca="1">IF(ISBLANK(D156),C156,D156)</f>
        <v>0.2331</v>
      </c>
    </row>
    <row r="157" spans="1:5" x14ac:dyDescent="0.5">
      <c r="A157" s="2249" t="s">
        <v>189</v>
      </c>
      <c r="B157" s="2250"/>
      <c r="C157" s="123">
        <f ca="1">INDIRECT(CONCATENATE("[",$I$2,".xlsx]",$I$4,"!E153"))</f>
        <v>0</v>
      </c>
      <c r="D157" s="588"/>
      <c r="E157" s="124">
        <f ca="1">IF(ISBLANK(D157),C157,D157)</f>
        <v>0</v>
      </c>
    </row>
    <row r="158" spans="1:5" x14ac:dyDescent="0.5">
      <c r="A158" s="2249" t="s">
        <v>190</v>
      </c>
      <c r="B158" s="2250"/>
      <c r="C158" s="123">
        <f ca="1">INDIRECT(CONCATENATE("[",$I$2,".xlsx]",$I$4,"!E154"))</f>
        <v>0</v>
      </c>
      <c r="D158" s="588"/>
      <c r="E158" s="124">
        <f ca="1">IF(ISBLANK(D158),C158,D158)</f>
        <v>0</v>
      </c>
    </row>
    <row r="159" spans="1:5" ht="16.149999999999999" thickBot="1" x14ac:dyDescent="0.55000000000000004">
      <c r="A159" s="2261" t="s">
        <v>191</v>
      </c>
      <c r="B159" s="2262"/>
      <c r="C159" s="123">
        <f ca="1">INDIRECT(CONCATENATE("[",$I$2,".xlsx]",$I$4,"!E155"))</f>
        <v>0.60319999999999996</v>
      </c>
      <c r="D159" s="588"/>
      <c r="E159" s="124">
        <f ca="1">IF(ISBLANK(D159),C159,D159)</f>
        <v>0.60319999999999996</v>
      </c>
    </row>
    <row r="160" spans="1:5" x14ac:dyDescent="0.5">
      <c r="A160" s="2243" t="s">
        <v>56</v>
      </c>
      <c r="B160" s="2244"/>
      <c r="C160" s="122">
        <f ca="1">SUM(C156:C159)</f>
        <v>0.83630000000000004</v>
      </c>
      <c r="D160" s="122"/>
      <c r="E160" s="122">
        <f ca="1">SUM(E156:E159)</f>
        <v>0.83630000000000004</v>
      </c>
    </row>
    <row r="161" spans="1:5" x14ac:dyDescent="0.5">
      <c r="A161" s="153"/>
      <c r="B161" s="153"/>
      <c r="C161" s="153"/>
      <c r="D161" s="153"/>
      <c r="E161" s="153"/>
    </row>
    <row r="162" spans="1:5" x14ac:dyDescent="0.5">
      <c r="A162" s="1144"/>
      <c r="B162" s="1144"/>
      <c r="C162" s="1144"/>
      <c r="D162" s="1144"/>
      <c r="E162" s="1144"/>
    </row>
    <row r="163" spans="1:5" x14ac:dyDescent="0.5">
      <c r="A163" s="1144"/>
      <c r="B163" s="1144"/>
      <c r="C163" s="1144"/>
      <c r="D163" s="1144"/>
      <c r="E163" s="1144"/>
    </row>
    <row r="164" spans="1:5" x14ac:dyDescent="0.5">
      <c r="A164" s="1144"/>
      <c r="B164" s="1144"/>
      <c r="C164" s="1144"/>
      <c r="D164" s="1144"/>
      <c r="E164" s="1144"/>
    </row>
    <row r="165" spans="1:5" x14ac:dyDescent="0.5">
      <c r="A165" s="1144"/>
      <c r="B165" s="1144"/>
      <c r="C165" s="1144"/>
      <c r="D165" s="1144"/>
      <c r="E165" s="1144"/>
    </row>
    <row r="166" spans="1:5" x14ac:dyDescent="0.5">
      <c r="A166" s="1144"/>
      <c r="B166" s="1144"/>
      <c r="C166" s="1144"/>
      <c r="D166" s="1144"/>
      <c r="E166" s="1144"/>
    </row>
    <row r="167" spans="1:5" x14ac:dyDescent="0.5">
      <c r="A167" s="1144"/>
      <c r="B167" s="1144"/>
      <c r="C167" s="1144"/>
      <c r="D167" s="1144"/>
      <c r="E167" s="1144"/>
    </row>
    <row r="168" spans="1:5" x14ac:dyDescent="0.5">
      <c r="A168" s="1144"/>
      <c r="B168" s="1144"/>
      <c r="C168" s="1144"/>
      <c r="D168" s="1144"/>
      <c r="E168" s="1144"/>
    </row>
    <row r="169" spans="1:5" x14ac:dyDescent="0.5">
      <c r="A169" s="1144"/>
      <c r="B169" s="1144"/>
      <c r="C169" s="1144"/>
      <c r="D169" s="1144"/>
      <c r="E169" s="1144"/>
    </row>
    <row r="170" spans="1:5" x14ac:dyDescent="0.5">
      <c r="A170" s="1144"/>
      <c r="B170" s="1144"/>
      <c r="C170" s="1144"/>
      <c r="D170" s="1144"/>
      <c r="E170" s="1144"/>
    </row>
    <row r="171" spans="1:5" x14ac:dyDescent="0.5">
      <c r="A171" s="1144"/>
      <c r="B171" s="1144"/>
      <c r="C171" s="1144"/>
      <c r="D171" s="1144"/>
      <c r="E171" s="1144"/>
    </row>
    <row r="172" spans="1:5" x14ac:dyDescent="0.5">
      <c r="A172" s="1144"/>
      <c r="B172" s="1144"/>
      <c r="C172" s="1144"/>
      <c r="D172" s="1144"/>
      <c r="E172" s="1144"/>
    </row>
    <row r="173" spans="1:5" ht="15.75" customHeight="1" x14ac:dyDescent="0.5">
      <c r="A173" s="1144"/>
      <c r="B173" s="1144"/>
      <c r="C173" s="1144"/>
      <c r="D173" s="1144"/>
      <c r="E173" s="1144"/>
    </row>
    <row r="174" spans="1:5" x14ac:dyDescent="0.5">
      <c r="A174" s="1144"/>
      <c r="B174" s="1144"/>
      <c r="C174" s="1144"/>
      <c r="D174" s="1144"/>
      <c r="E174" s="1144"/>
    </row>
    <row r="175" spans="1:5" x14ac:dyDescent="0.5">
      <c r="A175" s="1144"/>
      <c r="B175" s="1144"/>
      <c r="C175" s="1144"/>
      <c r="D175" s="1144"/>
      <c r="E175" s="1144"/>
    </row>
    <row r="176" spans="1:5" x14ac:dyDescent="0.5">
      <c r="A176" s="1144"/>
      <c r="B176" s="1144"/>
      <c r="C176" s="1144"/>
      <c r="D176" s="1144"/>
      <c r="E176" s="1144"/>
    </row>
    <row r="177" spans="1:5" x14ac:dyDescent="0.5">
      <c r="A177" s="1144"/>
      <c r="B177" s="1144"/>
      <c r="C177" s="1144"/>
      <c r="D177" s="1144"/>
      <c r="E177" s="1144"/>
    </row>
    <row r="178" spans="1:5" x14ac:dyDescent="0.5">
      <c r="A178" s="1144"/>
      <c r="B178" s="1144"/>
      <c r="C178" s="1144"/>
      <c r="D178" s="1144"/>
      <c r="E178" s="1144"/>
    </row>
    <row r="179" spans="1:5" x14ac:dyDescent="0.5">
      <c r="A179" s="1144"/>
      <c r="B179" s="1144"/>
      <c r="C179" s="1144"/>
      <c r="D179" s="1144"/>
      <c r="E179" s="1144"/>
    </row>
  </sheetData>
  <sheetProtection algorithmName="SHA-512" hashValue="RPDcQKZDneLRYusj3IRP+VCMTz0WlkS0YvAzUjWcZBPtZ1rPPlUt7C1anZdONKmQf626X52ZAMp1xuUmdMFlqQ==" saltValue="aycIWXDnlvz5cN0p7wl81Q==" spinCount="100000" sheet="1" objects="1" scenarios="1" selectLockedCells="1"/>
  <mergeCells count="48">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 ref="A66:C67"/>
    <mergeCell ref="A152:B152"/>
    <mergeCell ref="B120:D120"/>
    <mergeCell ref="A114:A115"/>
    <mergeCell ref="A159:B159"/>
    <mergeCell ref="B114:D114"/>
    <mergeCell ref="B133:F133"/>
    <mergeCell ref="A132:F132"/>
    <mergeCell ref="B135:B136"/>
    <mergeCell ref="A160:B160"/>
    <mergeCell ref="C153:C155"/>
    <mergeCell ref="D153:D155"/>
    <mergeCell ref="A155:B155"/>
    <mergeCell ref="A157:B157"/>
    <mergeCell ref="A156:B156"/>
    <mergeCell ref="A158:B15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s>
  <conditionalFormatting sqref="A3:B3">
    <cfRule type="expression" dxfId="599" priority="18">
      <formula>$B$4="?"</formula>
    </cfRule>
  </conditionalFormatting>
  <conditionalFormatting sqref="A138:B150">
    <cfRule type="cellIs" dxfId="598" priority="33" operator="equal">
      <formula>0</formula>
    </cfRule>
  </conditionalFormatting>
  <conditionalFormatting sqref="B4">
    <cfRule type="expression" dxfId="597" priority="14">
      <formula>$I$6&gt;365</formula>
    </cfRule>
  </conditionalFormatting>
  <conditionalFormatting sqref="B7:B33">
    <cfRule type="cellIs" dxfId="596" priority="3" operator="equal">
      <formula>0</formula>
    </cfRule>
  </conditionalFormatting>
  <conditionalFormatting sqref="B57:B62">
    <cfRule type="cellIs" dxfId="595" priority="8" operator="equal">
      <formula>0</formula>
    </cfRule>
  </conditionalFormatting>
  <conditionalFormatting sqref="B134">
    <cfRule type="expression" dxfId="594" priority="13">
      <formula>$I$10&gt;365</formula>
    </cfRule>
    <cfRule type="cellIs" dxfId="593" priority="32" operator="equal">
      <formula>0</formula>
    </cfRule>
  </conditionalFormatting>
  <conditionalFormatting sqref="B70:C96">
    <cfRule type="cellIs" dxfId="592" priority="41" operator="equal">
      <formula>0</formula>
    </cfRule>
  </conditionalFormatting>
  <conditionalFormatting sqref="B102:D113">
    <cfRule type="cellIs" dxfId="591" priority="45" operator="equal">
      <formula>0</formula>
    </cfRule>
  </conditionalFormatting>
  <conditionalFormatting sqref="B116:D119">
    <cfRule type="cellIs" dxfId="590" priority="6" operator="equal">
      <formula>0</formula>
    </cfRule>
  </conditionalFormatting>
  <conditionalFormatting sqref="B122:D128">
    <cfRule type="cellIs" dxfId="589" priority="5" operator="equal">
      <formula>0</formula>
    </cfRule>
  </conditionalFormatting>
  <conditionalFormatting sqref="C37">
    <cfRule type="cellIs" dxfId="588" priority="29" operator="equal">
      <formula>0</formula>
    </cfRule>
  </conditionalFormatting>
  <conditionalFormatting sqref="C39:C48">
    <cfRule type="cellIs" dxfId="587" priority="39" operator="equal">
      <formula>0</formula>
    </cfRule>
  </conditionalFormatting>
  <conditionalFormatting sqref="C50:C55">
    <cfRule type="cellIs" dxfId="586" priority="38" operator="equal">
      <formula>0</formula>
    </cfRule>
  </conditionalFormatting>
  <conditionalFormatting sqref="D33">
    <cfRule type="cellIs" dxfId="585" priority="2" operator="equal">
      <formula>0</formula>
    </cfRule>
  </conditionalFormatting>
  <conditionalFormatting sqref="D7:F32">
    <cfRule type="cellIs" dxfId="584" priority="34" operator="equal">
      <formula>0</formula>
    </cfRule>
  </conditionalFormatting>
  <conditionalFormatting sqref="F33">
    <cfRule type="cellIs" dxfId="583" priority="1" operator="equal">
      <formula>0</formula>
    </cfRule>
  </conditionalFormatting>
  <conditionalFormatting sqref="H2">
    <cfRule type="expression" dxfId="582" priority="10">
      <formula>$K$2="f"</formula>
    </cfRule>
  </conditionalFormatting>
  <conditionalFormatting sqref="H3">
    <cfRule type="expression" dxfId="581" priority="27">
      <formula>ISNUMBER(B8)=FALSE</formula>
    </cfRule>
  </conditionalFormatting>
  <conditionalFormatting sqref="H5:I6">
    <cfRule type="expression" dxfId="580" priority="16">
      <formula>$I$6&gt;365</formula>
    </cfRule>
  </conditionalFormatting>
  <conditionalFormatting sqref="H9:I10">
    <cfRule type="expression" dxfId="579" priority="15">
      <formula>$I$10&gt;365</formula>
    </cfRule>
  </conditionalFormatting>
  <conditionalFormatting sqref="I2">
    <cfRule type="expression" dxfId="578" priority="9">
      <formula>$K$2="f"</formula>
    </cfRule>
  </conditionalFormatting>
  <conditionalFormatting sqref="I3">
    <cfRule type="expression" dxfId="577" priority="12">
      <formula>$H$11&lt;&gt;""</formula>
    </cfRule>
  </conditionalFormatting>
  <conditionalFormatting sqref="I4">
    <cfRule type="expression" dxfId="576" priority="30">
      <formula>$I$4=$I$3</formula>
    </cfRule>
  </conditionalFormatting>
  <conditionalFormatting sqref="J6:J8">
    <cfRule type="expression" dxfId="575" priority="23">
      <formula>_OK_KV?&lt;&gt;"OK_KV!"</formula>
    </cfRule>
  </conditionalFormatting>
  <conditionalFormatting sqref="K2">
    <cfRule type="cellIs" dxfId="574"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zoomScaleNormal="100" zoomScaleSheetLayoutView="90" workbookViewId="0">
      <selection activeCell="D14" sqref="D14:G15"/>
    </sheetView>
  </sheetViews>
  <sheetFormatPr baseColWidth="10" defaultColWidth="10.6640625" defaultRowHeight="17.850000000000001" customHeight="1" x14ac:dyDescent="0.45"/>
  <cols>
    <col min="1" max="8" width="9.109375" style="42" customWidth="1"/>
    <col min="9" max="9" width="1.83203125" style="42" customWidth="1"/>
    <col min="10" max="12" width="16.21875" style="42" customWidth="1"/>
    <col min="13" max="13" width="11.77734375" style="1338" hidden="1" customWidth="1"/>
    <col min="14" max="14" width="7.6640625" style="1338" hidden="1" customWidth="1"/>
    <col min="15" max="23" width="10.6640625" style="1338" hidden="1" customWidth="1"/>
    <col min="24" max="25" width="10.6640625" style="267" customWidth="1"/>
    <col min="26" max="26" width="10.6640625" style="42" customWidth="1"/>
    <col min="27" max="16384" width="10.6640625" style="42"/>
  </cols>
  <sheetData>
    <row r="1" spans="1:25" s="211" customFormat="1" ht="44.35" customHeight="1" x14ac:dyDescent="0.45">
      <c r="A1" s="2750" t="s">
        <v>153</v>
      </c>
      <c r="B1" s="2751"/>
      <c r="C1" s="2751"/>
      <c r="D1" s="2751"/>
      <c r="E1" s="2751"/>
      <c r="F1" s="2751"/>
      <c r="G1" s="2751"/>
      <c r="H1" s="2751"/>
      <c r="I1" s="2752"/>
      <c r="J1" s="2416" t="s">
        <v>1112</v>
      </c>
      <c r="K1" s="2417"/>
      <c r="L1" s="2484"/>
      <c r="M1" s="1952" t="s">
        <v>297</v>
      </c>
      <c r="N1" s="1953">
        <f ca="1">F18-TODAY()</f>
        <v>-13</v>
      </c>
      <c r="O1" s="1942"/>
      <c r="P1" s="1942"/>
      <c r="Q1" s="1942"/>
      <c r="R1" s="1942"/>
      <c r="S1" s="1942"/>
      <c r="T1" s="1942"/>
      <c r="U1" s="1942"/>
      <c r="V1" s="1942"/>
      <c r="W1" s="1942"/>
      <c r="X1" s="1950"/>
      <c r="Y1" s="1950"/>
    </row>
    <row r="2" spans="1:25" ht="59.75" customHeight="1" x14ac:dyDescent="0.45">
      <c r="A2" s="2784"/>
      <c r="B2" s="1142"/>
      <c r="C2" s="1142"/>
      <c r="D2" s="1142"/>
      <c r="E2" s="1142"/>
      <c r="F2" s="1142"/>
      <c r="G2" s="1142"/>
      <c r="H2" s="1142"/>
      <c r="I2" s="1143"/>
      <c r="J2" s="2317"/>
      <c r="K2" s="2315"/>
      <c r="L2" s="2316"/>
      <c r="M2" s="1338" t="s">
        <v>296</v>
      </c>
      <c r="N2" s="1954">
        <f ca="1">H34-TODAY()</f>
        <v>-13</v>
      </c>
      <c r="P2" s="1955" t="s">
        <v>1080</v>
      </c>
      <c r="Q2" s="1338" t="str">
        <f ca="1">IF(AND(H6&gt;30,_OK?="OK!"),"Danke für die Nutzung des K3-Tools. Ihre Lizenz ist noch "&amp;TEXT(H6,"0")&amp;" Tage gültig. Informationen zur K3-Kalkulation erfahren Sie laufend auf www.bauwesen.at.","")</f>
        <v>Danke für die Nutzung des K3-Tools. Ihre Lizenz ist noch 46 Tage gültig. Informationen zur K3-Kalkulation erfahren Sie laufend auf www.bauwesen.at.</v>
      </c>
    </row>
    <row r="3" spans="1:25" ht="59.75" customHeight="1" x14ac:dyDescent="0.45">
      <c r="A3" s="2784"/>
      <c r="B3" s="1142"/>
      <c r="C3" s="1142"/>
      <c r="D3" s="1142"/>
      <c r="E3" s="1142"/>
      <c r="F3" s="1142"/>
      <c r="G3" s="1142"/>
      <c r="H3" s="1142"/>
      <c r="I3" s="1138"/>
      <c r="J3" s="2317"/>
      <c r="K3" s="2315"/>
      <c r="L3" s="2316"/>
      <c r="M3" s="1338" t="s">
        <v>298</v>
      </c>
      <c r="N3" s="1338">
        <f ca="1">H34-F18</f>
        <v>0</v>
      </c>
      <c r="P3" s="1955" t="s">
        <v>1081</v>
      </c>
      <c r="Q3" s="1338" t="str">
        <f ca="1">IF(AND(H6&lt;=30,H6&gt;0,_OK?="OK!"),"Lizenz läuft in Kürze am "&amp;TEXT('Lizenz u lies mich'!B14,"TT.MM.JJJJ")&amp;" ab. Danach können Sie das K3-TOOL nur mehr wenige Tage ohne Einschränkungen nutzen. "&amp;Q6,"")</f>
        <v/>
      </c>
    </row>
    <row r="4" spans="1:25" ht="59.75" customHeight="1" x14ac:dyDescent="0.45">
      <c r="A4" s="2784"/>
      <c r="B4" s="1142"/>
      <c r="C4" s="1142"/>
      <c r="D4" s="1142"/>
      <c r="E4" s="1142"/>
      <c r="F4" s="1142"/>
      <c r="G4" s="1142"/>
      <c r="H4" s="1142"/>
      <c r="I4" s="1138"/>
      <c r="J4" s="2317"/>
      <c r="K4" s="2315"/>
      <c r="L4" s="2316"/>
      <c r="P4" s="1955" t="s">
        <v>1084</v>
      </c>
      <c r="Q4" s="1338" t="str">
        <f ca="1">IF(AND(H6&lt;=0,_OK?="OK!"),"Lizenz ist am "&amp;TEXT('Lizenz u lies mich'!B14,"TT.MM.JJJJ")&amp;" abgelaufen. Sie können das K3-TOOL nur mehr wenige Tage ohne Einschränkungen nutzen. "&amp;Q6,"")</f>
        <v/>
      </c>
    </row>
    <row r="5" spans="1:25" ht="59.75" customHeight="1" x14ac:dyDescent="0.45">
      <c r="A5" s="2784"/>
      <c r="B5" s="1142"/>
      <c r="C5" s="1142"/>
      <c r="D5" s="1142"/>
      <c r="E5" s="1142"/>
      <c r="F5" s="1142"/>
      <c r="G5" s="1142"/>
      <c r="H5" s="1142"/>
      <c r="I5" s="1139"/>
      <c r="J5" s="2589"/>
      <c r="K5" s="2590"/>
      <c r="L5" s="2724"/>
      <c r="P5" s="1955" t="s">
        <v>1082</v>
      </c>
      <c r="Q5" s="1338" t="str">
        <f ca="1">IF(_OK?&lt;&gt;"OK!","Lizenz ist abgelaufen oder Sie verwenden das K3-TOOL ohne Lizenz. Das Tool ist mit allen Funktionen nutzbar, Ergebnisse sind jedoch gerundet und durchgestrichen angezeigt. "&amp;Q6,"")</f>
        <v/>
      </c>
    </row>
    <row r="6" spans="1:25" ht="17.850000000000001" customHeight="1" x14ac:dyDescent="0.45">
      <c r="A6" s="1180" t="s">
        <v>593</v>
      </c>
      <c r="B6" s="1140" t="str">
        <f>'Lizenz u lies mich'!B32:C32</f>
        <v>Vers V4.1</v>
      </c>
      <c r="C6" s="1141" t="s">
        <v>233</v>
      </c>
      <c r="D6" s="2601" t="str">
        <f ca="1">'Lizenz u lies mich'!B29</f>
        <v>Mittellohnpreisbroschüre EuM 2025</v>
      </c>
      <c r="E6" s="2601"/>
      <c r="F6" s="2601"/>
      <c r="G6" s="2601"/>
      <c r="H6" s="2604">
        <f ca="1">'Lizenz u lies mich'!B15</f>
        <v>46</v>
      </c>
      <c r="I6" s="2755"/>
      <c r="J6" s="2748" t="str">
        <f ca="1">Stammdaten!H11</f>
        <v/>
      </c>
      <c r="K6" s="2748"/>
      <c r="L6" s="2770" t="str">
        <f ca="1">Q2&amp;Q3&amp;Q4&amp;Q5</f>
        <v>Danke für die Nutzung des K3-Tools. Ihre Lizenz ist noch 46 Tage gültig. Informationen zur K3-Kalkulation erfahren Sie laufend auf www.bauwesen.at.</v>
      </c>
      <c r="M6" s="1338" t="s">
        <v>227</v>
      </c>
      <c r="P6" s="1955" t="s">
        <v>1083</v>
      </c>
      <c r="Q6" s="1943" t="s">
        <v>1085</v>
      </c>
    </row>
    <row r="7" spans="1:25" ht="20" customHeight="1" x14ac:dyDescent="0.45">
      <c r="A7" s="2772"/>
      <c r="B7" s="2773"/>
      <c r="C7" s="2773"/>
      <c r="D7" s="2773"/>
      <c r="E7" s="2773"/>
      <c r="F7" s="2773"/>
      <c r="G7" s="2773"/>
      <c r="H7" s="2773"/>
      <c r="I7" s="2773"/>
      <c r="J7" s="2749"/>
      <c r="K7" s="2749"/>
      <c r="L7" s="2770"/>
    </row>
    <row r="8" spans="1:25" ht="25.15" customHeight="1" x14ac:dyDescent="0.45">
      <c r="A8" s="2372" t="s">
        <v>828</v>
      </c>
      <c r="B8" s="2373"/>
      <c r="C8" s="2373"/>
      <c r="D8" s="2373"/>
      <c r="E8" s="2373"/>
      <c r="F8" s="2373"/>
      <c r="G8" s="2373"/>
      <c r="H8" s="2373"/>
      <c r="I8" s="2373"/>
      <c r="J8" s="2749"/>
      <c r="K8" s="2749"/>
      <c r="L8" s="2770"/>
      <c r="M8" s="1956">
        <v>0</v>
      </c>
      <c r="N8" s="1957">
        <v>1</v>
      </c>
    </row>
    <row r="9" spans="1:25" ht="17.850000000000001" customHeight="1" x14ac:dyDescent="0.45">
      <c r="A9" s="2774" t="s">
        <v>761</v>
      </c>
      <c r="B9" s="2775"/>
      <c r="C9" s="2775"/>
      <c r="D9" s="2775"/>
      <c r="E9" s="2775"/>
      <c r="F9" s="2775"/>
      <c r="G9" s="2775"/>
      <c r="H9" s="2775"/>
      <c r="I9" s="2775"/>
      <c r="J9" s="2749"/>
      <c r="K9" s="2749"/>
      <c r="L9" s="2770"/>
      <c r="M9" s="1958">
        <v>1</v>
      </c>
      <c r="N9" s="1959">
        <v>2</v>
      </c>
    </row>
    <row r="10" spans="1:25" ht="17.850000000000001" customHeight="1" x14ac:dyDescent="0.45">
      <c r="A10" s="2774"/>
      <c r="B10" s="2775"/>
      <c r="C10" s="2775"/>
      <c r="D10" s="2775"/>
      <c r="E10" s="2775"/>
      <c r="F10" s="2775"/>
      <c r="G10" s="2775"/>
      <c r="H10" s="2775"/>
      <c r="I10" s="2775"/>
      <c r="J10" s="2749"/>
      <c r="K10" s="2749"/>
      <c r="L10" s="2770"/>
      <c r="M10" s="1958">
        <v>2</v>
      </c>
      <c r="N10" s="1959">
        <v>3</v>
      </c>
    </row>
    <row r="11" spans="1:25" ht="17.850000000000001" customHeight="1" x14ac:dyDescent="0.45">
      <c r="A11" s="2771" t="s">
        <v>479</v>
      </c>
      <c r="B11" s="2573"/>
      <c r="C11" s="2574"/>
      <c r="D11" s="2753" t="str">
        <f ca="1">'Lizenz u lies mich'!B22</f>
        <v>Mittellohnpreisbroschüre EuM 2025</v>
      </c>
      <c r="E11" s="2573"/>
      <c r="F11" s="2573"/>
      <c r="G11" s="2573"/>
      <c r="H11" s="2764"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Diese Bezeichnung entspricht jener ihrer Lizenz.</v>
      </c>
      <c r="I11" s="2764"/>
      <c r="J11" s="2749"/>
      <c r="K11" s="2749"/>
      <c r="L11" s="2770"/>
      <c r="M11" s="1958">
        <v>3</v>
      </c>
      <c r="N11" s="1959">
        <v>4</v>
      </c>
    </row>
    <row r="12" spans="1:25" ht="17.850000000000001" customHeight="1" x14ac:dyDescent="0.45">
      <c r="A12" s="2317"/>
      <c r="B12" s="2501"/>
      <c r="C12" s="2502"/>
      <c r="D12" s="2754" t="str">
        <f ca="1">'Lizenz u lies mich'!B23</f>
        <v>Laufzeit bis 1.3.2025</v>
      </c>
      <c r="E12" s="2501"/>
      <c r="F12" s="2501"/>
      <c r="G12" s="2501"/>
      <c r="H12" s="2764"/>
      <c r="I12" s="2764"/>
      <c r="J12" s="2749"/>
      <c r="K12" s="2749"/>
      <c r="L12" s="2770"/>
      <c r="M12" s="1960">
        <v>4</v>
      </c>
      <c r="N12" s="1961"/>
    </row>
    <row r="13" spans="1:25" ht="17.850000000000001" customHeight="1" x14ac:dyDescent="0.45">
      <c r="A13" s="2754"/>
      <c r="B13" s="2501"/>
      <c r="C13" s="2502"/>
      <c r="D13" s="2503" t="str">
        <f ca="1">'Lizenz u lies mich'!B24</f>
        <v/>
      </c>
      <c r="E13" s="2504"/>
      <c r="F13" s="2504"/>
      <c r="G13" s="2504"/>
      <c r="H13" s="2764"/>
      <c r="I13" s="2764"/>
      <c r="J13" s="2749"/>
      <c r="K13" s="2749"/>
      <c r="L13" s="2770"/>
    </row>
    <row r="14" spans="1:25" ht="17.850000000000001" customHeight="1" x14ac:dyDescent="0.45">
      <c r="A14" s="2760" t="s">
        <v>478</v>
      </c>
      <c r="B14" s="2761"/>
      <c r="C14" s="2761"/>
      <c r="D14" s="2507" t="s">
        <v>1131</v>
      </c>
      <c r="E14" s="2507"/>
      <c r="F14" s="2507"/>
      <c r="G14" s="2507"/>
      <c r="H14" s="2764"/>
      <c r="I14" s="2764"/>
      <c r="J14" s="2749"/>
      <c r="K14" s="2749"/>
      <c r="L14" s="2770"/>
    </row>
    <row r="15" spans="1:25" ht="17.850000000000001" customHeight="1" x14ac:dyDescent="0.45">
      <c r="A15" s="2762"/>
      <c r="B15" s="2763"/>
      <c r="C15" s="2763"/>
      <c r="D15" s="2509"/>
      <c r="E15" s="2509"/>
      <c r="F15" s="2509"/>
      <c r="G15" s="2509"/>
      <c r="H15" s="2764"/>
      <c r="I15" s="2764"/>
      <c r="J15" s="2749"/>
      <c r="K15" s="2749"/>
      <c r="L15" s="2770"/>
    </row>
    <row r="16" spans="1:25" ht="17.850000000000001" customHeight="1" x14ac:dyDescent="0.45">
      <c r="A16" s="2317" t="s">
        <v>480</v>
      </c>
      <c r="B16" s="2501"/>
      <c r="C16" s="2501"/>
      <c r="D16" s="2529" t="s">
        <v>1130</v>
      </c>
      <c r="E16" s="2529"/>
      <c r="F16" s="2529"/>
      <c r="G16" s="2529"/>
      <c r="H16" s="2764"/>
      <c r="I16" s="2764"/>
      <c r="J16" s="2749" t="str">
        <f ca="1">IF(J6="","","Bitte tragen Sie den Dateinamen der Quelldatei im Blatt STAMMDATEN ein.")</f>
        <v/>
      </c>
      <c r="K16" s="2749"/>
      <c r="L16" s="2770"/>
    </row>
    <row r="17" spans="1:18" ht="17.850000000000001" customHeight="1" x14ac:dyDescent="0.45">
      <c r="A17" s="2503"/>
      <c r="B17" s="2504"/>
      <c r="C17" s="2504"/>
      <c r="D17" s="2509"/>
      <c r="E17" s="2509"/>
      <c r="F17" s="2507"/>
      <c r="G17" s="2507"/>
      <c r="H17" s="2764"/>
      <c r="I17" s="2764"/>
      <c r="J17" s="2749"/>
      <c r="K17" s="2749"/>
      <c r="L17" s="2770"/>
    </row>
    <row r="18" spans="1:18" ht="17.850000000000001" customHeight="1" x14ac:dyDescent="0.45">
      <c r="A18" s="46" t="s">
        <v>481</v>
      </c>
      <c r="B18" s="2758" t="s">
        <v>1132</v>
      </c>
      <c r="C18" s="2759"/>
      <c r="D18" s="2277" t="s">
        <v>482</v>
      </c>
      <c r="E18" s="2278"/>
      <c r="F18" s="2731">
        <v>45658</v>
      </c>
      <c r="G18" s="2731"/>
      <c r="H18" s="438"/>
      <c r="I18" s="438"/>
      <c r="J18" s="232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29"/>
      <c r="L18" s="2770"/>
    </row>
    <row r="19" spans="1:18" ht="17.850000000000001" customHeight="1" x14ac:dyDescent="0.45">
      <c r="A19" s="601" t="s">
        <v>747</v>
      </c>
      <c r="B19" s="2756" t="s">
        <v>1133</v>
      </c>
      <c r="C19" s="2757"/>
      <c r="D19" s="2280"/>
      <c r="E19" s="2281"/>
      <c r="F19" s="2732"/>
      <c r="G19" s="2732"/>
      <c r="H19" s="438"/>
      <c r="I19" s="438"/>
      <c r="J19" s="2329"/>
      <c r="K19" s="2329"/>
      <c r="L19" s="2770"/>
    </row>
    <row r="20" spans="1:18" ht="17.850000000000001" customHeight="1" x14ac:dyDescent="0.45">
      <c r="A20" s="2765" t="s">
        <v>433</v>
      </c>
      <c r="B20" s="2766"/>
      <c r="C20" s="2766"/>
      <c r="D20" s="2766"/>
      <c r="E20" s="2766"/>
      <c r="F20" s="2725"/>
      <c r="G20" s="2726"/>
      <c r="H20" s="438"/>
      <c r="I20" s="438"/>
      <c r="J20" s="2329"/>
      <c r="K20" s="2329"/>
      <c r="L20" s="2770"/>
    </row>
    <row r="21" spans="1:18" ht="17.850000000000001" customHeight="1" x14ac:dyDescent="0.45">
      <c r="A21" s="2313" t="s">
        <v>993</v>
      </c>
      <c r="B21" s="2314"/>
      <c r="C21" s="2314"/>
      <c r="D21" s="2314"/>
      <c r="E21" s="2314"/>
      <c r="F21" s="2314"/>
      <c r="G21" s="2314"/>
      <c r="H21" s="2314"/>
      <c r="I21" s="438"/>
      <c r="J21" s="2329"/>
      <c r="K21" s="2329"/>
      <c r="L21" s="761"/>
    </row>
    <row r="22" spans="1:18" ht="17.850000000000001" customHeight="1" x14ac:dyDescent="0.45">
      <c r="A22" s="2778" t="s">
        <v>1047</v>
      </c>
      <c r="B22" s="2779"/>
      <c r="C22" s="2779"/>
      <c r="D22" s="2779"/>
      <c r="E22" s="2779"/>
      <c r="F22" s="2779"/>
      <c r="G22" s="2779"/>
      <c r="H22" s="2779"/>
      <c r="I22" s="438"/>
      <c r="J22" s="2329"/>
      <c r="K22" s="2329"/>
      <c r="L22" s="761"/>
    </row>
    <row r="23" spans="1:18" ht="17.850000000000001" customHeight="1" x14ac:dyDescent="0.45">
      <c r="A23" s="2780"/>
      <c r="B23" s="2781"/>
      <c r="C23" s="2781"/>
      <c r="D23" s="2781"/>
      <c r="E23" s="2781"/>
      <c r="F23" s="2781"/>
      <c r="G23" s="2781"/>
      <c r="H23" s="2781"/>
      <c r="I23" s="438"/>
      <c r="J23" s="2329"/>
      <c r="K23" s="2329"/>
      <c r="L23" s="761"/>
    </row>
    <row r="24" spans="1:18" ht="17.850000000000001" customHeight="1" x14ac:dyDescent="0.45">
      <c r="A24" s="2780"/>
      <c r="B24" s="2781"/>
      <c r="C24" s="2781"/>
      <c r="D24" s="2781"/>
      <c r="E24" s="2781"/>
      <c r="F24" s="2781"/>
      <c r="G24" s="2781"/>
      <c r="H24" s="2781"/>
      <c r="I24" s="438"/>
      <c r="J24" s="2329"/>
      <c r="K24" s="2329"/>
      <c r="L24" s="761"/>
    </row>
    <row r="25" spans="1:18" ht="17.850000000000001" customHeight="1" x14ac:dyDescent="0.45">
      <c r="A25" s="2780"/>
      <c r="B25" s="2781"/>
      <c r="C25" s="2781"/>
      <c r="D25" s="2781"/>
      <c r="E25" s="2781"/>
      <c r="F25" s="2781"/>
      <c r="G25" s="2781"/>
      <c r="H25" s="2781"/>
      <c r="I25" s="438"/>
      <c r="J25" s="2329"/>
      <c r="K25" s="2329"/>
      <c r="L25" s="761"/>
    </row>
    <row r="26" spans="1:18" ht="17.850000000000001" customHeight="1" x14ac:dyDescent="0.45">
      <c r="A26" s="2782"/>
      <c r="B26" s="2783"/>
      <c r="C26" s="2783"/>
      <c r="D26" s="2783"/>
      <c r="E26" s="2783"/>
      <c r="F26" s="2783"/>
      <c r="G26" s="2783"/>
      <c r="H26" s="2783"/>
      <c r="I26" s="438"/>
      <c r="J26" s="1094"/>
      <c r="K26" s="1094"/>
      <c r="L26" s="761"/>
    </row>
    <row r="27" spans="1:18" ht="17.850000000000001" customHeight="1" x14ac:dyDescent="0.45">
      <c r="A27" s="2735"/>
      <c r="B27" s="2736"/>
      <c r="C27" s="2701"/>
      <c r="D27" s="2701"/>
      <c r="E27" s="2701"/>
      <c r="F27" s="2701"/>
      <c r="G27" s="2701"/>
      <c r="H27" s="2701"/>
      <c r="I27" s="438"/>
      <c r="L27" s="2737"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45">
      <c r="A28" s="2727" t="s">
        <v>320</v>
      </c>
      <c r="B28" s="2728"/>
      <c r="C28" s="2711" t="s">
        <v>5</v>
      </c>
      <c r="D28" s="2712"/>
      <c r="E28" s="2301" t="s">
        <v>1062</v>
      </c>
      <c r="F28" s="2302"/>
      <c r="G28" s="2302"/>
      <c r="H28" s="2302"/>
      <c r="I28" s="438"/>
      <c r="J28" s="2718" t="str">
        <f>IF(OR(ISBLANK(C28),ISBLANK(C29)),"Bitte Auswählen: Lohn | Gehalt bzw Montage | Fertigung | Dienstleistung","")</f>
        <v/>
      </c>
      <c r="K28" s="2718"/>
      <c r="L28" s="2737"/>
    </row>
    <row r="29" spans="1:18" ht="17.850000000000001" customHeight="1" x14ac:dyDescent="0.45">
      <c r="A29" s="2729"/>
      <c r="B29" s="2730"/>
      <c r="C29" s="2767" t="s">
        <v>152</v>
      </c>
      <c r="D29" s="2712"/>
      <c r="E29" s="1303" t="s">
        <v>1063</v>
      </c>
      <c r="F29" s="2299"/>
      <c r="G29" s="2300"/>
      <c r="H29" s="2300"/>
      <c r="I29" s="438"/>
      <c r="J29" s="2718"/>
      <c r="K29" s="2718"/>
      <c r="L29" s="2737"/>
    </row>
    <row r="30" spans="1:18" ht="17.850000000000001" customHeight="1" x14ac:dyDescent="0.45">
      <c r="A30" s="2776" t="str">
        <f>"Berechnung erfolgt für ["&amp;' K3 PP'!B45&amp;" ("&amp;C29&amp;")]"</f>
        <v>Berechnung erfolgt für [Mittellohnpreis (Montage)]</v>
      </c>
      <c r="B30" s="2777"/>
      <c r="C30" s="2777"/>
      <c r="D30" s="2777"/>
      <c r="E30" s="2777"/>
      <c r="F30" s="2777"/>
      <c r="G30" s="2777"/>
      <c r="H30" s="2777"/>
      <c r="I30" s="438"/>
      <c r="J30" s="1109"/>
      <c r="K30" s="1109"/>
      <c r="L30" s="2737"/>
      <c r="M30" s="1962" t="s">
        <v>616</v>
      </c>
      <c r="N30" s="1963"/>
      <c r="O30" s="1962" t="s">
        <v>618</v>
      </c>
      <c r="P30" s="1964"/>
      <c r="Q30" s="1965" t="s">
        <v>679</v>
      </c>
      <c r="R30" s="1966" t="s">
        <v>808</v>
      </c>
    </row>
    <row r="31" spans="1:18" ht="17.850000000000001" customHeight="1" x14ac:dyDescent="0.5">
      <c r="A31" s="2768"/>
      <c r="B31" s="2769"/>
      <c r="C31" s="2769"/>
      <c r="D31" s="2769"/>
      <c r="E31" s="2769"/>
      <c r="F31" s="2769"/>
      <c r="G31" s="2769"/>
      <c r="H31" s="2769"/>
      <c r="I31" s="2769"/>
      <c r="J31" s="1109"/>
      <c r="K31" s="1109"/>
      <c r="L31" s="2737"/>
      <c r="M31" s="1967" t="s">
        <v>5</v>
      </c>
      <c r="O31" s="1968" t="s">
        <v>152</v>
      </c>
      <c r="P31" s="1969"/>
      <c r="Q31" s="1963" t="s">
        <v>192</v>
      </c>
      <c r="R31" s="1970" t="s">
        <v>107</v>
      </c>
    </row>
    <row r="32" spans="1:18" ht="25.15" customHeight="1" x14ac:dyDescent="0.5">
      <c r="A32" s="2372" t="s">
        <v>646</v>
      </c>
      <c r="B32" s="2373"/>
      <c r="C32" s="2373"/>
      <c r="D32" s="2373"/>
      <c r="E32" s="2373"/>
      <c r="F32" s="2373"/>
      <c r="G32" s="2373"/>
      <c r="H32" s="2373"/>
      <c r="I32" s="438"/>
      <c r="J32" s="2306" t="str">
        <f ca="1">IFERROR(IF((TODAY()-H34)&gt;365,"KollV-Datum ist älter als 1 Jahr. Bitte KollV auf Aktualität prüfen und KollV-Gültigkeitsdatum in der Quelldatei aktualisieren!",IF((TODAY()-H34)&lt;-100,"KollV-Datum liegt 100 oder mehr Tage in der Zukunft!","")),"")</f>
        <v/>
      </c>
      <c r="K32" s="2306"/>
      <c r="L32" s="2737"/>
      <c r="M32" s="1967" t="s">
        <v>151</v>
      </c>
      <c r="O32" s="1968" t="s">
        <v>154</v>
      </c>
      <c r="P32" s="1969"/>
      <c r="Q32" s="1971" t="s">
        <v>193</v>
      </c>
      <c r="R32" s="1972" t="s">
        <v>810</v>
      </c>
    </row>
    <row r="33" spans="1:17" ht="17.850000000000001" customHeight="1" x14ac:dyDescent="0.5">
      <c r="A33" s="2733" t="str">
        <f ca="1">IF(OR(E55=0,H56=1),"B1) Produktives Personal","B1) Personal (der produktive Teil davon ergibt sich nach Abzug B2.a)")</f>
        <v>B1) Personal (der produktive Teil davon ergibt sich nach Abzug B2.a)</v>
      </c>
      <c r="B33" s="2734"/>
      <c r="C33" s="2734"/>
      <c r="D33" s="2734"/>
      <c r="E33" s="2734"/>
      <c r="F33" s="2734"/>
      <c r="G33" s="2734"/>
      <c r="H33" s="2734"/>
      <c r="I33" s="438"/>
      <c r="J33" s="2306"/>
      <c r="K33" s="2306"/>
      <c r="L33" s="2737"/>
      <c r="M33" s="1973" t="str">
        <f>IF(C28=M31,"Mittellohnkosten","Mittelgehaltkosten")</f>
        <v>Mittellohnkosten</v>
      </c>
      <c r="O33" s="1952" t="s">
        <v>626</v>
      </c>
      <c r="P33" s="1969"/>
    </row>
    <row r="34" spans="1:17" ht="17.850000000000001" customHeight="1" x14ac:dyDescent="0.45">
      <c r="A34" s="156" t="s">
        <v>778</v>
      </c>
      <c r="B34" s="2491" t="str">
        <f ca="1">IFERROR(Stammdaten!B3,"Kein KollV gefunden!")</f>
        <v>KollV Eisen- und Metallverarbeitende Gewerbe (ArbeiterInnen)</v>
      </c>
      <c r="C34" s="2492"/>
      <c r="D34" s="2492"/>
      <c r="E34" s="2492"/>
      <c r="F34" s="2492"/>
      <c r="G34" s="2544"/>
      <c r="H34" s="1277">
        <f ca="1">Stammdaten!B4</f>
        <v>45658</v>
      </c>
      <c r="I34" s="438"/>
      <c r="J34" s="2306"/>
      <c r="K34" s="2306"/>
      <c r="L34" s="2737"/>
      <c r="M34" s="1974" t="str">
        <f>IF(C28=M31,"Mittellohnpreis","Mittelgehaltpreis")</f>
        <v>Mittellohnpreis</v>
      </c>
      <c r="O34" s="1952" t="s">
        <v>617</v>
      </c>
      <c r="P34" s="1969"/>
      <c r="Q34" s="1965" t="s">
        <v>1090</v>
      </c>
    </row>
    <row r="35" spans="1:17" ht="17.850000000000001" customHeight="1" thickBot="1" x14ac:dyDescent="0.5">
      <c r="A35" s="2583" t="s">
        <v>777</v>
      </c>
      <c r="B35" s="2584"/>
      <c r="C35" s="2584"/>
      <c r="D35" s="927" t="s">
        <v>800</v>
      </c>
      <c r="E35" s="712" t="s">
        <v>453</v>
      </c>
      <c r="F35" s="1008" t="s">
        <v>594</v>
      </c>
      <c r="G35" s="643" t="s">
        <v>595</v>
      </c>
      <c r="H35" s="926" t="s">
        <v>596</v>
      </c>
      <c r="I35" s="438"/>
      <c r="J35" s="2306"/>
      <c r="K35" s="2306"/>
      <c r="L35" s="2737"/>
      <c r="M35" s="1965" t="s">
        <v>565</v>
      </c>
      <c r="N35" s="1965" t="s">
        <v>568</v>
      </c>
      <c r="O35" s="1965" t="s">
        <v>735</v>
      </c>
      <c r="P35" s="1975"/>
      <c r="Q35" s="1338" t="s">
        <v>1088</v>
      </c>
    </row>
    <row r="36" spans="1:17" ht="17.850000000000001" customHeight="1" thickTop="1" thickBot="1" x14ac:dyDescent="0.55000000000000004">
      <c r="A36" s="2715" t="s">
        <v>1121</v>
      </c>
      <c r="B36" s="2716"/>
      <c r="C36" s="2717"/>
      <c r="D36" s="51">
        <f ca="1">IF(L$27="",IFERROR(VLOOKUP(A36,Stammdaten!A$7:D$33,4,FALSE),KALKULATION!$M$283),"ungültig")</f>
        <v>19.91</v>
      </c>
      <c r="E36" s="327">
        <v>2</v>
      </c>
      <c r="F36" s="139">
        <f t="shared" ref="F36:F44" ca="1" si="0">IFERROR(IF(AND(A36&lt;&gt;"",D36&lt;&gt;M$283),E36/E$45,""),"")</f>
        <v>0.5</v>
      </c>
      <c r="G36" s="136">
        <f ca="1">IFERROR(VLOOKUP(A36,Stammdaten!A$7:F$33,4,FALSE)*F36,"")</f>
        <v>9.9550000000000001</v>
      </c>
      <c r="H36" s="1217">
        <f ca="1">IFERROR(VLOOKUP(A36,Stammdaten!A$7:F$33,6,FALSE)*F36,"")</f>
        <v>1.4950000000000001</v>
      </c>
      <c r="I36" s="575"/>
      <c r="J36" s="2306" t="str">
        <f ca="1">IF(OR(COUNTA(A36,E36)=2,COUNTA(A36,E36)=0),IF(D36=KALKULATION!$M$283,"Auswahl erneut vornehmen (ungültiger Verweis)!",""),"Eingabe unvollständig (ergänzen oder löschen)!")</f>
        <v/>
      </c>
      <c r="K36" s="2306"/>
      <c r="L36" s="2307"/>
      <c r="M36" s="1976" t="str">
        <f t="shared" ref="M36:M62" ca="1" si="1">IFERROR(INDIRECT("O"&amp;(SMALL(P$36:P$62,ROW(P36)-ROW(P$36)+1))),"")</f>
        <v>LG T Techniker</v>
      </c>
      <c r="N36" s="1338">
        <f t="shared" ref="N36:N62" ca="1" si="2">IF(M36="","",ROW())</f>
        <v>36</v>
      </c>
      <c r="O36" s="1976" t="str">
        <f ca="1">IF(Stammdaten!A7=0,"",Stammdaten!A7)</f>
        <v>LG T Techniker</v>
      </c>
      <c r="P36" s="1969">
        <f t="shared" ref="P36:P61" ca="1" si="3">IF(O36="","",1*ROW())</f>
        <v>36</v>
      </c>
      <c r="Q36" s="1338" t="s">
        <v>1089</v>
      </c>
    </row>
    <row r="37" spans="1:17" ht="17.850000000000001" customHeight="1" thickBot="1" x14ac:dyDescent="0.55000000000000004">
      <c r="A37" s="2299" t="s">
        <v>1122</v>
      </c>
      <c r="B37" s="2300"/>
      <c r="C37" s="2328"/>
      <c r="D37" s="51">
        <f ca="1">IF(L$27="",IFERROR(VLOOKUP(A37,Stammdaten!A$7:D$33,4,FALSE),KALKULATION!$M$283),"ungültig")</f>
        <v>15.39</v>
      </c>
      <c r="E37" s="327">
        <v>2</v>
      </c>
      <c r="F37" s="139">
        <f t="shared" ca="1" si="0"/>
        <v>0.5</v>
      </c>
      <c r="G37" s="54">
        <f ca="1">IFERROR(VLOOKUP(A37,Stammdaten!A$7:F$33,4,FALSE)*F37,"")</f>
        <v>7.6950000000000003</v>
      </c>
      <c r="H37" s="1218">
        <f ca="1">IFERROR(VLOOKUP(A37,Stammdaten!A$7:F$33,6,FALSE)*F37,"")</f>
        <v>1.155</v>
      </c>
      <c r="I37" s="575"/>
      <c r="J37" s="2306" t="str">
        <f ca="1">IF(OR(COUNTA(A37,E37)=2,COUNTA(A37,E37)=0),IF(D37=KALKULATION!$M$283,"Auswahl erneut vornehmen (ungültiger Verweis)!",""),"Eingabe unvollständig (ergänzen oder löschen)!")</f>
        <v/>
      </c>
      <c r="K37" s="2306"/>
      <c r="L37" s="2307"/>
      <c r="M37" s="1976" t="str">
        <f t="shared" ca="1" si="1"/>
        <v>LG 1 Spitzenfacharbeiter</v>
      </c>
      <c r="N37" s="1338">
        <f t="shared" ca="1" si="2"/>
        <v>37</v>
      </c>
      <c r="O37" s="1976" t="str">
        <f ca="1">IF(Stammdaten!A8=0,"",Stammdaten!A8)</f>
        <v>LG 1 Spitzenfacharbeiter</v>
      </c>
      <c r="P37" s="1969">
        <f t="shared" ca="1" si="3"/>
        <v>37</v>
      </c>
    </row>
    <row r="38" spans="1:17" ht="17.850000000000001" customHeight="1" thickBot="1" x14ac:dyDescent="0.55000000000000004">
      <c r="A38" s="2299"/>
      <c r="B38" s="2300"/>
      <c r="C38" s="2328"/>
      <c r="D38" s="51">
        <f ca="1">IF(L$27="",IFERROR(VLOOKUP(A38,Stammdaten!A$7:D$33,4,FALSE),KALKULATION!$M$283),"ungültig")</f>
        <v>0</v>
      </c>
      <c r="E38" s="327"/>
      <c r="F38" s="139" t="str">
        <f t="shared" ca="1" si="0"/>
        <v/>
      </c>
      <c r="G38" s="54" t="str">
        <f ca="1">IFERROR(VLOOKUP(A38,Stammdaten!A$7:F$33,4,FALSE)*F38,"")</f>
        <v/>
      </c>
      <c r="H38" s="1218" t="str">
        <f ca="1">IFERROR(VLOOKUP(A38,Stammdaten!A$7:F$33,6,FALSE)*F38,"")</f>
        <v/>
      </c>
      <c r="I38" s="575"/>
      <c r="J38" s="2306" t="str">
        <f ca="1">IF(OR(COUNTA(A38,E38)=2,COUNTA(A38,E38)=0),IF(D38=KALKULATION!$M$283,"Auswahl erneut vornehmen (ungültiger Verweis)!",""),"Eingabe unvollständig (ergänzen oder löschen)!")</f>
        <v/>
      </c>
      <c r="K38" s="2306"/>
      <c r="L38" s="2307"/>
      <c r="M38" s="1976" t="str">
        <f t="shared" ca="1" si="1"/>
        <v>LG 2 Qualifizierter Facharbeiter</v>
      </c>
      <c r="N38" s="1338">
        <f t="shared" ca="1" si="2"/>
        <v>38</v>
      </c>
      <c r="O38" s="1976" t="str">
        <f ca="1">IF(Stammdaten!A9=0,"",Stammdaten!A9)</f>
        <v>LG 2 Qualifizierter Facharbeiter</v>
      </c>
      <c r="P38" s="1969">
        <f t="shared" ca="1" si="3"/>
        <v>38</v>
      </c>
    </row>
    <row r="39" spans="1:17" ht="17.850000000000001" customHeight="1" thickBot="1" x14ac:dyDescent="0.55000000000000004">
      <c r="A39" s="2299"/>
      <c r="B39" s="2300"/>
      <c r="C39" s="2328"/>
      <c r="D39" s="51">
        <f ca="1">IF(L$27="",IFERROR(VLOOKUP(A39,Stammdaten!A$7:D$33,4,FALSE),KALKULATION!$M$283),"ungültig")</f>
        <v>0</v>
      </c>
      <c r="E39" s="327"/>
      <c r="F39" s="139" t="str">
        <f t="shared" ca="1" si="0"/>
        <v/>
      </c>
      <c r="G39" s="54" t="str">
        <f ca="1">IFERROR(VLOOKUP(A39,Stammdaten!A$7:F$33,4,FALSE)*F39,"")</f>
        <v/>
      </c>
      <c r="H39" s="1218" t="str">
        <f ca="1">IFERROR(VLOOKUP(A39,Stammdaten!A$7:F$33,6,FALSE)*F39,"")</f>
        <v/>
      </c>
      <c r="I39" s="575"/>
      <c r="J39" s="2306" t="str">
        <f ca="1">IF(OR(COUNTA(A39,E39)=2,COUNTA(A39,E39)=0),IF(D39=KALKULATION!$M$283,"Auswahl erneut vornehmen (ungültiger Verweis)!",""),"Eingabe unvollständig (ergänzen oder löschen)!")</f>
        <v/>
      </c>
      <c r="K39" s="2306"/>
      <c r="L39" s="2307"/>
      <c r="M39" s="1976" t="str">
        <f t="shared" ca="1" si="1"/>
        <v xml:space="preserve">LG 3 Facharbeiter </v>
      </c>
      <c r="N39" s="1338">
        <f t="shared" ca="1" si="2"/>
        <v>39</v>
      </c>
      <c r="O39" s="1976" t="str">
        <f ca="1">IF(Stammdaten!A10=0,"",Stammdaten!A10)</f>
        <v xml:space="preserve">LG 3 Facharbeiter </v>
      </c>
      <c r="P39" s="1969">
        <f t="shared" ca="1" si="3"/>
        <v>39</v>
      </c>
    </row>
    <row r="40" spans="1:17" ht="17.850000000000001" customHeight="1" thickBot="1" x14ac:dyDescent="0.55000000000000004">
      <c r="A40" s="2299"/>
      <c r="B40" s="2300"/>
      <c r="C40" s="2328"/>
      <c r="D40" s="51">
        <f ca="1">IF(L$27="",IFERROR(VLOOKUP(A40,Stammdaten!A$7:D$33,4,FALSE),KALKULATION!$M$283),"ungültig")</f>
        <v>0</v>
      </c>
      <c r="E40" s="327"/>
      <c r="F40" s="139" t="str">
        <f t="shared" ca="1" si="0"/>
        <v/>
      </c>
      <c r="G40" s="54" t="str">
        <f ca="1">IFERROR(VLOOKUP(A40,Stammdaten!A$7:F$33,4,FALSE)*F40,"")</f>
        <v/>
      </c>
      <c r="H40" s="1218" t="str">
        <f ca="1">IFERROR(VLOOKUP(A40,Stammdaten!A$7:F$33,6,FALSE)*F40,"")</f>
        <v/>
      </c>
      <c r="I40" s="575"/>
      <c r="J40" s="2306" t="str">
        <f ca="1">IF(OR(COUNTA(A40,E40)=2,COUNTA(A40,E40)=0),IF(D40=KALKULATION!$M$283,"Auswahl erneut vornehmen (ungültiger Verweis)!",""),"Eingabe unvollständig (ergänzen oder löschen)!")</f>
        <v/>
      </c>
      <c r="K40" s="2306"/>
      <c r="L40" s="2307"/>
      <c r="M40" s="1976" t="str">
        <f t="shared" ca="1" si="1"/>
        <v>LG 4 Besonders qualifizierter Arbeitnehmer</v>
      </c>
      <c r="N40" s="1338">
        <f t="shared" ca="1" si="2"/>
        <v>40</v>
      </c>
      <c r="O40" s="1976" t="str">
        <f ca="1">IF(Stammdaten!A11=0,"",Stammdaten!A11)</f>
        <v>LG 4 Besonders qualifizierter Arbeitnehmer</v>
      </c>
      <c r="P40" s="1969">
        <f t="shared" ca="1" si="3"/>
        <v>40</v>
      </c>
    </row>
    <row r="41" spans="1:17" ht="17.850000000000001" customHeight="1" thickBot="1" x14ac:dyDescent="0.55000000000000004">
      <c r="A41" s="2299"/>
      <c r="B41" s="2300"/>
      <c r="C41" s="2328"/>
      <c r="D41" s="51">
        <f ca="1">IF(L$27="",IFERROR(VLOOKUP(A41,Stammdaten!A$7:D$33,4,FALSE),KALKULATION!$M$283),"ungültig")</f>
        <v>0</v>
      </c>
      <c r="E41" s="327"/>
      <c r="F41" s="139" t="str">
        <f t="shared" ca="1" si="0"/>
        <v/>
      </c>
      <c r="G41" s="54" t="str">
        <f ca="1">IFERROR(VLOOKUP(A41,Stammdaten!A$7:F$33,4,FALSE)*F41,"")</f>
        <v/>
      </c>
      <c r="H41" s="1218" t="str">
        <f ca="1">IFERROR(VLOOKUP(A41,Stammdaten!A$7:F$33,6,FALSE)*F41,"")</f>
        <v/>
      </c>
      <c r="I41" s="575"/>
      <c r="J41" s="2306" t="str">
        <f ca="1">IF(OR(COUNTA(A41,E41)=2,COUNTA(A41,E41)=0),IF(D41=KALKULATION!$M$283,"Auswahl erneut vornehmen (ungültiger Verweis)!",""),"Eingabe unvollständig (ergänzen oder löschen)!")</f>
        <v/>
      </c>
      <c r="K41" s="2306"/>
      <c r="L41" s="2307"/>
      <c r="M41" s="1976" t="str">
        <f t="shared" ca="1" si="1"/>
        <v>LG 5 Qualifizierter Arbeitnehmer</v>
      </c>
      <c r="N41" s="1338">
        <f t="shared" ca="1" si="2"/>
        <v>41</v>
      </c>
      <c r="O41" s="1976" t="str">
        <f ca="1">IF(Stammdaten!A12=0,"",Stammdaten!A12)</f>
        <v>LG 5 Qualifizierter Arbeitnehmer</v>
      </c>
      <c r="P41" s="1969">
        <f t="shared" ca="1" si="3"/>
        <v>41</v>
      </c>
    </row>
    <row r="42" spans="1:17" ht="18" customHeight="1" thickBot="1" x14ac:dyDescent="0.55000000000000004">
      <c r="A42" s="2299"/>
      <c r="B42" s="2300"/>
      <c r="C42" s="2328"/>
      <c r="D42" s="51">
        <f ca="1">IF(L$27="",IFERROR(VLOOKUP(A42,Stammdaten!A$7:D$33,4,FALSE),KALKULATION!$M$283),"ungültig")</f>
        <v>0</v>
      </c>
      <c r="E42" s="327"/>
      <c r="F42" s="139" t="str">
        <f t="shared" ca="1" si="0"/>
        <v/>
      </c>
      <c r="G42" s="54" t="str">
        <f ca="1">IFERROR(VLOOKUP(A42,Stammdaten!A$7:F$33,4,FALSE)*F42,"")</f>
        <v/>
      </c>
      <c r="H42" s="1218" t="str">
        <f ca="1">IFERROR(VLOOKUP(A42,Stammdaten!A$7:F$33,6,FALSE)*F42,"")</f>
        <v/>
      </c>
      <c r="I42" s="575"/>
      <c r="J42" s="2306" t="str">
        <f ca="1">IF(OR(COUNTA(A42,E42)=2,COUNTA(A42,E42)=0),IF(D42=KALKULATION!$M$283,"Auswahl erneut vornehmen (ungültiger Verweis)!",""),"Eingabe unvollständig (ergänzen oder löschen)!")</f>
        <v/>
      </c>
      <c r="K42" s="2306"/>
      <c r="L42" s="2307"/>
      <c r="M42" s="1976" t="str">
        <f t="shared" ca="1" si="1"/>
        <v>LG 6 Arbeitnehmer mit Zweckausbildung</v>
      </c>
      <c r="N42" s="1338">
        <f t="shared" ca="1" si="2"/>
        <v>42</v>
      </c>
      <c r="O42" s="1976" t="str">
        <f ca="1">IF(Stammdaten!A13=0,"",Stammdaten!A13)</f>
        <v>LG 6 Arbeitnehmer mit Zweckausbildung</v>
      </c>
      <c r="P42" s="1969">
        <f t="shared" ca="1" si="3"/>
        <v>42</v>
      </c>
    </row>
    <row r="43" spans="1:17" ht="18" customHeight="1" thickBot="1" x14ac:dyDescent="0.55000000000000004">
      <c r="A43" s="2299"/>
      <c r="B43" s="2300"/>
      <c r="C43" s="2328"/>
      <c r="D43" s="51">
        <f ca="1">IF(L$27="",IFERROR(VLOOKUP(A43,Stammdaten!A$7:D$33,4,FALSE),KALKULATION!$M$283),"ungültig")</f>
        <v>0</v>
      </c>
      <c r="E43" s="327"/>
      <c r="F43" s="139" t="str">
        <f t="shared" ca="1" si="0"/>
        <v/>
      </c>
      <c r="G43" s="54" t="str">
        <f ca="1">IFERROR(VLOOKUP(A43,Stammdaten!A$7:F$33,4,FALSE)*F43,"")</f>
        <v/>
      </c>
      <c r="H43" s="1218" t="str">
        <f ca="1">IFERROR(VLOOKUP(A43,Stammdaten!A$7:F$33,6,FALSE)*F43,"")</f>
        <v/>
      </c>
      <c r="I43" s="575"/>
      <c r="J43" s="2306" t="str">
        <f ca="1">IF(OR(COUNTA(A43,E43)=2,COUNTA(A43,E43)=0),IF(D43=KALKULATION!$M$283,"Auswahl erneut vornehmen (ungültiger Verweis)!",""),"Eingabe unvollständig (ergänzen oder löschen)!")</f>
        <v/>
      </c>
      <c r="K43" s="2306"/>
      <c r="L43" s="2307"/>
      <c r="M43" s="1976" t="str">
        <f t="shared" ca="1" si="1"/>
        <v>LG 7 Arbeitnehmer ohne Zweckausbildung</v>
      </c>
      <c r="N43" s="1338">
        <f t="shared" ca="1" si="2"/>
        <v>43</v>
      </c>
      <c r="O43" s="1976" t="str">
        <f ca="1">IF(Stammdaten!A14=0,"",Stammdaten!A14)</f>
        <v>LG 7 Arbeitnehmer ohne Zweckausbildung</v>
      </c>
      <c r="P43" s="1969">
        <f t="shared" ca="1" si="3"/>
        <v>43</v>
      </c>
    </row>
    <row r="44" spans="1:17" ht="17.850000000000001" customHeight="1" thickBot="1" x14ac:dyDescent="0.55000000000000004">
      <c r="A44" s="2446"/>
      <c r="B44" s="2447"/>
      <c r="C44" s="2448"/>
      <c r="D44" s="60">
        <f ca="1">IF(L$27="",IFERROR(VLOOKUP(A44,Stammdaten!A$7:D$33,4,FALSE),KALKULATION!$M$283),"ungültig")</f>
        <v>0</v>
      </c>
      <c r="E44" s="328"/>
      <c r="F44" s="53" t="str">
        <f t="shared" ca="1" si="0"/>
        <v/>
      </c>
      <c r="G44" s="213" t="str">
        <f ca="1">IFERROR(VLOOKUP(A44,Stammdaten!A$7:F$33,4,FALSE)*F44,"")</f>
        <v/>
      </c>
      <c r="H44" s="1219" t="str">
        <f ca="1">IFERROR(VLOOKUP(A44,Stammdaten!A$7:F$33,6,FALSE)*F44,"")</f>
        <v/>
      </c>
      <c r="I44" s="575"/>
      <c r="J44" s="2306" t="str">
        <f ca="1">IF(OR(COUNTA(A44,E44)=2,COUNTA(A44,E44)=0),IF(D44=KALKULATION!$M$283,"Auswahl erneut vornehmen (ungültiger Verweis)!",""),"Eingabe unvollständig (ergänzen oder löschen)!")</f>
        <v/>
      </c>
      <c r="K44" s="2306"/>
      <c r="L44" s="2307"/>
      <c r="M44" s="1976" t="str">
        <f t="shared" ca="1" si="1"/>
        <v># eingetragene Werte prüfen</v>
      </c>
      <c r="N44" s="1338">
        <f t="shared" ca="1" si="2"/>
        <v>44</v>
      </c>
      <c r="O44" s="1976" t="str">
        <f ca="1">IF(Stammdaten!A15=0,"",Stammdaten!A15)</f>
        <v/>
      </c>
      <c r="P44" s="1969" t="str">
        <f t="shared" ca="1" si="3"/>
        <v/>
      </c>
    </row>
    <row r="45" spans="1:17" ht="17.850000000000001" customHeight="1" thickBot="1" x14ac:dyDescent="0.55000000000000004">
      <c r="A45" s="2243" t="s">
        <v>1137</v>
      </c>
      <c r="B45" s="2336"/>
      <c r="C45" s="2336"/>
      <c r="D45" s="2244"/>
      <c r="E45" s="489">
        <f ca="1">IF(L27="",SUM(E36:E44),"")</f>
        <v>4</v>
      </c>
      <c r="F45" s="150">
        <f ca="1">IFERROR(IF(AND(_Test=9,SUM(Stammdaten!B7:B10)&lt;&gt;50),"FEHLER!",SUM(F36:F44)),KALKULATION!M285)</f>
        <v>1</v>
      </c>
      <c r="G45" s="151">
        <f ca="1">IF(AND(_OK?="OK!",_OK_KV?="OK_KV!"),SUM(G36:G44),ROUND(SUM(G36:G44)*1.05,0))</f>
        <v>17.649999999999999</v>
      </c>
      <c r="H45" s="361">
        <f ca="1">SUM(H36:H44)</f>
        <v>2.65</v>
      </c>
      <c r="I45" s="1247" t="str">
        <f ca="1">IF(_OK?&lt;&gt;"OK!","X","")</f>
        <v/>
      </c>
      <c r="J45" s="2334" t="str">
        <f ca="1">IFERROR(IF(ROUND(F45*100,0)&lt;&gt;100,"Obige Eingaben ergänzen bzw ändern; Ergebnis ≠ 100%!",IF(E45&lt;1,"Anzahl darf nicht unter 1,00 liegen!!!","")),KALKULATION!M286)</f>
        <v/>
      </c>
      <c r="K45" s="2334"/>
      <c r="L45" s="2335"/>
      <c r="M45" s="1976" t="str">
        <f t="shared" ca="1" si="1"/>
        <v># AKV auf betriebliche Werte ändern!</v>
      </c>
      <c r="N45" s="1338">
        <f t="shared" ca="1" si="2"/>
        <v>45</v>
      </c>
      <c r="O45" s="1976" t="str">
        <f ca="1">IF(Stammdaten!A16=0,"",Stammdaten!A16)</f>
        <v/>
      </c>
      <c r="P45" s="1969" t="str">
        <f t="shared" ca="1" si="3"/>
        <v/>
      </c>
    </row>
    <row r="46" spans="1:17" ht="17.850000000000001" customHeight="1" thickBot="1" x14ac:dyDescent="0.55000000000000004">
      <c r="A46" s="2493" t="str">
        <f ca="1">"Die möglichtst zutreffende Erfassung der Ø Beschäftigtenanzahl (oben "&amp;TEXT(E45,"0,00")&amp;") ist für die Ermittlung der Umlagen unprod. Personal (B2.a) bei Angabe in absoluter Höhe, "&amp;"in G2.b sowie H1.b erforderlich; auch bei Zulagen (D) bei der Angabe in Spalte A. "&amp;"Weiters benötigt die monetäre Darstellung der Arbeitspartie und die Darstellung von Deckungsbeiträgen pro Woche im Blatt REPORT eine möglichst zutreffende Anzahl "&amp;"(REPORT B1, B4 etc). "&amp;"Falls Sie die ANZAHL ÄNFERN, KONTROLLIEREN Sie inre EINGABEN insbesondere in B2a, D, G und F ob sie weiterhin zutreffend sind!!!"</f>
        <v>Die möglichtst zutreffende Erfassung der Ø Beschäftigtenanzahl (oben 4,00) ist für die Ermittlung der Umlagen unprod. Personal (B2.a) bei Angabe in absoluter Höhe, in G2.b sowie H1.b erforderlich; auch bei Zulagen (D) bei der Angabe in Spalte A. Weiters benötigt die monetäre Darstellung der Arbeitspartie und die Darstellung von Deckungsbeiträgen pro Woche im Blatt REPORT eine möglichst zutreffende Anzahl (REPORT B1, B4 etc). Falls Sie die ANZAHL ÄNFERN, KONTROLLIEREN Sie inre EINGABEN insbesondere in B2a, D, G und F ob sie weiterhin zutreffend sind!!!</v>
      </c>
      <c r="B46" s="2744"/>
      <c r="C46" s="2744"/>
      <c r="D46" s="2744"/>
      <c r="E46" s="2744"/>
      <c r="F46" s="2744"/>
      <c r="G46" s="2744"/>
      <c r="H46" s="2744"/>
      <c r="I46" s="576"/>
      <c r="J46" s="1087" t="str">
        <f ca="1">IF(I45="X","Wegen fehlender Lizenz, gerundete Werte! Siehe Blatt LIZENZ u LIES MICH!","")</f>
        <v/>
      </c>
      <c r="K46" s="1109"/>
      <c r="L46" s="762"/>
      <c r="M46" s="1976" t="str">
        <f t="shared" ca="1" si="1"/>
        <v/>
      </c>
      <c r="N46" s="1338" t="str">
        <f t="shared" ca="1" si="2"/>
        <v/>
      </c>
      <c r="O46" s="1976" t="str">
        <f ca="1">IF(Stammdaten!A17=0,"",Stammdaten!A17)</f>
        <v># eingetragene Werte prüfen</v>
      </c>
      <c r="P46" s="1969">
        <f t="shared" ca="1" si="3"/>
        <v>46</v>
      </c>
    </row>
    <row r="47" spans="1:17" ht="17.850000000000001" customHeight="1" thickBot="1" x14ac:dyDescent="0.55000000000000004">
      <c r="A47" s="2494"/>
      <c r="B47" s="2745"/>
      <c r="C47" s="2745"/>
      <c r="D47" s="2745"/>
      <c r="E47" s="2745"/>
      <c r="F47" s="2745"/>
      <c r="G47" s="2745"/>
      <c r="H47" s="2745"/>
      <c r="I47" s="576"/>
      <c r="J47" s="2792" t="str">
        <f ca="1">IF(OR(_OK?&lt;&gt;"OK!",_OK_KV?&lt;&gt;"OK_KV!"),"Sie verwenden keine gültige Lizenz. Manche Rechen-ergebnisse sind deswegen aufgerundet; rote Schrift im K3-Blatt. Sie können das Tool trotzdem mit allen Funktionen verwenden (testen) und später ohne Verlust der Eingaben lizenzieren.","")</f>
        <v/>
      </c>
      <c r="K47" s="2792"/>
      <c r="L47" s="2793"/>
      <c r="M47" s="1976" t="str">
        <f t="shared" ca="1" si="1"/>
        <v/>
      </c>
      <c r="N47" s="1338" t="str">
        <f t="shared" ca="1" si="2"/>
        <v/>
      </c>
      <c r="O47" s="1976" t="str">
        <f ca="1">IF(Stammdaten!A18=0,"",Stammdaten!A18)</f>
        <v># AKV auf betriebliche Werte ändern!</v>
      </c>
      <c r="P47" s="1969">
        <f t="shared" ca="1" si="3"/>
        <v>47</v>
      </c>
    </row>
    <row r="48" spans="1:17" ht="17.850000000000001" customHeight="1" thickBot="1" x14ac:dyDescent="0.55000000000000004">
      <c r="A48" s="2494"/>
      <c r="B48" s="2745"/>
      <c r="C48" s="2745"/>
      <c r="D48" s="2745"/>
      <c r="E48" s="2745"/>
      <c r="F48" s="2745"/>
      <c r="G48" s="2745"/>
      <c r="H48" s="2745"/>
      <c r="I48" s="576"/>
      <c r="J48" s="2792"/>
      <c r="K48" s="2792"/>
      <c r="L48" s="2793"/>
      <c r="M48" s="1976" t="str">
        <f t="shared" ca="1" si="1"/>
        <v/>
      </c>
      <c r="N48" s="1338" t="str">
        <f t="shared" ca="1" si="2"/>
        <v/>
      </c>
      <c r="O48" s="1976" t="str">
        <f ca="1">IF(Stammdaten!A19=0,"",Stammdaten!A19)</f>
        <v/>
      </c>
      <c r="P48" s="1969" t="str">
        <f t="shared" ca="1" si="3"/>
        <v/>
      </c>
    </row>
    <row r="49" spans="1:19" ht="17.850000000000001" customHeight="1" thickBot="1" x14ac:dyDescent="0.55000000000000004">
      <c r="A49" s="2746"/>
      <c r="B49" s="2747"/>
      <c r="C49" s="2747"/>
      <c r="D49" s="2747"/>
      <c r="E49" s="2747"/>
      <c r="F49" s="2747"/>
      <c r="G49" s="2747"/>
      <c r="H49" s="2747"/>
      <c r="I49" s="438"/>
      <c r="K49" s="1323"/>
      <c r="L49" s="1324"/>
      <c r="M49" s="1976" t="str">
        <f t="shared" ca="1" si="1"/>
        <v/>
      </c>
      <c r="N49" s="1338" t="str">
        <f t="shared" ca="1" si="2"/>
        <v/>
      </c>
      <c r="O49" s="1976" t="str">
        <f ca="1">IF(Stammdaten!A20=0,"",Stammdaten!A20)</f>
        <v/>
      </c>
      <c r="P49" s="1969" t="str">
        <f t="shared" ca="1" si="3"/>
        <v/>
      </c>
    </row>
    <row r="50" spans="1:19" ht="17.850000000000001" customHeight="1" thickBot="1" x14ac:dyDescent="0.55000000000000004">
      <c r="A50" s="2742" t="s">
        <v>748</v>
      </c>
      <c r="B50" s="2743"/>
      <c r="C50" s="2743"/>
      <c r="D50" s="2743"/>
      <c r="E50" s="2743"/>
      <c r="F50" s="2743"/>
      <c r="G50" s="2743"/>
      <c r="H50" s="2743"/>
      <c r="I50" s="438"/>
      <c r="J50" s="2794" t="str">
        <f>VLOOKUP(E51,M71:P74,4,FALSE)</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K50" s="2794"/>
      <c r="L50" s="2795"/>
      <c r="M50" s="1976" t="str">
        <f t="shared" ca="1" si="1"/>
        <v/>
      </c>
      <c r="N50" s="1338" t="str">
        <f t="shared" ca="1" si="2"/>
        <v/>
      </c>
      <c r="O50" s="1976" t="str">
        <f ca="1">IF(Stammdaten!A21=0,"",Stammdaten!A21)</f>
        <v/>
      </c>
      <c r="P50" s="1969" t="str">
        <f t="shared" ca="1" si="3"/>
        <v/>
      </c>
    </row>
    <row r="51" spans="1:19" ht="17.850000000000001" customHeight="1" thickBot="1" x14ac:dyDescent="0.55000000000000004">
      <c r="A51" s="2811" t="s">
        <v>483</v>
      </c>
      <c r="B51" s="2812"/>
      <c r="C51" s="2813"/>
      <c r="D51" s="925" t="s">
        <v>802</v>
      </c>
      <c r="E51" s="2430" t="s">
        <v>1007</v>
      </c>
      <c r="F51" s="2431"/>
      <c r="G51" s="2431"/>
      <c r="H51" s="2431"/>
      <c r="I51" s="2114" t="str">
        <f>IF(OR(E51=M71,E51=M72),"P","")</f>
        <v>P</v>
      </c>
      <c r="J51" s="2794"/>
      <c r="K51" s="2794"/>
      <c r="L51" s="2795"/>
      <c r="M51" s="1976" t="str">
        <f t="shared" ca="1" si="1"/>
        <v/>
      </c>
      <c r="N51" s="1338" t="str">
        <f t="shared" ca="1" si="2"/>
        <v/>
      </c>
      <c r="O51" s="1976" t="str">
        <f ca="1">IF(Stammdaten!A22=0,"",Stammdaten!A22)</f>
        <v/>
      </c>
      <c r="P51" s="1969" t="str">
        <f t="shared" ca="1" si="3"/>
        <v/>
      </c>
    </row>
    <row r="52" spans="1:19" ht="17.850000000000001" customHeight="1" thickBot="1" x14ac:dyDescent="0.55000000000000004">
      <c r="A52" s="806" t="str">
        <f>A35</f>
        <v>Auswahl der Beschäftigungsgruppe: ↓</v>
      </c>
      <c r="B52" s="807"/>
      <c r="C52" s="966"/>
      <c r="D52" s="712" t="str">
        <f>IF(E51=M73,"% von "&amp;TEXT(E45,"0,0")&amp;" P.","% v d Person")</f>
        <v>% v d Person</v>
      </c>
      <c r="E52" s="712" t="str">
        <f>IF(E51=M71,"Anzahl/-teil",IF(OR(E51=M73,E51=M72),"Anzahl","Wählen"))</f>
        <v>Anzahl</v>
      </c>
      <c r="F52" s="1008" t="s">
        <v>107</v>
      </c>
      <c r="G52" s="1008" t="str">
        <f>G35</f>
        <v>Ø KV-Entgelt</v>
      </c>
      <c r="H52" s="1116" t="str">
        <f>H35</f>
        <v>Ø AKV-Entg.</v>
      </c>
      <c r="I52" s="438"/>
      <c r="J52" s="2794"/>
      <c r="K52" s="2794"/>
      <c r="L52" s="2795"/>
      <c r="M52" s="1976" t="str">
        <f t="shared" ca="1" si="1"/>
        <v/>
      </c>
      <c r="N52" s="1338" t="str">
        <f t="shared" ca="1" si="2"/>
        <v/>
      </c>
      <c r="O52" s="1976" t="str">
        <f ca="1">IF(Stammdaten!A23=0,"",Stammdaten!A23)</f>
        <v/>
      </c>
      <c r="P52" s="1969" t="str">
        <f t="shared" ca="1" si="3"/>
        <v/>
      </c>
    </row>
    <row r="53" spans="1:19" ht="17.850000000000001" customHeight="1" thickTop="1" thickBot="1" x14ac:dyDescent="0.55000000000000004">
      <c r="A53" s="2331" t="s">
        <v>1121</v>
      </c>
      <c r="B53" s="2332"/>
      <c r="C53" s="2333"/>
      <c r="D53" s="491">
        <v>0.1</v>
      </c>
      <c r="E53" s="327">
        <v>1</v>
      </c>
      <c r="F53" s="51">
        <f ca="1">IF(L$27="",IFERROR(VLOOKUP(A53,Stammdaten!A$7:D$33,4,FALSE),KALKULATION!$M$283),"ungültig")</f>
        <v>19.91</v>
      </c>
      <c r="G53" s="51">
        <f ca="1">IFERROR(IF(E$51=M$71,IF(E53&lt;&gt;0,F53*E53/SUM(E$53:E$54),""),IF(OR(E$51=M$73,E$51=M$72),IF(D53&lt;&gt;0,F53*D53/SUM(D$53:D$54),""),"")),"?")</f>
        <v>19.91</v>
      </c>
      <c r="H53" s="84">
        <f ca="1">IFERROR(VLOOKUP(A53,Stammdaten!A$7:F$33,5,FALSE)*G53,"")</f>
        <v>2.99</v>
      </c>
      <c r="I53" s="575"/>
      <c r="J53" s="2306" t="str">
        <f ca="1">IF(F53=KALKULATION!$M$283,"Auswahl erneut vornehmen (ungültiger Verweis)!",IF(S75="f","Eingabe unvollständig (ergänzen oder löschen)!",""))</f>
        <v/>
      </c>
      <c r="K53" s="2306"/>
      <c r="L53" s="2307"/>
      <c r="M53" s="1976" t="str">
        <f t="shared" ca="1" si="1"/>
        <v/>
      </c>
      <c r="N53" s="1338" t="str">
        <f t="shared" ca="1" si="2"/>
        <v/>
      </c>
      <c r="O53" s="1976" t="str">
        <f ca="1">IF(Stammdaten!A24=0,"",Stammdaten!A24)</f>
        <v/>
      </c>
      <c r="P53" s="1969" t="str">
        <f t="shared" ca="1" si="3"/>
        <v/>
      </c>
    </row>
    <row r="54" spans="1:19" ht="17.850000000000001" customHeight="1" thickBot="1" x14ac:dyDescent="0.55000000000000004">
      <c r="A54" s="2446"/>
      <c r="B54" s="2447"/>
      <c r="C54" s="2448"/>
      <c r="D54" s="964"/>
      <c r="E54" s="328"/>
      <c r="F54" s="60">
        <f ca="1">IF(L27="",IFERROR(VLOOKUP(A54,Stammdaten!A$7:D$33,4,FALSE),KALKULATION!$M$283),"ungültig")</f>
        <v>0</v>
      </c>
      <c r="G54" s="60" t="str">
        <f>IFERROR(IF(E$51=M$71,IF(E54&lt;&gt;0,F54*E54/SUM(E$53:E$54),""),IF(OR(E$51=M$73,E$51=M$72),IF(D54&lt;&gt;0,F54*D54/SUM(D$53:D$54),""),"")),"?")</f>
        <v/>
      </c>
      <c r="H54" s="569" t="str">
        <f ca="1">IFERROR(VLOOKUP(A54,Stammdaten!A$7:F$33,5,FALSE)*G54,"")</f>
        <v/>
      </c>
      <c r="I54" s="575"/>
      <c r="J54" s="2306" t="str">
        <f ca="1">IF(F54=KALKULATION!$M$283,"Auswahl erneut vornehmen (ungültiger Verweis)!",IF(T75="f","Eingabe unvollständig (ergänzen oder löschen)!",""))</f>
        <v/>
      </c>
      <c r="K54" s="2306"/>
      <c r="L54" s="2307"/>
      <c r="M54" s="1976" t="str">
        <f t="shared" ca="1" si="1"/>
        <v/>
      </c>
      <c r="N54" s="1338" t="str">
        <f t="shared" ca="1" si="2"/>
        <v/>
      </c>
      <c r="O54" s="1976" t="str">
        <f ca="1">IF(Stammdaten!A25=0,"",Stammdaten!A25)</f>
        <v/>
      </c>
      <c r="P54" s="1969" t="str">
        <f t="shared" ca="1" si="3"/>
        <v/>
      </c>
      <c r="R54" s="1977" t="s">
        <v>803</v>
      </c>
      <c r="S54" s="1964"/>
    </row>
    <row r="55" spans="1:19" ht="17.850000000000001" customHeight="1" thickBot="1" x14ac:dyDescent="0.55000000000000004">
      <c r="A55" s="2243" t="s">
        <v>1005</v>
      </c>
      <c r="B55" s="2336"/>
      <c r="C55" s="2336"/>
      <c r="D55" s="2244"/>
      <c r="E55" s="489">
        <f ca="1">IF(L27&lt;&gt;"","",IF(E51=M71,SUM(E53:E54),IF(E51=M72,SUM(D53,D54),IF(E51=M73,SUM(D53,D54)*E45,0))))</f>
        <v>0.1</v>
      </c>
      <c r="F55" s="150"/>
      <c r="G55" s="51">
        <f ca="1">SUM(G53:G54)</f>
        <v>19.91</v>
      </c>
      <c r="H55" s="85">
        <f ca="1">SUM(H53:H54)</f>
        <v>2.99</v>
      </c>
      <c r="I55" s="438"/>
      <c r="J55" s="2426" t="str">
        <f ca="1">IFERROR(IF(E55/E45&gt;Report!F7,"Hinweis: Anzahl unprod. Pers.  ergibt Umlage% ("&amp;TEXT(E55,"0,00")&amp;" zu "&amp;TEXT(E45,"0,00")&amp;") die über dem Richtwert gem Blatt REPORT liegt!",""),"")</f>
        <v/>
      </c>
      <c r="K55" s="2426"/>
      <c r="L55" s="2427"/>
      <c r="M55" s="1976" t="str">
        <f t="shared" ca="1" si="1"/>
        <v/>
      </c>
      <c r="N55" s="1338" t="str">
        <f t="shared" ca="1" si="2"/>
        <v/>
      </c>
      <c r="O55" s="1976" t="str">
        <f ca="1">IF(Stammdaten!A26=0,"",Stammdaten!A26)</f>
        <v/>
      </c>
      <c r="P55" s="1969" t="str">
        <f t="shared" ca="1" si="3"/>
        <v/>
      </c>
      <c r="R55" s="2344" t="str">
        <f>CONCATENATE(A36,A37,A38,A39,A40,A41,A42,A43,A44)</f>
        <v>LG 2 Qualifizierter FacharbeiterLG 5 Qualifizierter Arbeitnehmer</v>
      </c>
      <c r="S55" s="2345"/>
    </row>
    <row r="56" spans="1:19" ht="17.850000000000001" customHeight="1" thickBot="1" x14ac:dyDescent="0.55000000000000004">
      <c r="A56" s="2517" t="str">
        <f ca="1">IF(E55&lt;&gt;0,"B2.a1) Unprod. Personal zusätzlich zum (KZ = 1) oder vom (KZ = 0) prod. Pers.?              KZ: ↓","")</f>
        <v>B2.a1) Unprod. Personal zusätzlich zum (KZ = 1) oder vom (KZ = 0) prod. Pers.?              KZ: ↓</v>
      </c>
      <c r="B56" s="2560"/>
      <c r="C56" s="2560"/>
      <c r="D56" s="2560"/>
      <c r="E56" s="2560"/>
      <c r="F56" s="2560"/>
      <c r="G56" s="2518"/>
      <c r="H56" s="928">
        <v>0</v>
      </c>
      <c r="I56" s="575"/>
      <c r="J56" s="2426"/>
      <c r="K56" s="2426"/>
      <c r="L56" s="2427"/>
      <c r="M56" s="1976" t="str">
        <f t="shared" ca="1" si="1"/>
        <v/>
      </c>
      <c r="N56" s="1338" t="str">
        <f t="shared" ca="1" si="2"/>
        <v/>
      </c>
      <c r="O56" s="1976" t="str">
        <f ca="1">IF(Stammdaten!A27=0,"",Stammdaten!A27)</f>
        <v/>
      </c>
      <c r="P56" s="1969" t="str">
        <f t="shared" ca="1" si="3"/>
        <v/>
      </c>
      <c r="R56" s="1338">
        <f>IF(A53&lt;&gt;"",IFERROR(SEARCH(A53,R55),"N"))</f>
        <v>1</v>
      </c>
    </row>
    <row r="57" spans="1:19" ht="17.850000000000001" customHeight="1" thickBot="1" x14ac:dyDescent="0.55000000000000004">
      <c r="A57" s="2645" t="str">
        <f ca="1">IFERROR("Info: Kalk. Ø 'Baustellenbesetzung' ist "&amp;TEXT(G57,"0,0")&amp;" Std prod. zu "&amp;TEXT(H57,"0,0")&amp;" Std unprod.; "&amp;TEXT(H57/G57,"0,0%"),"Unzulässige Division durch 0 - Berechnung kann nicht fortgesetzt werden!")</f>
        <v>Info: Kalk. Ø 'Baustellenbesetzung' ist 3,9 Std prod. zu 0,1 Std unprod.; 2,6%</v>
      </c>
      <c r="B57" s="2646"/>
      <c r="C57" s="2646"/>
      <c r="D57" s="2646"/>
      <c r="E57" s="2646"/>
      <c r="F57" s="2646"/>
      <c r="G57" s="901">
        <f ca="1">IF(H56=1,E45,E45-E55)</f>
        <v>3.9</v>
      </c>
      <c r="H57" s="901">
        <f ca="1">E55</f>
        <v>0.1</v>
      </c>
      <c r="I57" s="438"/>
      <c r="J57" s="2303"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303"/>
      <c r="L57" s="2310"/>
      <c r="M57" s="1976" t="str">
        <f t="shared" ca="1" si="1"/>
        <v/>
      </c>
      <c r="N57" s="1338" t="str">
        <f t="shared" ca="1" si="2"/>
        <v/>
      </c>
      <c r="O57" s="1976" t="str">
        <f ca="1">IF(Stammdaten!A28=0,"",Stammdaten!A28)</f>
        <v/>
      </c>
      <c r="P57" s="1969" t="str">
        <f t="shared" ca="1" si="3"/>
        <v/>
      </c>
      <c r="R57" s="1338" t="b">
        <f>IF(A54&lt;&gt;"",IFERROR(SEARCH(A54,R55),"N"))</f>
        <v>0</v>
      </c>
    </row>
    <row r="58" spans="1:19" ht="17.850000000000001" customHeight="1" thickBot="1" x14ac:dyDescent="0.55000000000000004">
      <c r="A58" s="2814" t="str">
        <f>IF(AND(H56=0,S58="f"),"Hinweis zu B2.a: KZ = 0, daher sollte eine Beschäftigungsgruppe gewählt sein, die in B1 vorkommt. Ev ändern.","")</f>
        <v/>
      </c>
      <c r="B58" s="2647"/>
      <c r="C58" s="2647"/>
      <c r="D58" s="2647"/>
      <c r="E58" s="2647"/>
      <c r="F58" s="2647"/>
      <c r="G58" s="2647"/>
      <c r="H58" s="2647"/>
      <c r="I58" s="438"/>
      <c r="J58" s="2303"/>
      <c r="K58" s="2303"/>
      <c r="L58" s="2310"/>
      <c r="M58" s="1976" t="str">
        <f t="shared" ca="1" si="1"/>
        <v/>
      </c>
      <c r="N58" s="1338" t="str">
        <f t="shared" ca="1" si="2"/>
        <v/>
      </c>
      <c r="O58" s="1976" t="str">
        <f ca="1">IF(Stammdaten!A29=0,"",Stammdaten!A29)</f>
        <v/>
      </c>
      <c r="P58" s="1969" t="str">
        <f t="shared" ca="1" si="3"/>
        <v/>
      </c>
      <c r="R58" s="1338" t="s">
        <v>317</v>
      </c>
      <c r="S58" s="1955" t="str">
        <f>IF(OR(R56="N",R57="N"),"f","")</f>
        <v/>
      </c>
    </row>
    <row r="59" spans="1:19" ht="17.850000000000001" customHeight="1" thickBot="1" x14ac:dyDescent="0.55000000000000004">
      <c r="A59" s="2639" t="s">
        <v>1064</v>
      </c>
      <c r="B59" s="2640"/>
      <c r="C59" s="2641"/>
      <c r="D59" s="577" t="s">
        <v>193</v>
      </c>
      <c r="E59" s="2662" t="s">
        <v>228</v>
      </c>
      <c r="F59" s="2662" t="s">
        <v>749</v>
      </c>
      <c r="G59" s="2662" t="s">
        <v>750</v>
      </c>
      <c r="H59" s="2357" t="s">
        <v>751</v>
      </c>
      <c r="I59" s="438"/>
      <c r="L59" s="216"/>
      <c r="M59" s="1976" t="str">
        <f t="shared" ca="1" si="1"/>
        <v/>
      </c>
      <c r="N59" s="1338" t="str">
        <f t="shared" ca="1" si="2"/>
        <v/>
      </c>
      <c r="O59" s="1976" t="str">
        <f ca="1">IF(Stammdaten!A30=0,"",Stammdaten!A30)</f>
        <v/>
      </c>
      <c r="P59" s="1969" t="str">
        <f t="shared" ca="1" si="3"/>
        <v/>
      </c>
    </row>
    <row r="60" spans="1:19" ht="17.850000000000001" customHeight="1" thickBot="1" x14ac:dyDescent="0.55000000000000004">
      <c r="A60" s="2800" t="str">
        <f>IF(AND(F61&lt;&gt;0,A61=""),"Grund/Ursache für den %-Satz angeben:","Bezeichnung / Grund:")</f>
        <v>Bezeichnung / Grund:</v>
      </c>
      <c r="B60" s="2801"/>
      <c r="C60" s="2801"/>
      <c r="D60" s="2802"/>
      <c r="E60" s="2663"/>
      <c r="F60" s="2663"/>
      <c r="G60" s="2663"/>
      <c r="H60" s="2358"/>
      <c r="I60" s="438"/>
      <c r="L60" s="216"/>
      <c r="M60" s="1976" t="str">
        <f t="shared" ca="1" si="1"/>
        <v/>
      </c>
      <c r="N60" s="1338" t="str">
        <f t="shared" ca="1" si="2"/>
        <v/>
      </c>
      <c r="O60" s="1976" t="str">
        <f ca="1">IF(Stammdaten!A31=0,"",Stammdaten!A31)</f>
        <v/>
      </c>
      <c r="P60" s="1969" t="str">
        <f t="shared" ca="1" si="3"/>
        <v/>
      </c>
    </row>
    <row r="61" spans="1:19" ht="17.850000000000001" customHeight="1" thickTop="1" thickBot="1" x14ac:dyDescent="0.55000000000000004">
      <c r="A61" s="2331"/>
      <c r="B61" s="2332"/>
      <c r="C61" s="2332"/>
      <c r="D61" s="2333"/>
      <c r="E61" s="490">
        <f ca="1">G57</f>
        <v>3.9</v>
      </c>
      <c r="F61" s="491"/>
      <c r="G61" s="710">
        <f>IF(D59=_Ja,F61/(1-F61),0)</f>
        <v>0</v>
      </c>
      <c r="H61" s="571">
        <f>IF(D59=_Ja,E61*F61,0)</f>
        <v>0</v>
      </c>
      <c r="I61" s="576" t="str">
        <f>IF(D59=_Nein,"",IF(F61&lt;&gt;0,"X",""))</f>
        <v/>
      </c>
      <c r="J61" s="2426" t="str">
        <f>IF(D59=_Nein,"",IF(F61&gt;=0.9,"Unzulässiger Wert!",IFERROR(IF(OR(G61&gt;Report!F8,G61&lt;Report!G8),"Hinweis: Eingetragener Wert liegt über oder unter den Richtwerten gemäß Blatt REPORT!",""),"")))</f>
        <v/>
      </c>
      <c r="K61" s="2426"/>
      <c r="L61" s="2427"/>
      <c r="M61" s="1976" t="str">
        <f t="shared" ca="1" si="1"/>
        <v/>
      </c>
      <c r="N61" s="1338" t="str">
        <f t="shared" ca="1" si="2"/>
        <v/>
      </c>
      <c r="O61" s="1976" t="str">
        <f ca="1">IF(Stammdaten!A32=0,"",Stammdaten!A32)</f>
        <v/>
      </c>
      <c r="P61" s="1969" t="str">
        <f t="shared" ca="1" si="3"/>
        <v/>
      </c>
    </row>
    <row r="62" spans="1:19" ht="17.850000000000001" customHeight="1" x14ac:dyDescent="0.5">
      <c r="A62" s="2740"/>
      <c r="B62" s="2741"/>
      <c r="C62" s="2741"/>
      <c r="D62" s="2741"/>
      <c r="E62" s="2741"/>
      <c r="F62" s="2741"/>
      <c r="G62" s="2741"/>
      <c r="H62" s="2741"/>
      <c r="I62" s="438"/>
      <c r="J62" s="2426"/>
      <c r="K62" s="2426"/>
      <c r="L62" s="2427"/>
      <c r="M62" s="1976" t="str">
        <f t="shared" ca="1" si="1"/>
        <v/>
      </c>
      <c r="N62" s="1338" t="str">
        <f t="shared" ca="1" si="2"/>
        <v/>
      </c>
      <c r="O62" s="1976" t="str">
        <f>IF(Stammdaten!A33=0,"",Stammdaten!A33)</f>
        <v/>
      </c>
      <c r="P62" s="1969" t="str">
        <f t="shared" ref="P62" si="4">IF(O62="","",1*ROW())</f>
        <v/>
      </c>
    </row>
    <row r="63" spans="1:19" ht="17.850000000000001" customHeight="1" x14ac:dyDescent="0.45">
      <c r="A63" s="2866" t="str">
        <f>"B2) Ergebnis produktive Zeit (nach 'Köpfen'): "</f>
        <v xml:space="preserve">B2) Ergebnis produktive Zeit (nach 'Köpfen'): </v>
      </c>
      <c r="B63" s="2867"/>
      <c r="C63" s="2867"/>
      <c r="D63" s="2867"/>
      <c r="E63" s="488" t="s">
        <v>524</v>
      </c>
      <c r="F63" s="492">
        <f ca="1">G57-H61</f>
        <v>3.9</v>
      </c>
      <c r="G63" s="488" t="s">
        <v>525</v>
      </c>
      <c r="H63" s="492">
        <f ca="1">H57+H61</f>
        <v>0.1</v>
      </c>
      <c r="I63" s="438"/>
      <c r="J63" s="2805" t="s">
        <v>1087</v>
      </c>
      <c r="K63" s="2805"/>
      <c r="L63" s="2806"/>
      <c r="M63" s="1338" t="s">
        <v>566</v>
      </c>
      <c r="N63" s="1338">
        <f ca="1">MIN(N36:N62,ROW(O36))</f>
        <v>36</v>
      </c>
      <c r="P63" s="1969"/>
    </row>
    <row r="64" spans="1:19" ht="17.850000000000001" customHeight="1" x14ac:dyDescent="0.45">
      <c r="A64" s="2786"/>
      <c r="B64" s="2787"/>
      <c r="C64" s="2787"/>
      <c r="D64" s="2787"/>
      <c r="E64" s="2787"/>
      <c r="F64" s="2787"/>
      <c r="G64" s="2787"/>
      <c r="H64" s="2787"/>
      <c r="I64" s="438"/>
      <c r="J64" s="2807"/>
      <c r="K64" s="2807"/>
      <c r="L64" s="2808"/>
      <c r="M64" s="1971" t="s">
        <v>567</v>
      </c>
      <c r="N64" s="1971">
        <f ca="1">MAX(N36:N62,ROW(O36))</f>
        <v>45</v>
      </c>
      <c r="O64" s="1971"/>
      <c r="P64" s="1978"/>
    </row>
    <row r="65" spans="1:34" ht="17.850000000000001" customHeight="1" thickBot="1" x14ac:dyDescent="0.5">
      <c r="A65" s="2545" t="s">
        <v>738</v>
      </c>
      <c r="B65" s="2546"/>
      <c r="C65" s="2546"/>
      <c r="D65" s="2546"/>
      <c r="E65" s="2546"/>
      <c r="F65" s="2546"/>
      <c r="G65" s="2546"/>
      <c r="H65" s="2546"/>
      <c r="I65" s="438"/>
      <c r="J65" s="2807"/>
      <c r="K65" s="2807"/>
      <c r="L65" s="2808"/>
      <c r="AA65" s="1137"/>
      <c r="AB65" s="1137"/>
      <c r="AC65" s="1137"/>
      <c r="AD65" s="1137"/>
      <c r="AE65" s="1137"/>
      <c r="AF65" s="1137"/>
      <c r="AG65" s="1137"/>
    </row>
    <row r="66" spans="1:34" ht="17.850000000000001" customHeight="1" x14ac:dyDescent="0.45">
      <c r="A66" s="644" t="s">
        <v>484</v>
      </c>
      <c r="B66" s="464"/>
      <c r="C66" s="458" t="s">
        <v>18</v>
      </c>
      <c r="D66" s="458" t="s">
        <v>632</v>
      </c>
      <c r="E66" s="711" t="s">
        <v>633</v>
      </c>
      <c r="F66" s="2658"/>
      <c r="G66" s="2719" t="s">
        <v>252</v>
      </c>
      <c r="H66" s="2364" t="s">
        <v>133</v>
      </c>
      <c r="I66" s="438"/>
      <c r="J66" s="2807"/>
      <c r="K66" s="2807"/>
      <c r="L66" s="2808"/>
      <c r="Z66" s="267" t="s">
        <v>801</v>
      </c>
      <c r="AA66" s="1338"/>
      <c r="AB66" s="1338"/>
      <c r="AC66" s="1338"/>
      <c r="AD66" s="1338"/>
      <c r="AE66" s="1338" t="s">
        <v>744</v>
      </c>
      <c r="AF66" s="1338" t="s">
        <v>743</v>
      </c>
      <c r="AG66" s="1338"/>
      <c r="AH66" s="267"/>
    </row>
    <row r="67" spans="1:34" ht="17.850000000000001" customHeight="1" thickBot="1" x14ac:dyDescent="0.5">
      <c r="A67" s="457" t="s">
        <v>286</v>
      </c>
      <c r="B67" s="458"/>
      <c r="C67" s="447">
        <f ca="1">F63</f>
        <v>3.9</v>
      </c>
      <c r="D67" s="448">
        <f ca="1">C67*G45</f>
        <v>68.84</v>
      </c>
      <c r="E67" s="449">
        <f ca="1">C67*H45</f>
        <v>10.34</v>
      </c>
      <c r="F67" s="2659"/>
      <c r="G67" s="2720"/>
      <c r="H67" s="2365"/>
      <c r="I67" s="438"/>
      <c r="J67" s="2807"/>
      <c r="K67" s="2807"/>
      <c r="L67" s="2808"/>
      <c r="Z67" s="267" t="s">
        <v>741</v>
      </c>
      <c r="AA67" s="1339">
        <f ca="1">_ProdPers</f>
        <v>4</v>
      </c>
      <c r="AB67" s="1338"/>
      <c r="AC67" s="1338"/>
      <c r="AD67" s="1339">
        <f ca="1">E45</f>
        <v>4</v>
      </c>
      <c r="AE67" s="1339">
        <f ca="1">AD67-AD69-AD68</f>
        <v>3.9</v>
      </c>
      <c r="AF67" s="1339">
        <f ca="1">AD67-AD68</f>
        <v>4</v>
      </c>
      <c r="AG67" s="1338"/>
      <c r="AH67" s="267"/>
    </row>
    <row r="68" spans="1:34" ht="17.850000000000001" customHeight="1" thickTop="1" x14ac:dyDescent="0.45">
      <c r="A68" s="457" t="s">
        <v>354</v>
      </c>
      <c r="B68" s="458"/>
      <c r="C68" s="447">
        <f>H61</f>
        <v>0</v>
      </c>
      <c r="D68" s="448">
        <f ca="1">C68*G45</f>
        <v>0</v>
      </c>
      <c r="E68" s="449">
        <f ca="1">C68*H45</f>
        <v>0</v>
      </c>
      <c r="F68" s="450" t="s">
        <v>59</v>
      </c>
      <c r="G68" s="451">
        <f ca="1">D67</f>
        <v>68.84</v>
      </c>
      <c r="H68" s="572">
        <f ca="1">D70</f>
        <v>70.83</v>
      </c>
      <c r="I68" s="438"/>
      <c r="J68" s="2807"/>
      <c r="K68" s="2807"/>
      <c r="L68" s="2808"/>
      <c r="Z68" s="267" t="s">
        <v>742</v>
      </c>
      <c r="AA68" s="1339">
        <f ca="1">IF(H56=0,AA67-AD68-AD69,AA67-AD68)</f>
        <v>3.9</v>
      </c>
      <c r="AB68" s="1339">
        <f>AE68</f>
        <v>0</v>
      </c>
      <c r="AC68" s="1339">
        <f ca="1">AD69</f>
        <v>0.1</v>
      </c>
      <c r="AD68" s="1339">
        <f>H61</f>
        <v>0</v>
      </c>
      <c r="AE68" s="1339">
        <f>AD68</f>
        <v>0</v>
      </c>
      <c r="AF68" s="1339">
        <f>AE68</f>
        <v>0</v>
      </c>
      <c r="AG68" s="1338"/>
      <c r="AH68" s="267"/>
    </row>
    <row r="69" spans="1:34" ht="17.850000000000001" customHeight="1" thickBot="1" x14ac:dyDescent="0.5">
      <c r="A69" s="459" t="s">
        <v>287</v>
      </c>
      <c r="B69" s="460"/>
      <c r="C69" s="452">
        <f ca="1">H57</f>
        <v>0.1</v>
      </c>
      <c r="D69" s="453">
        <f ca="1">C69*G55</f>
        <v>1.99</v>
      </c>
      <c r="E69" s="454">
        <f ca="1">C69*H55</f>
        <v>0.3</v>
      </c>
      <c r="F69" s="455" t="s">
        <v>76</v>
      </c>
      <c r="G69" s="456">
        <f ca="1">D69+D68</f>
        <v>1.99</v>
      </c>
      <c r="H69" s="573">
        <f ca="1">E70</f>
        <v>10.64</v>
      </c>
      <c r="I69" s="438"/>
      <c r="J69" s="2809"/>
      <c r="K69" s="2809"/>
      <c r="L69" s="2810"/>
      <c r="P69" s="1338" t="s">
        <v>1065</v>
      </c>
      <c r="Z69" s="267"/>
      <c r="AA69" s="1339"/>
      <c r="AB69" s="1338"/>
      <c r="AC69" s="1338"/>
      <c r="AD69" s="1339">
        <f ca="1">E55</f>
        <v>0.1</v>
      </c>
      <c r="AE69" s="1339">
        <f ca="1">AD69</f>
        <v>0.1</v>
      </c>
      <c r="AF69" s="1339">
        <f ca="1">AE69</f>
        <v>0.1</v>
      </c>
      <c r="AG69" s="1338"/>
      <c r="AH69" s="267"/>
    </row>
    <row r="70" spans="1:34" ht="17.850000000000001" customHeight="1" thickBot="1" x14ac:dyDescent="0.5">
      <c r="A70" s="2366" t="s">
        <v>752</v>
      </c>
      <c r="B70" s="2367"/>
      <c r="C70" s="400">
        <f ca="1">SUM(C67:C69)</f>
        <v>4</v>
      </c>
      <c r="D70" s="401">
        <f ca="1">SUM(D67:D69)</f>
        <v>70.83</v>
      </c>
      <c r="E70" s="402">
        <f ca="1">SUM(E67:E69)</f>
        <v>10.64</v>
      </c>
      <c r="F70" s="645" t="s">
        <v>134</v>
      </c>
      <c r="G70" s="646">
        <f ca="1">IFERROR(G69/G68,"")</f>
        <v>2.8899999999999999E-2</v>
      </c>
      <c r="H70" s="647">
        <f ca="1">IFERROR(H69/H68,"")</f>
        <v>0.1502</v>
      </c>
      <c r="I70" s="438"/>
      <c r="L70" s="216"/>
      <c r="M70" s="1979" t="s">
        <v>677</v>
      </c>
      <c r="N70" s="1979"/>
      <c r="O70" s="1980"/>
      <c r="P70" s="1338" t="s">
        <v>1066</v>
      </c>
      <c r="S70" s="1981" t="s">
        <v>840</v>
      </c>
      <c r="T70" s="1981"/>
      <c r="Z70" s="267"/>
      <c r="AA70" s="1338"/>
      <c r="AB70" s="1338"/>
      <c r="AC70" s="1338"/>
      <c r="AD70" s="1338"/>
      <c r="AE70" s="1338"/>
      <c r="AF70" s="1338"/>
      <c r="AG70" s="1338"/>
      <c r="AH70" s="267"/>
    </row>
    <row r="71" spans="1:34" ht="17.850000000000001" customHeight="1" thickBot="1" x14ac:dyDescent="0.5">
      <c r="A71" s="2648" t="s">
        <v>809</v>
      </c>
      <c r="B71" s="2649"/>
      <c r="C71" s="2649"/>
      <c r="D71" s="2649"/>
      <c r="E71" s="2649"/>
      <c r="F71" s="2650"/>
      <c r="G71" s="342"/>
      <c r="H71" s="574"/>
      <c r="I71" s="576" t="str">
        <f>IF(OR(G71&lt;&gt;0,H71&lt;&gt;0),"X","")</f>
        <v/>
      </c>
      <c r="J71" s="2807" t="str">
        <f ca="1">IFERROR(IF(ABS(H71)/H70&gt;0.35,"Hinweis: Anpassung bei B3.b AKV-Entgelt auffällig hoch. ",""),"")</f>
        <v/>
      </c>
      <c r="K71" s="2807"/>
      <c r="L71" s="2808"/>
      <c r="M71" s="1854" t="s">
        <v>1006</v>
      </c>
      <c r="N71" s="1854"/>
      <c r="O71" s="1982"/>
      <c r="P71" s="1338"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83" t="str">
        <f>IF(E51=M71,E53,"")</f>
        <v/>
      </c>
      <c r="T71" s="1983" t="str">
        <f>IF(E51=M71,E54,"")</f>
        <v/>
      </c>
    </row>
    <row r="72" spans="1:34" ht="17.850000000000001" customHeight="1" thickBot="1" x14ac:dyDescent="0.5">
      <c r="A72" s="2326" t="str">
        <f ca="1">IFERROR("B) Ergebnis unproduktive Zeiten (K3 Zeile 4) "&amp;TEXT(' K3 PP'!O22,"0,00€")&amp;" bzw in % ",KALKULATION!$M$286)</f>
        <v xml:space="preserve">B) Ergebnis unproduktive Zeiten (K3 Zeile 4) 0,51€ bzw in % </v>
      </c>
      <c r="B72" s="2327"/>
      <c r="C72" s="2327"/>
      <c r="D72" s="2327"/>
      <c r="E72" s="2327"/>
      <c r="F72" s="1882" t="s">
        <v>1088</v>
      </c>
      <c r="G72" s="165">
        <f ca="1">IFERROR(IF(G70=0,0,IF(F72=Q35,ROUNDUP(SUM(G70:G71),3),SUM(G70:G71))),"?")</f>
        <v>2.9000000000000001E-2</v>
      </c>
      <c r="H72" s="45"/>
      <c r="I72" s="438"/>
      <c r="J72" s="2807"/>
      <c r="K72" s="2807"/>
      <c r="L72" s="2808"/>
      <c r="M72" s="1338" t="s">
        <v>1007</v>
      </c>
      <c r="P72" s="1338"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4">
        <f>IF(OR(E51=M73,E51=M72),D53,"")</f>
        <v>0.1</v>
      </c>
      <c r="T72" s="1984">
        <f>IF(OR(E51=M73,E51=M72),D54,"")</f>
        <v>0</v>
      </c>
    </row>
    <row r="73" spans="1:34" ht="17.850000000000001" customHeight="1" x14ac:dyDescent="0.45">
      <c r="A73" s="2491" t="str">
        <f ca="1">IFERROR("B) Ergebnis außerkollektivvertragliches Entgelt (K3 Zeile 6) ist "&amp;TEXT(' K3 PP'!O24,"0,00€")&amp;" bzw in % ",KALKULATION!$M$286)</f>
        <v xml:space="preserve">B) Ergebnis außerkollektivvertragliches Entgelt (K3 Zeile 6) ist 2,74€ bzw in % </v>
      </c>
      <c r="B73" s="2492"/>
      <c r="C73" s="2492"/>
      <c r="D73" s="2492"/>
      <c r="E73" s="2492"/>
      <c r="F73" s="2492"/>
      <c r="G73" s="1882" t="s">
        <v>1088</v>
      </c>
      <c r="H73" s="929">
        <f ca="1">IFERROR(IF(H70=0,0,IF(G73=Q35,ROUNDUP(SUM(H70:H71),3),SUM(H70:H71))),"?")</f>
        <v>0.151</v>
      </c>
      <c r="I73" s="438"/>
      <c r="J73" s="2303" t="str">
        <f ca="1">IF(OR(AND(G70=0,G71&lt;&gt;0),AND(H70=0,H71&lt;&gt;0)),"Zu B3.b: Keine Anpassung ohne Grundkalkulation (bzw Wert =0)!","")</f>
        <v/>
      </c>
      <c r="K73" s="2303"/>
      <c r="L73" s="2427" t="str">
        <f ca="1">IFERROR(IF(H73&gt;0.25,"Höhe des AKV-Entelts mit "&amp;TEXT(H73,"0%")&amp;"  kann zu Nachfragen führen! ",""),"")</f>
        <v/>
      </c>
      <c r="M73" s="1985" t="s">
        <v>1008</v>
      </c>
      <c r="N73" s="1985"/>
      <c r="O73" s="1986"/>
      <c r="P73" s="1338"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7">
        <f>IF(SUM(S71:S72)=0,0,1)</f>
        <v>1</v>
      </c>
      <c r="T73" s="1987">
        <f>IF(SUM(T71:T72)=0,0,1)</f>
        <v>0</v>
      </c>
    </row>
    <row r="74" spans="1:34" ht="20" customHeight="1" x14ac:dyDescent="0.45">
      <c r="A74" s="2643" t="str">
        <f ca="1">"Info: KV &amp; up.Z: "&amp;IFERROR(TEXT(' K3 PP'!O$23,"0,00€"),"?")&amp;" | abgabepfl. Pers.ko: "&amp;IFERROR(TEXT(' K3 PP'!O$28,"0,00€"),"?")&amp;" | vor Uml: "&amp;IFERROR(TEXT(' K3 PP'!O$33,"0,00€"),"?")&amp;" | KOSTEN: "&amp;IFERROR(TEXT(' K3 PP'!U40,"0,00€"),"?")&amp;" | PREIS: "&amp;IFERROR(IF(E410=M287,"Pkt J3 prüfen!!",TEXT(' K3 PP'!U45,"0,00€")),"?")</f>
        <v>Info: KV &amp; up.Z: 18,17€ | abgabepfl. Pers.ko: 25,23€ | vor Uml: 51,19€ | KOSTEN: 56,83€ | PREIS: 72,74€</v>
      </c>
      <c r="B74" s="2644"/>
      <c r="C74" s="2644"/>
      <c r="D74" s="2644"/>
      <c r="E74" s="2644"/>
      <c r="F74" s="2644"/>
      <c r="G74" s="2644"/>
      <c r="H74" s="2644"/>
      <c r="I74" s="438"/>
      <c r="J74" s="2303"/>
      <c r="K74" s="2303"/>
      <c r="L74" s="2427"/>
      <c r="M74" s="1854" t="s">
        <v>1009</v>
      </c>
      <c r="N74" s="1854"/>
      <c r="O74" s="1854"/>
      <c r="P74" s="1338" t="s">
        <v>17</v>
      </c>
      <c r="S74" s="1955">
        <f>IF(LEN(A53)=0,0,1)</f>
        <v>1</v>
      </c>
      <c r="T74" s="1955">
        <f>IF(LEN(A54)=0,0,1)</f>
        <v>0</v>
      </c>
    </row>
    <row r="75" spans="1:34" ht="17.850000000000001" customHeight="1" x14ac:dyDescent="0.45">
      <c r="A75" s="2788"/>
      <c r="B75" s="2789"/>
      <c r="C75" s="2789"/>
      <c r="D75" s="2789"/>
      <c r="E75" s="2789"/>
      <c r="F75" s="2789"/>
      <c r="G75" s="2789"/>
      <c r="H75" s="2789"/>
      <c r="I75" s="2789"/>
      <c r="L75" s="2427"/>
      <c r="Q75" s="1137"/>
      <c r="R75" s="1137"/>
      <c r="S75" s="1955" t="str">
        <f>IF(SUM(S73:S74)=1,"f","")</f>
        <v/>
      </c>
      <c r="T75" s="1955" t="str">
        <f>IF(SUM(T73:T74)=1,"f","")</f>
        <v/>
      </c>
    </row>
    <row r="76" spans="1:34" ht="25.05" customHeight="1" x14ac:dyDescent="0.45">
      <c r="A76" s="2372" t="s">
        <v>485</v>
      </c>
      <c r="B76" s="2373"/>
      <c r="C76" s="2373"/>
      <c r="D76" s="2373"/>
      <c r="E76" s="2373"/>
      <c r="F76" s="2373"/>
      <c r="G76" s="2373"/>
      <c r="H76" s="2373"/>
      <c r="I76" s="438"/>
      <c r="L76" s="216"/>
      <c r="Q76" s="1137"/>
      <c r="R76" s="1137"/>
    </row>
    <row r="77" spans="1:34" ht="20" customHeight="1" thickBot="1" x14ac:dyDescent="0.5">
      <c r="A77" s="2313" t="s">
        <v>532</v>
      </c>
      <c r="B77" s="2314"/>
      <c r="C77" s="2314"/>
      <c r="D77" s="2314"/>
      <c r="E77" s="2314"/>
      <c r="F77" s="2314"/>
      <c r="G77" s="2739"/>
      <c r="H77" s="577" t="s">
        <v>192</v>
      </c>
      <c r="I77" s="438"/>
      <c r="L77" s="216"/>
      <c r="M77" s="1962" t="s">
        <v>569</v>
      </c>
      <c r="N77" s="1962" t="s">
        <v>568</v>
      </c>
      <c r="O77" s="1962"/>
      <c r="P77" s="1988"/>
      <c r="Q77" s="1989" t="s">
        <v>687</v>
      </c>
      <c r="R77" s="1990"/>
      <c r="S77" s="1991"/>
      <c r="T77" s="1963"/>
      <c r="U77" s="1964"/>
    </row>
    <row r="78" spans="1:34" ht="17.850000000000001" customHeight="1" thickBot="1" x14ac:dyDescent="0.55000000000000004">
      <c r="A78" s="2642" t="s">
        <v>526</v>
      </c>
      <c r="B78" s="2642"/>
      <c r="C78" s="2642"/>
      <c r="D78" s="2642"/>
      <c r="E78" s="649" t="s">
        <v>59</v>
      </c>
      <c r="F78" s="649" t="s">
        <v>107</v>
      </c>
      <c r="G78" s="650" t="s">
        <v>137</v>
      </c>
      <c r="H78" s="1170" t="s">
        <v>138</v>
      </c>
      <c r="I78" s="438"/>
      <c r="L78" s="216"/>
      <c r="M78" s="1976" t="str">
        <f t="shared" ref="M78:M87" ca="1" si="5">IFERROR(INDIRECT("O"&amp;(SMALL(P$78:P$87,ROW(P78)-ROW(P$78)+1))),"")</f>
        <v>Zeitausgleich 25%</v>
      </c>
      <c r="N78" s="1338">
        <f t="shared" ref="N78:N87" ca="1" si="6">IF(M78="","",ROW())</f>
        <v>78</v>
      </c>
      <c r="O78" s="1976" t="str">
        <f ca="1">IF(Stammdaten!A39=0,"",Stammdaten!A39)</f>
        <v>Zeitausgleich 25%</v>
      </c>
      <c r="P78" s="1969">
        <f t="shared" ref="P78:P86" ca="1" si="7">IF(O78="","",1*ROW())</f>
        <v>78</v>
      </c>
      <c r="Q78" s="1992" t="s">
        <v>686</v>
      </c>
      <c r="S78" s="1969"/>
      <c r="U78" s="1969"/>
    </row>
    <row r="79" spans="1:34" ht="17.850000000000001" customHeight="1" thickBot="1" x14ac:dyDescent="0.55000000000000004">
      <c r="A79" s="2738" t="s">
        <v>527</v>
      </c>
      <c r="B79" s="2738"/>
      <c r="C79" s="2738"/>
      <c r="D79" s="2738"/>
      <c r="E79" s="648">
        <f ca="1">F79</f>
        <v>18.170000000000002</v>
      </c>
      <c r="F79" s="651">
        <f ca="1">' K3 PP'!O23</f>
        <v>18.170000000000002</v>
      </c>
      <c r="G79" s="652">
        <f ca="1">E79/F79</f>
        <v>1</v>
      </c>
      <c r="H79" s="1092" t="s">
        <v>100</v>
      </c>
      <c r="I79" s="438"/>
      <c r="L79" s="216"/>
      <c r="M79" s="1976" t="str">
        <f t="shared" ca="1" si="5"/>
        <v>Zeitausgleich 50%</v>
      </c>
      <c r="N79" s="1338">
        <f t="shared" ca="1" si="6"/>
        <v>79</v>
      </c>
      <c r="O79" s="1976" t="str">
        <f ca="1">IF(Stammdaten!A40=0,"",Stammdaten!A40)</f>
        <v>Zeitausgleich 50%</v>
      </c>
      <c r="P79" s="1969">
        <f t="shared" ca="1" si="7"/>
        <v>79</v>
      </c>
      <c r="Q79" s="1992">
        <f>COLUMN()</f>
        <v>17</v>
      </c>
      <c r="S79" s="1969"/>
      <c r="T79" s="1993" t="s">
        <v>688</v>
      </c>
      <c r="U79" s="1993" t="s">
        <v>689</v>
      </c>
    </row>
    <row r="80" spans="1:34" ht="17.850000000000001" customHeight="1" thickBot="1" x14ac:dyDescent="0.55000000000000004">
      <c r="A80" s="2642" t="s">
        <v>528</v>
      </c>
      <c r="B80" s="2642"/>
      <c r="C80" s="2642"/>
      <c r="D80" s="2642"/>
      <c r="E80" s="648">
        <f ca="1">' K3 PP'!O23+' K3 PP'!O24</f>
        <v>20.91</v>
      </c>
      <c r="F80" s="651">
        <f ca="1">F79</f>
        <v>18.170000000000002</v>
      </c>
      <c r="G80" s="652">
        <f ca="1">E80/F80</f>
        <v>1.1508</v>
      </c>
      <c r="H80" s="1092" t="s">
        <v>100</v>
      </c>
      <c r="I80" s="438"/>
      <c r="L80" s="216"/>
      <c r="M80" s="1976" t="str">
        <f t="shared" ca="1" si="5"/>
        <v>Überstunde 50%</v>
      </c>
      <c r="N80" s="1338">
        <f t="shared" ca="1" si="6"/>
        <v>80</v>
      </c>
      <c r="O80" s="1976" t="str">
        <f ca="1">IF(Stammdaten!A41=0,"",Stammdaten!A41)</f>
        <v>Überstunde 50%</v>
      </c>
      <c r="P80" s="1969">
        <f t="shared" ca="1" si="7"/>
        <v>80</v>
      </c>
      <c r="Q80" s="1994" t="str">
        <f>IF(A90="","",A90)</f>
        <v>Überstunde 50%</v>
      </c>
      <c r="R80" s="1943">
        <f>IF(Q80="","",ROW())</f>
        <v>80</v>
      </c>
      <c r="S80" s="1995" t="str">
        <f ca="1">IFERROR(INDIRECT("Q"&amp;(SMALL(R$80:R$84,ROW(Q80)-ROW(Q$80)+1))),"")</f>
        <v>Überstunde 50%</v>
      </c>
      <c r="T80" s="1996">
        <f ca="1">IFERROR(VLOOKUP($S80,$A$90:$D$94,3,FALSE),"")</f>
        <v>1.5</v>
      </c>
      <c r="U80" s="1997">
        <f ca="1">IFERROR(VLOOKUP($S80,$A$90:$D$94,4,FALSE),"")</f>
        <v>0.5</v>
      </c>
    </row>
    <row r="81" spans="1:21" ht="17.850000000000001" customHeight="1" thickBot="1" x14ac:dyDescent="0.55000000000000004">
      <c r="A81" s="2642" t="s">
        <v>529</v>
      </c>
      <c r="B81" s="2642"/>
      <c r="C81" s="2642"/>
      <c r="D81" s="2642"/>
      <c r="E81" s="648">
        <f ca="1">E82</f>
        <v>21.46</v>
      </c>
      <c r="F81" s="651">
        <f ca="1">F82</f>
        <v>18.170000000000002</v>
      </c>
      <c r="G81" s="652">
        <f ca="1">E81/F81</f>
        <v>1.1811</v>
      </c>
      <c r="H81" s="1092" t="s">
        <v>100</v>
      </c>
      <c r="I81" s="438"/>
      <c r="L81" s="216"/>
      <c r="M81" s="1976" t="str">
        <f t="shared" ca="1" si="5"/>
        <v>Überstunde 75%</v>
      </c>
      <c r="N81" s="1338">
        <f t="shared" ca="1" si="6"/>
        <v>81</v>
      </c>
      <c r="O81" s="1976" t="str">
        <f ca="1">IF(Stammdaten!A42=0,"",Stammdaten!A42)</f>
        <v>Überstunde 75%</v>
      </c>
      <c r="P81" s="1969">
        <f t="shared" ca="1" si="7"/>
        <v>81</v>
      </c>
      <c r="Q81" s="1994" t="str">
        <f>IF(A91="","",A91)</f>
        <v/>
      </c>
      <c r="R81" s="1943" t="str">
        <f t="shared" ref="R81:R84" si="8">IF(Q81="","",ROW())</f>
        <v/>
      </c>
      <c r="S81" s="1995" t="str">
        <f ca="1">IFERROR(INDIRECT("Q"&amp;(SMALL(R$80:R$84,ROW(Q81)-ROW(Q$80)+1))),"")</f>
        <v/>
      </c>
      <c r="T81" s="1996" t="str">
        <f ca="1">IFERROR(VLOOKUP($S81,$A$90:$D$94,3,FALSE),"")</f>
        <v/>
      </c>
      <c r="U81" s="1997" t="str">
        <f ca="1">IFERROR(VLOOKUP($S81,$A$90:$D$94,4,FALSE),"")</f>
        <v/>
      </c>
    </row>
    <row r="82" spans="1:21" ht="17.850000000000001" customHeight="1" thickBot="1" x14ac:dyDescent="0.55000000000000004">
      <c r="A82" s="2642" t="s">
        <v>530</v>
      </c>
      <c r="B82" s="2642"/>
      <c r="C82" s="2642"/>
      <c r="D82" s="2642"/>
      <c r="E82" s="648">
        <f ca="1">' K3 PP'!O23+' K3 PP'!O24+' K3 PP'!O25</f>
        <v>21.46</v>
      </c>
      <c r="F82" s="648">
        <f ca="1">F79</f>
        <v>18.170000000000002</v>
      </c>
      <c r="G82" s="652">
        <f ca="1">E82/F82</f>
        <v>1.1811</v>
      </c>
      <c r="H82" s="1171">
        <v>1</v>
      </c>
      <c r="I82" s="438"/>
      <c r="L82" s="216"/>
      <c r="M82" s="1976" t="str">
        <f t="shared" ca="1" si="5"/>
        <v>Überstunde 100%</v>
      </c>
      <c r="N82" s="1338">
        <f t="shared" ca="1" si="6"/>
        <v>82</v>
      </c>
      <c r="O82" s="1976" t="str">
        <f ca="1">IF(Stammdaten!A43=0,"",Stammdaten!A43)</f>
        <v>Überstunde 100%</v>
      </c>
      <c r="P82" s="1969">
        <f t="shared" ca="1" si="7"/>
        <v>82</v>
      </c>
      <c r="Q82" s="1994" t="str">
        <f>IF(A92="","",A92)</f>
        <v/>
      </c>
      <c r="R82" s="1943" t="str">
        <f t="shared" si="8"/>
        <v/>
      </c>
      <c r="S82" s="1995" t="str">
        <f ca="1">IFERROR(INDIRECT("Q"&amp;(SMALL(R$80:R$84,ROW(Q82)-ROW(Q$80)+1))),"")</f>
        <v/>
      </c>
      <c r="T82" s="1996" t="str">
        <f ca="1">IFERROR(VLOOKUP($S82,$A$90:$D$94,3,FALSE),"")</f>
        <v/>
      </c>
      <c r="U82" s="1997" t="str">
        <f ca="1">IFERROR(VLOOKUP($S82,$A$90:$D$94,4,FALSE),"")</f>
        <v/>
      </c>
    </row>
    <row r="83" spans="1:21" ht="17.850000000000001" customHeight="1" thickBot="1" x14ac:dyDescent="0.55000000000000004">
      <c r="A83" s="2645"/>
      <c r="B83" s="2646"/>
      <c r="C83" s="2646"/>
      <c r="D83" s="2646"/>
      <c r="E83" s="2646"/>
      <c r="F83" s="2646"/>
      <c r="G83" s="2646"/>
      <c r="H83" s="2647"/>
      <c r="I83" s="438"/>
      <c r="L83" s="216"/>
      <c r="M83" s="1976" t="str">
        <f t="shared" ca="1" si="5"/>
        <v/>
      </c>
      <c r="N83" s="1338" t="str">
        <f t="shared" ca="1" si="6"/>
        <v/>
      </c>
      <c r="O83" s="1976" t="str">
        <f ca="1">IF(Stammdaten!A44=0,"",Stammdaten!A44)</f>
        <v/>
      </c>
      <c r="P83" s="1969" t="str">
        <f t="shared" ca="1" si="7"/>
        <v/>
      </c>
      <c r="Q83" s="1994" t="str">
        <f>IF(A93="","",A93)</f>
        <v/>
      </c>
      <c r="R83" s="1943" t="str">
        <f t="shared" si="8"/>
        <v/>
      </c>
      <c r="S83" s="1995" t="str">
        <f ca="1">IFERROR(INDIRECT("Q"&amp;(SMALL(R$80:R$84,ROW(Q83)-ROW(Q$80)+1))),"")</f>
        <v/>
      </c>
      <c r="T83" s="1996" t="str">
        <f ca="1">IFERROR(VLOOKUP($S83,$A$90:$D$94,3,FALSE),"")</f>
        <v/>
      </c>
      <c r="U83" s="1997" t="str">
        <f ca="1">IFERROR(VLOOKUP($S83,$A$90:$D$94,4,FALSE),"")</f>
        <v/>
      </c>
    </row>
    <row r="84" spans="1:21" ht="17.850000000000001" customHeight="1" thickBot="1" x14ac:dyDescent="0.55000000000000004">
      <c r="A84" s="2697" t="s">
        <v>631</v>
      </c>
      <c r="B84" s="2697"/>
      <c r="C84" s="2697" t="s">
        <v>230</v>
      </c>
      <c r="D84" s="2697" t="s">
        <v>232</v>
      </c>
      <c r="E84" s="2654" t="s">
        <v>634</v>
      </c>
      <c r="F84" s="2368" t="s">
        <v>137</v>
      </c>
      <c r="G84" s="2697" t="s">
        <v>139</v>
      </c>
      <c r="H84" s="2868" t="s">
        <v>269</v>
      </c>
      <c r="I84" s="438"/>
      <c r="J84" s="2303"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303"/>
      <c r="L84" s="2310"/>
      <c r="M84" s="1976" t="str">
        <f t="shared" ca="1" si="5"/>
        <v/>
      </c>
      <c r="N84" s="1338" t="str">
        <f t="shared" ca="1" si="6"/>
        <v/>
      </c>
      <c r="O84" s="1976" t="str">
        <f ca="1">IF(Stammdaten!A45=0,"",Stammdaten!A45)</f>
        <v/>
      </c>
      <c r="P84" s="1969" t="str">
        <f t="shared" ca="1" si="7"/>
        <v/>
      </c>
      <c r="Q84" s="1998" t="str">
        <f>IF(A94="","",A94)</f>
        <v/>
      </c>
      <c r="R84" s="1999" t="str">
        <f t="shared" si="8"/>
        <v/>
      </c>
      <c r="S84" s="2000" t="str">
        <f ca="1">IFERROR(INDIRECT("Q"&amp;(SMALL(R$80:R$84,ROW(Q84)-ROW(Q$80)+1))),"")</f>
        <v/>
      </c>
      <c r="T84" s="2001" t="str">
        <f ca="1">IFERROR(VLOOKUP($S84,$A$90:$D$94,3,FALSE),"")</f>
        <v/>
      </c>
      <c r="U84" s="1997" t="str">
        <f ca="1">IFERROR(VLOOKUP($S84,$A$90:$D$94,4,FALSE),"")</f>
        <v/>
      </c>
    </row>
    <row r="85" spans="1:21" ht="17.850000000000001" customHeight="1" thickBot="1" x14ac:dyDescent="0.55000000000000004">
      <c r="A85" s="2697"/>
      <c r="B85" s="2697"/>
      <c r="C85" s="2697"/>
      <c r="D85" s="2697"/>
      <c r="E85" s="2654"/>
      <c r="F85" s="2368"/>
      <c r="G85" s="2697"/>
      <c r="H85" s="2868"/>
      <c r="I85" s="438"/>
      <c r="J85" s="2303"/>
      <c r="K85" s="2303"/>
      <c r="L85" s="2310"/>
      <c r="M85" s="1976" t="str">
        <f t="shared" ca="1" si="5"/>
        <v/>
      </c>
      <c r="N85" s="1338" t="str">
        <f t="shared" ca="1" si="6"/>
        <v/>
      </c>
      <c r="O85" s="1976" t="str">
        <f ca="1">IF(Stammdaten!A46=0,"",Stammdaten!A46)</f>
        <v/>
      </c>
      <c r="P85" s="1969" t="str">
        <f t="shared" ca="1" si="7"/>
        <v/>
      </c>
    </row>
    <row r="86" spans="1:21" ht="17.850000000000001" customHeight="1" thickBot="1" x14ac:dyDescent="0.55000000000000004">
      <c r="A86" s="2697"/>
      <c r="B86" s="2697"/>
      <c r="C86" s="2697"/>
      <c r="D86" s="2697"/>
      <c r="E86" s="2654"/>
      <c r="F86" s="2368"/>
      <c r="G86" s="2697"/>
      <c r="H86" s="2868"/>
      <c r="I86" s="438"/>
      <c r="L86" s="216"/>
      <c r="M86" s="1976" t="str">
        <f t="shared" ca="1" si="5"/>
        <v/>
      </c>
      <c r="N86" s="1338" t="str">
        <f t="shared" ca="1" si="6"/>
        <v/>
      </c>
      <c r="O86" s="1976" t="str">
        <f ca="1">IF(Stammdaten!A47=0,"",Stammdaten!A47)</f>
        <v/>
      </c>
      <c r="P86" s="1969" t="str">
        <f t="shared" ca="1" si="7"/>
        <v/>
      </c>
    </row>
    <row r="87" spans="1:21" ht="17.850000000000001" customHeight="1" x14ac:dyDescent="0.5">
      <c r="A87" s="2369" t="s">
        <v>128</v>
      </c>
      <c r="B87" s="2369"/>
      <c r="C87" s="653">
        <f ca="1">IFERROR(Stammdaten!C37,"")</f>
        <v>38.5</v>
      </c>
      <c r="D87" s="654">
        <v>0</v>
      </c>
      <c r="E87" s="2654"/>
      <c r="F87" s="265"/>
      <c r="G87" s="265"/>
      <c r="H87" s="1172">
        <f ca="1">IFERROR(C87*D87,"")</f>
        <v>0</v>
      </c>
      <c r="I87" s="438"/>
      <c r="J87" s="2303" t="str">
        <f ca="1">IF(C87=0,"In den Stammdaten (Quelldatei) ist die KV-Arbeitszeit nicht eingetragen! Sie ist mit 0 Std übernommen! ÄNDERN!!","")</f>
        <v/>
      </c>
      <c r="K87" s="2303"/>
      <c r="L87" s="2310"/>
      <c r="M87" s="1976" t="str">
        <f t="shared" ca="1" si="5"/>
        <v/>
      </c>
      <c r="N87" s="1338" t="str">
        <f t="shared" ca="1" si="6"/>
        <v/>
      </c>
      <c r="O87" s="1976" t="str">
        <f>IF(Stammdaten!A48=0,"",Stammdaten!A48)</f>
        <v/>
      </c>
      <c r="P87" s="1338" t="str">
        <f t="shared" ref="P87" si="9">IF(O87="","",1*ROW())</f>
        <v/>
      </c>
    </row>
    <row r="88" spans="1:21" ht="17.850000000000001" customHeight="1" x14ac:dyDescent="0.45">
      <c r="A88" s="2785" t="s">
        <v>486</v>
      </c>
      <c r="B88" s="2785"/>
      <c r="C88" s="655"/>
      <c r="D88" s="655"/>
      <c r="E88" s="2654"/>
      <c r="F88" s="655"/>
      <c r="G88" s="655"/>
      <c r="H88" s="1173"/>
      <c r="I88" s="438"/>
      <c r="J88" s="2303"/>
      <c r="K88" s="2303"/>
      <c r="L88" s="2310"/>
      <c r="M88" s="1971" t="s">
        <v>566</v>
      </c>
      <c r="N88" s="1971">
        <f ca="1">MIN(N78:N87,ROW(M78))</f>
        <v>78</v>
      </c>
      <c r="O88" s="1971"/>
      <c r="P88" s="1971"/>
    </row>
    <row r="89" spans="1:21" ht="17.850000000000001" customHeight="1" x14ac:dyDescent="0.45">
      <c r="A89" s="2785"/>
      <c r="B89" s="2785"/>
      <c r="C89" s="1108"/>
      <c r="D89" s="655"/>
      <c r="E89" s="2654"/>
      <c r="F89" s="655"/>
      <c r="G89" s="655"/>
      <c r="H89" s="1173"/>
      <c r="I89" s="438"/>
      <c r="J89" s="2414" t="str">
        <f>IF(OR(E90&lt;&gt;E91,E91&lt;&gt;E92,E92&lt;&gt;E93,E93&lt;&gt;E94),"Hinweis: Unterschiedliche KZ vorhanden; prüfen ob korrekt!","")</f>
        <v/>
      </c>
      <c r="K89" s="2414"/>
      <c r="L89" s="2415"/>
      <c r="M89" s="1338" t="s">
        <v>567</v>
      </c>
      <c r="N89" s="1338">
        <f ca="1">MAX(N78:N87,ROW(M78))</f>
        <v>82</v>
      </c>
      <c r="T89" s="1338" t="s">
        <v>968</v>
      </c>
      <c r="U89" s="1338" t="s">
        <v>969</v>
      </c>
    </row>
    <row r="90" spans="1:21" ht="28.5" customHeight="1" x14ac:dyDescent="0.45">
      <c r="A90" s="2664" t="s">
        <v>929</v>
      </c>
      <c r="B90" s="2664"/>
      <c r="C90" s="335">
        <v>1.5</v>
      </c>
      <c r="D90" s="56">
        <f ca="1">IF(L$27="",IFERROR(IF(OR(ISBLANK(A90),A90=0),"",VLOOKUP(A90,Stammdaten!A$39:C$48,3,FALSE)),KALKULATION!$M$283),"ungültig")</f>
        <v>0.5</v>
      </c>
      <c r="E90" s="1119">
        <v>2</v>
      </c>
      <c r="F90" s="874">
        <f ca="1">IF(C90&gt;0,IF(E90=1,1,IF(E90=2,(E$80/F$80),IF(OR(E90=3,E90=4),(E$82/F$82),""))),"")</f>
        <v>1.151</v>
      </c>
      <c r="G90" s="874">
        <f ca="1">IF(C90&gt;0,IFERROR(IF(OR(E90=1,E90=2,E90=3),VLOOKUP(KALKULATION!A90,Stammdaten!A$39:C$48,2,FALSE),IF(E90=4,1,"")),""),"")</f>
        <v>1.17</v>
      </c>
      <c r="H90" s="1172">
        <f ca="1">IFERROR((C90*D90*F90*G90),"")</f>
        <v>1.01</v>
      </c>
      <c r="I90" s="438"/>
      <c r="J90" s="2306" t="str">
        <f ca="1">IF(OR(COUNTA(A90,C90,E90)=3,COUNTA(A90,C90,E90)=0,AND(COUNTA(A90,C90,E90)=1,E90&gt;0)),IF(D90=KALKULATION!M$283,"Auswahl erneut vornehmen (ungültiger Verweis)!",""),"Eingabe unvollständig (ergänzen oder löschen)!")</f>
        <v/>
      </c>
      <c r="K90" s="2306"/>
      <c r="L90" s="2307"/>
      <c r="T90" s="1983">
        <f ca="1">VLOOKUP(KALKULATION!A90,Stammdaten!A$39:C$48,2,FALSE)</f>
        <v>1.17</v>
      </c>
      <c r="U90" s="1955" t="str">
        <f ca="1">IF(AND(E90=4,T90&gt;1),1,"")</f>
        <v/>
      </c>
    </row>
    <row r="91" spans="1:21" ht="28.5" customHeight="1" x14ac:dyDescent="0.45">
      <c r="A91" s="2664"/>
      <c r="B91" s="2664"/>
      <c r="C91" s="335"/>
      <c r="D91" s="56" t="str">
        <f ca="1">IF(L$27="",IFERROR(IF(OR(ISBLANK(A91),A91=0),"",VLOOKUP(A91,Stammdaten!A$39:C$48,3,FALSE)),KALKULATION!$M$283),"ungültig")</f>
        <v/>
      </c>
      <c r="E91" s="352">
        <v>2</v>
      </c>
      <c r="F91" s="874" t="str">
        <f>IF(C91&gt;0,IF(E91=1,1,IF(E91=2,(E$80/F$80),IF(OR(E91=3,E91=4),(E$82/F$82),""))),"")</f>
        <v/>
      </c>
      <c r="G91" s="874" t="str">
        <f>IF(C91&gt;0,IFERROR(IF(OR(E91=1,E91=2,E91=3),VLOOKUP(KALKULATION!A91,Stammdaten!A$39:C$48,2,FALSE),IF(E91=4,1,"")),""),"")</f>
        <v/>
      </c>
      <c r="H91" s="1172" t="str">
        <f ca="1">IFERROR((C91*D91*F91*G91),"")</f>
        <v/>
      </c>
      <c r="I91" s="438"/>
      <c r="J91" s="2306" t="str">
        <f ca="1">IF(OR(COUNTA(A91,C91,E91)=3,COUNTA(A91,C91,E91)=0,AND(COUNTA(A91,C91,E91)=1,E91&gt;0)),IF(D91=KALKULATION!M$283,"Auswahl erneut vornehmen (ungültiger Verweis)!",""),"Eingabe unvollständig (ergänzen oder löschen)!")</f>
        <v/>
      </c>
      <c r="K91" s="2306"/>
      <c r="L91" s="2307"/>
      <c r="T91" s="1983">
        <f ca="1">VLOOKUP(KALKULATION!A91,Stammdaten!A$39:C$48,2,FALSE)</f>
        <v>0</v>
      </c>
      <c r="U91" s="1955" t="str">
        <f ca="1">IF(AND(E91=4,T91&gt;1),1,"")</f>
        <v/>
      </c>
    </row>
    <row r="92" spans="1:21" ht="28.5" customHeight="1" thickBot="1" x14ac:dyDescent="0.5">
      <c r="A92" s="2664"/>
      <c r="B92" s="2664"/>
      <c r="C92" s="335"/>
      <c r="D92" s="56" t="str">
        <f ca="1">IF(L$27="",IFERROR(IF(OR(ISBLANK(A92),A92=0),"",VLOOKUP(A92,Stammdaten!A$39:C$48,3,FALSE)),KALKULATION!$M$283),"ungültig")</f>
        <v/>
      </c>
      <c r="E92" s="352">
        <v>2</v>
      </c>
      <c r="F92" s="874" t="str">
        <f>IF(C92&gt;0,IF(E92=1,1,IF(E92=2,(E$80/F$80),IF(OR(E92=3,E92=4),(E$82/F$82),""))),"")</f>
        <v/>
      </c>
      <c r="G92" s="874" t="str">
        <f>IF(C92&gt;0,IFERROR(IF(OR(E92=1,E92=2,E92=3),VLOOKUP(KALKULATION!A92,Stammdaten!A$39:C$48,2,FALSE),IF(E92=4,1,"")),""),"")</f>
        <v/>
      </c>
      <c r="H92" s="1172" t="str">
        <f ca="1">IFERROR((C92*D92*F92*G92),"")</f>
        <v/>
      </c>
      <c r="I92" s="438"/>
      <c r="J92" s="2306" t="str">
        <f ca="1">IF(OR(COUNTA(A92,C92,E92)=3,COUNTA(A92,C92,E92)=0,AND(COUNTA(A92,C92,E92)=1,E92&gt;0)),IF(D92=KALKULATION!M$283,"Auswahl erneut vornehmen (ungültiger Verweis)!",""),"Eingabe unvollständig (ergänzen oder löschen)!")</f>
        <v/>
      </c>
      <c r="K92" s="2306"/>
      <c r="L92" s="2307"/>
      <c r="M92" s="1965" t="s">
        <v>571</v>
      </c>
      <c r="N92" s="1965" t="s">
        <v>568</v>
      </c>
      <c r="P92" s="2002" t="s">
        <v>1106</v>
      </c>
      <c r="T92" s="1983">
        <f ca="1">VLOOKUP(KALKULATION!A92,Stammdaten!A$39:C$48,2,FALSE)</f>
        <v>0</v>
      </c>
      <c r="U92" s="1955" t="str">
        <f ca="1">IF(AND(E92=4,T92&gt;1),1,"")</f>
        <v/>
      </c>
    </row>
    <row r="93" spans="1:21" ht="28.5" customHeight="1" thickBot="1" x14ac:dyDescent="0.55000000000000004">
      <c r="A93" s="2664"/>
      <c r="B93" s="2664"/>
      <c r="C93" s="335"/>
      <c r="D93" s="56" t="str">
        <f ca="1">IF(L$27="",IFERROR(IF(OR(ISBLANK(A93),A93=0),"",VLOOKUP(A93,Stammdaten!A$39:C$48,3,FALSE)),KALKULATION!$M$283),"ungültig")</f>
        <v/>
      </c>
      <c r="E93" s="352">
        <v>2</v>
      </c>
      <c r="F93" s="874" t="str">
        <f>IF(C93&gt;0,IF(E93=1,1,IF(E93=2,(E$80/F$80),IF(OR(E93=3,E93=4),(E$82/F$82),""))),"")</f>
        <v/>
      </c>
      <c r="G93" s="874" t="str">
        <f>IF(C93&gt;0,IFERROR(IF(OR(E93=1,E93=2,E93=3),VLOOKUP(KALKULATION!A93,Stammdaten!A$39:C$48,2,FALSE),IF(E93=4,1,"")),""),"")</f>
        <v/>
      </c>
      <c r="H93" s="1172" t="str">
        <f ca="1">IFERROR((C93*D93*F93*G93),"")</f>
        <v/>
      </c>
      <c r="I93" s="438"/>
      <c r="J93" s="2306" t="str">
        <f ca="1">IF(OR(COUNTA(A93,C93,E93)=3,COUNTA(A93,C93,E93)=0,AND(COUNTA(A93,C93,E93)=1,E93&gt;0)),IF(D93=KALKULATION!M$283,"Auswahl erneut vornehmen (ungültiger Verweis)!",""),"Eingabe unvollständig (ergänzen oder löschen)!")</f>
        <v/>
      </c>
      <c r="K93" s="2306"/>
      <c r="L93" s="2307"/>
      <c r="M93" s="1976" t="str">
        <f ca="1">IF(Stammdaten!A50=0,"",Stammdaten!A50)</f>
        <v>Sonntagszuschlag (Basis=Lohn)</v>
      </c>
      <c r="N93" s="1338">
        <f ca="1">IF(M93="","",1*ROW())</f>
        <v>93</v>
      </c>
      <c r="P93" s="2003">
        <f ca="1">IFERROR(SUMPRODUCT(C90:C94,D90:D94)/SUM(C90:C94),0)</f>
        <v>0.5</v>
      </c>
      <c r="Q93" s="2003">
        <f ca="1">IFERROR(H95/SUM(C90:C94),0)</f>
        <v>0.67330000000000001</v>
      </c>
      <c r="T93" s="1983">
        <f ca="1">VLOOKUP(KALKULATION!A93,Stammdaten!A$39:C$48,2,FALSE)</f>
        <v>0</v>
      </c>
      <c r="U93" s="1955" t="str">
        <f ca="1">IF(AND(E93=4,T93&gt;1),1,"")</f>
        <v/>
      </c>
    </row>
    <row r="94" spans="1:21" ht="28.5" customHeight="1" thickBot="1" x14ac:dyDescent="0.55000000000000004">
      <c r="A94" s="2664"/>
      <c r="B94" s="2664"/>
      <c r="C94" s="335"/>
      <c r="D94" s="56" t="str">
        <f ca="1">IF(L$27="",IFERROR(IF(OR(ISBLANK(A94),A94=0),"",VLOOKUP(A94,Stammdaten!A$39:C$48,3,FALSE)),KALKULATION!$M$283),"ungültig")</f>
        <v/>
      </c>
      <c r="E94" s="352">
        <v>2</v>
      </c>
      <c r="F94" s="874" t="str">
        <f>IF(C94&gt;0,IF(E94=1,1,IF(E94=2,(E$80/F$80),IF(OR(E94=3,E94=4),(E$82/F$82),""))),"")</f>
        <v/>
      </c>
      <c r="G94" s="874" t="str">
        <f>IF(C94&gt;0,IFERROR(IF(OR(E94=1,E94=2,E94=3),VLOOKUP(KALKULATION!A94,Stammdaten!A$39:C$48,2,FALSE),IF(E94=4,1,"")),""),"")</f>
        <v/>
      </c>
      <c r="H94" s="1172" t="str">
        <f ca="1">IFERROR((C94*D94*F94*G94),"")</f>
        <v/>
      </c>
      <c r="I94" s="438"/>
      <c r="J94" s="2306" t="str">
        <f ca="1">IF(OR(COUNTA(A94,C94,E94)=3,COUNTA(A94,C94,E94)=0,AND(COUNTA(A94,C94,E94)=1,E94&gt;0)),IF(D94=KALKULATION!M$283,"Auswahl erneut vornehmen (ungültiger Verweis)!",""),"Eingabe unvollständig (ergänzen oder löschen)!")</f>
        <v/>
      </c>
      <c r="K94" s="2306"/>
      <c r="L94" s="2307"/>
      <c r="M94" s="1976" t="str">
        <f ca="1">IF(Stammdaten!A51=0,"",Stammdaten!A51)</f>
        <v/>
      </c>
      <c r="N94" s="1338" t="str">
        <f ca="1">IF(M94="","",1*ROW())</f>
        <v/>
      </c>
      <c r="P94" s="2004" t="s">
        <v>867</v>
      </c>
      <c r="Q94" s="2004" t="s">
        <v>866</v>
      </c>
      <c r="T94" s="1983">
        <f ca="1">VLOOKUP(KALKULATION!A94,Stammdaten!A$39:C$48,2,FALSE)</f>
        <v>0</v>
      </c>
      <c r="U94" s="1955" t="str">
        <f ca="1">IF(AND(E94=4,T94&gt;1),1,"")</f>
        <v/>
      </c>
    </row>
    <row r="95" spans="1:21" ht="17.850000000000001" customHeight="1" thickBot="1" x14ac:dyDescent="0.55000000000000004">
      <c r="A95" s="2706" t="s">
        <v>493</v>
      </c>
      <c r="B95" s="2707"/>
      <c r="C95" s="656">
        <f ca="1">IF(H77=_Nein,C87,IF(L$27="",C87+SUM(C90:C94),""))</f>
        <v>40</v>
      </c>
      <c r="D95" s="657" t="str">
        <f ca="1">"Ø "&amp;TEXT(P93,"0,00%")</f>
        <v>Ø 50,00%</v>
      </c>
      <c r="E95" s="655"/>
      <c r="F95" s="655"/>
      <c r="G95" s="657" t="s">
        <v>487</v>
      </c>
      <c r="H95" s="1172">
        <f ca="1">IF(H77="Nein",0,SUM(H90:H94))</f>
        <v>1.01</v>
      </c>
      <c r="I95" s="438"/>
      <c r="J95" s="2329" t="str">
        <f ca="1">IF(OR(C95&gt;Report!F9,C95&lt;Report!G9),"Hinweis: Wochenarbeitszeit (C1) liegt über bzw unter den Richtwerten gem Blatt REPORT! ","")</f>
        <v/>
      </c>
      <c r="K95" s="2329"/>
      <c r="L95" s="2330"/>
      <c r="M95" s="1976" t="str">
        <f ca="1">IF(Stammdaten!A52=0,"",Stammdaten!A52)</f>
        <v/>
      </c>
      <c r="N95" s="1338" t="str">
        <f ca="1">IF(M95="","",1*ROW())</f>
        <v/>
      </c>
      <c r="P95" s="2005"/>
      <c r="T95" s="1338" t="s">
        <v>56</v>
      </c>
      <c r="U95" s="2006">
        <f ca="1">SUM(U90:U94)</f>
        <v>0</v>
      </c>
    </row>
    <row r="96" spans="1:21" ht="17.850000000000001" customHeight="1" thickBot="1" x14ac:dyDescent="0.55000000000000004">
      <c r="A96" s="2790"/>
      <c r="B96" s="2791"/>
      <c r="C96" s="2791"/>
      <c r="D96" s="2791"/>
      <c r="E96" s="2791"/>
      <c r="F96" s="2791"/>
      <c r="G96" s="2791"/>
      <c r="H96" s="2791"/>
      <c r="I96" s="438"/>
      <c r="J96" s="2329"/>
      <c r="K96" s="2329"/>
      <c r="L96" s="2330"/>
      <c r="M96" s="1976" t="str">
        <f ca="1">IF(Stammdaten!A53=0,"",Stammdaten!A53)</f>
        <v/>
      </c>
      <c r="N96" s="1338" t="str">
        <f ca="1">IF(M96="","",1*ROW())</f>
        <v/>
      </c>
    </row>
    <row r="97" spans="1:21" ht="20" customHeight="1" thickBot="1" x14ac:dyDescent="0.55000000000000004">
      <c r="A97" s="2346" t="s">
        <v>804</v>
      </c>
      <c r="B97" s="2347"/>
      <c r="C97" s="2347"/>
      <c r="D97" s="2347"/>
      <c r="E97" s="2347"/>
      <c r="F97" s="2347"/>
      <c r="G97" s="2624"/>
      <c r="H97" s="577" t="s">
        <v>193</v>
      </c>
      <c r="I97" s="438"/>
      <c r="J97" s="2308" t="str">
        <f>IF(COUNTIF((C90:C94),0)&lt;&gt;0,"Hinweis zu C1: Eintragung von 0,00 Std vorhanden.","")</f>
        <v/>
      </c>
      <c r="K97" s="2308"/>
      <c r="L97" s="2309"/>
      <c r="M97" s="1976" t="str">
        <f ca="1">IF(Stammdaten!A54=0,"",Stammdaten!A54)</f>
        <v/>
      </c>
      <c r="N97" s="1338" t="str">
        <f ca="1">IF(M97="","",1*ROW())</f>
        <v/>
      </c>
    </row>
    <row r="98" spans="1:21" ht="17.850000000000001" customHeight="1" x14ac:dyDescent="0.5">
      <c r="A98" s="2796" t="s">
        <v>488</v>
      </c>
      <c r="B98" s="2797"/>
      <c r="C98" s="2435" t="s">
        <v>492</v>
      </c>
      <c r="D98" s="2435" t="s">
        <v>232</v>
      </c>
      <c r="E98" s="2435" t="s">
        <v>681</v>
      </c>
      <c r="F98" s="2863" t="s">
        <v>137</v>
      </c>
      <c r="G98" s="2435" t="s">
        <v>139</v>
      </c>
      <c r="H98" s="1174"/>
      <c r="I98" s="438"/>
      <c r="J98" s="2303"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303"/>
      <c r="L98" s="2310"/>
      <c r="M98" s="1976" t="str">
        <f>IF(Stammdaten!A55=0,"",Stammdaten!A55)</f>
        <v/>
      </c>
      <c r="N98" s="1338" t="str">
        <f t="shared" ref="N98" si="10">IF(M98="","",1*ROW())</f>
        <v/>
      </c>
    </row>
    <row r="99" spans="1:21" ht="17.850000000000001" customHeight="1" x14ac:dyDescent="0.45">
      <c r="A99" s="2798"/>
      <c r="B99" s="2799"/>
      <c r="C99" s="2651"/>
      <c r="D99" s="2651"/>
      <c r="E99" s="2651"/>
      <c r="F99" s="2864"/>
      <c r="G99" s="2651"/>
      <c r="H99" s="1175"/>
      <c r="I99" s="438"/>
      <c r="J99" s="2303"/>
      <c r="K99" s="2303"/>
      <c r="L99" s="2310"/>
      <c r="M99" s="1338" t="s">
        <v>566</v>
      </c>
      <c r="N99" s="1338">
        <f ca="1">MIN(N93:N98,ROW(M93))</f>
        <v>93</v>
      </c>
    </row>
    <row r="100" spans="1:21" ht="17.850000000000001" customHeight="1" thickBot="1" x14ac:dyDescent="0.5">
      <c r="A100" s="2815" t="s">
        <v>283</v>
      </c>
      <c r="B100" s="2816"/>
      <c r="C100" s="2436"/>
      <c r="D100" s="2436"/>
      <c r="E100" s="2436"/>
      <c r="F100" s="2865"/>
      <c r="G100" s="2436"/>
      <c r="H100" s="1176"/>
      <c r="I100" s="438"/>
      <c r="L100" s="216"/>
      <c r="M100" s="1338" t="s">
        <v>567</v>
      </c>
      <c r="N100" s="1338">
        <f ca="1">MAX(N93:N98,ROW(M93))</f>
        <v>93</v>
      </c>
    </row>
    <row r="101" spans="1:21" ht="28.5" customHeight="1" thickTop="1" x14ac:dyDescent="0.45">
      <c r="A101" s="2374"/>
      <c r="B101" s="2375"/>
      <c r="C101" s="334"/>
      <c r="D101" s="472" t="str">
        <f ca="1">IF(L$27="",IFERROR(IF(OR(ISBLANK(A101),A101=0),"",VLOOKUP(A101,Stammdaten!A$50:C$55,3,FALSE)),KALKULATION!$M$283),"ungültig")</f>
        <v/>
      </c>
      <c r="E101" s="557">
        <v>1</v>
      </c>
      <c r="F101" s="875" t="str">
        <f>IFERROR(IF(OR(C101&gt;0,C101&lt;0),IF(E101=1,1,IF(E101=2,(E$80/F$80),IF(OR(E101=3,E101=4),(E$82/F$82),""))),""),"")</f>
        <v/>
      </c>
      <c r="G101" s="876" t="str">
        <f>IF(OR(C101&gt;0,C101&lt;0),IFERROR(IF(OR(E101=1,E101=2,E101=3),VLOOKUP(KALKULATION!A101,Stammdaten!A$50:C$55,2,FALSE),IF(E101=4,1,"")),""),"")</f>
        <v/>
      </c>
      <c r="H101" s="1177" t="str">
        <f ca="1">IFERROR((C101*D101*F101*G101),"")</f>
        <v/>
      </c>
      <c r="I101" s="438"/>
      <c r="J101" s="2306" t="str">
        <f ca="1">IF(OR(COUNTA(A101,C101,E101)=3,COUNTA(A101,C101,E101)=0,AND(COUNTA(A101,C101,E101)=1,E101&gt;0)),IF(D101=KALKULATION!$M$283,"Auswahl erneut vornehmen (ungültiger Verweis)!",""),"Eingabe unvollständig (ergänzen oder löschen)!")</f>
        <v/>
      </c>
      <c r="K101" s="2306"/>
      <c r="L101" s="2307"/>
      <c r="T101" s="1955">
        <f ca="1">VLOOKUP(KALKULATION!A101,Stammdaten!A$50:C$55,2,FALSE)</f>
        <v>0</v>
      </c>
      <c r="U101" s="1955" t="str">
        <f ca="1">IF(AND(E101=4,T101&gt;1),1,"")</f>
        <v/>
      </c>
    </row>
    <row r="102" spans="1:21" ht="28.5" customHeight="1" x14ac:dyDescent="0.45">
      <c r="A102" s="2459"/>
      <c r="B102" s="2510"/>
      <c r="C102" s="335"/>
      <c r="D102" s="472" t="str">
        <f ca="1">IF(L$27="",IFERROR(IF(OR(ISBLANK(A102),A102=0),"",VLOOKUP(A102,Stammdaten!A$50:C$55,3,FALSE)),KALKULATION!$M$283),"ungültig")</f>
        <v/>
      </c>
      <c r="E102" s="351">
        <v>1</v>
      </c>
      <c r="F102" s="875" t="str">
        <f>IFERROR(IF(OR(C102&gt;0,C102&lt;0),IF(E102=1,1,IF(E102=2,(E$80/F$80),IF(OR(E102=3,E102=4),(E$82/F$82),""))),""),"")</f>
        <v/>
      </c>
      <c r="G102" s="876" t="str">
        <f>IF(OR(C102&gt;0,C102&lt;0),IFERROR(IF(OR(E102=1,E102=2,E102=3),VLOOKUP(KALKULATION!A102,Stammdaten!A$50:C$55,2,FALSE),IF(E102=4,1,"")),""),"")</f>
        <v/>
      </c>
      <c r="H102" s="1172" t="str">
        <f ca="1">IFERROR((C102*D102*F102*G102),"")</f>
        <v/>
      </c>
      <c r="I102" s="438"/>
      <c r="J102" s="2306" t="str">
        <f ca="1">IF(OR(COUNTA(A102,C102,E102)=3,COUNTA(A102,C102,E102)=0,AND(COUNTA(A102,C102,E102)=1,E102&gt;0)),IF(D102=KALKULATION!$M$283,"Auswahl erneut vornehmen (ungültiger Verweis)!",""),"Eingabe unvollständig (ergänzen oder löschen)!")</f>
        <v/>
      </c>
      <c r="K102" s="2306"/>
      <c r="L102" s="2307"/>
      <c r="T102" s="1955">
        <f ca="1">VLOOKUP(KALKULATION!A102,Stammdaten!A$50:C$55,2,FALSE)</f>
        <v>0</v>
      </c>
      <c r="U102" s="1955" t="str">
        <f ca="1">IF(AND(E102=4,T102&gt;1),1,"")</f>
        <v/>
      </c>
    </row>
    <row r="103" spans="1:21" ht="28.5" customHeight="1" thickBot="1" x14ac:dyDescent="0.5">
      <c r="A103" s="2459"/>
      <c r="B103" s="2460"/>
      <c r="C103" s="335"/>
      <c r="D103" s="472" t="str">
        <f ca="1">IF(L$27="",IFERROR(IF(OR(ISBLANK(A103),A103=0),"",VLOOKUP(A103,Stammdaten!A$50:C$55,3,FALSE)),KALKULATION!$M$283),"ungültig")</f>
        <v/>
      </c>
      <c r="E103" s="352">
        <v>1</v>
      </c>
      <c r="F103" s="875" t="str">
        <f>IFERROR(IF(OR(C103&gt;0,C103&lt;0),IF(E103=1,1,IF(E103=2,(E$80/F$80),IF(OR(E103=3,E103=4),(E$82/F$82),""))),""),"")</f>
        <v/>
      </c>
      <c r="G103" s="876" t="str">
        <f>IF(OR(C103&gt;0,C103&lt;0),IFERROR(IF(OR(E103=1,E103=2,E103=3),VLOOKUP(KALKULATION!A103,Stammdaten!A$50:C$55,2,FALSE),IF(E103=4,1,"")),""),"")</f>
        <v/>
      </c>
      <c r="H103" s="1172" t="str">
        <f ca="1">IFERROR((C103*D103*F103*G103),"")</f>
        <v/>
      </c>
      <c r="I103" s="438"/>
      <c r="J103" s="2306" t="str">
        <f ca="1">IF(OR(COUNTA(A103,C103,E103)=3,COUNTA(A103,C103,E103)=0,AND(COUNTA(A103,C103,E103)=1,E103&gt;0)),IF(D103=KALKULATION!$M$283,"Auswahl erneut vornehmen (ungültiger Verweis)!",""),"Eingabe unvollständig (ergänzen oder löschen)!")</f>
        <v/>
      </c>
      <c r="K103" s="2306"/>
      <c r="L103" s="2307"/>
      <c r="M103" s="1965" t="s">
        <v>570</v>
      </c>
      <c r="N103" s="1965" t="s">
        <v>568</v>
      </c>
      <c r="T103" s="1955">
        <f ca="1">VLOOKUP(KALKULATION!A103,Stammdaten!A$50:C$55,2,FALSE)</f>
        <v>0</v>
      </c>
      <c r="U103" s="1955" t="str">
        <f ca="1">IF(AND(E103=4,T103&gt;1),1,"")</f>
        <v/>
      </c>
    </row>
    <row r="104" spans="1:21" ht="17.850000000000001" customHeight="1" thickBot="1" x14ac:dyDescent="0.55000000000000004">
      <c r="A104" s="2796" t="s">
        <v>489</v>
      </c>
      <c r="B104" s="2797"/>
      <c r="C104" s="2655" t="s">
        <v>491</v>
      </c>
      <c r="D104" s="2655" t="s">
        <v>231</v>
      </c>
      <c r="E104" s="142"/>
      <c r="F104" s="2655" t="s">
        <v>253</v>
      </c>
      <c r="G104" s="2655" t="s">
        <v>254</v>
      </c>
      <c r="H104" s="2687"/>
      <c r="I104" s="438"/>
      <c r="L104" s="216"/>
      <c r="M104" s="1976" t="str">
        <f ca="1">IF(Stammdaten!A57=0,"",Stammdaten!A57)</f>
        <v>Nachtarbeiteit, 22-6 Uhr</v>
      </c>
      <c r="N104" s="1338">
        <f ca="1">IF(M104="","",1*ROW())</f>
        <v>104</v>
      </c>
      <c r="U104" s="1338">
        <f ca="1">SUM(U101:U103)</f>
        <v>0</v>
      </c>
    </row>
    <row r="105" spans="1:21" ht="17.850000000000001" customHeight="1" thickBot="1" x14ac:dyDescent="0.55000000000000004">
      <c r="A105" s="2798"/>
      <c r="B105" s="2799"/>
      <c r="C105" s="2656"/>
      <c r="D105" s="2656"/>
      <c r="E105" s="143"/>
      <c r="F105" s="2656"/>
      <c r="G105" s="2656"/>
      <c r="H105" s="2688"/>
      <c r="I105" s="438"/>
      <c r="L105" s="216"/>
      <c r="M105" s="1976" t="str">
        <f ca="1">IF(Stammdaten!A58=0,"",Stammdaten!A58)</f>
        <v>Schichtzulage (2. Schicht)</v>
      </c>
      <c r="N105" s="1338">
        <f ca="1">IF(M105="","",1*ROW())</f>
        <v>105</v>
      </c>
    </row>
    <row r="106" spans="1:21" ht="17.850000000000001" customHeight="1" thickBot="1" x14ac:dyDescent="0.55000000000000004">
      <c r="A106" s="2815" t="s">
        <v>283</v>
      </c>
      <c r="B106" s="2816"/>
      <c r="C106" s="2657"/>
      <c r="D106" s="2657"/>
      <c r="E106" s="659"/>
      <c r="F106" s="2657"/>
      <c r="G106" s="2657"/>
      <c r="H106" s="2689"/>
      <c r="I106" s="438"/>
      <c r="L106" s="216"/>
      <c r="M106" s="1976" t="str">
        <f ca="1">IF(Stammdaten!A59=0,"",Stammdaten!A59)</f>
        <v>Schichtzulage (3. Schicht)</v>
      </c>
      <c r="N106" s="1338">
        <f ca="1">IF(M106="","",1*ROW())</f>
        <v>106</v>
      </c>
    </row>
    <row r="107" spans="1:21" ht="28.5" customHeight="1" thickTop="1" thickBot="1" x14ac:dyDescent="0.55000000000000004">
      <c r="A107" s="2374"/>
      <c r="B107" s="2846"/>
      <c r="C107" s="334"/>
      <c r="D107" s="658" t="str">
        <f ca="1">IF(L$27="",IFERROR(IF(ISBLANK(A107),"",(VLOOKUP(A107,Stammdaten!A$57:B$62,2,FALSE))),KALKULATION!$M$283),"ungültig")</f>
        <v/>
      </c>
      <c r="E107" s="141"/>
      <c r="F107" s="208" t="str">
        <f>IFERROR(IF(OR(A107="",A107=0),"",' K3 PP'!O$21),"")</f>
        <v/>
      </c>
      <c r="G107" s="209" t="str">
        <f ca="1">IFERROR(D107/F107,"")</f>
        <v/>
      </c>
      <c r="H107" s="710" t="str">
        <f ca="1">IFERROR(C107*G107,"")</f>
        <v/>
      </c>
      <c r="I107" s="438"/>
      <c r="J107" s="271" t="str">
        <f ca="1">IF(OR(COUNTA(A107,C107)=2,COUNTA(A107,C107)=0),IF(D107=KALKULATION!$M$283,"Auswahl erneut vornehmen (ungültiger Verweis)!",""),"Eingabe unvollständig (ergänzen oder löschen)!")</f>
        <v/>
      </c>
      <c r="K107" s="271"/>
      <c r="L107" s="216"/>
      <c r="M107" s="1976" t="str">
        <f ca="1">IF(Stammdaten!A60=0,"",Stammdaten!A60)</f>
        <v/>
      </c>
      <c r="N107" s="1338" t="str">
        <f ca="1">IF(M107="","",1*ROW())</f>
        <v/>
      </c>
    </row>
    <row r="108" spans="1:21" ht="28.5" customHeight="1" thickBot="1" x14ac:dyDescent="0.55000000000000004">
      <c r="A108" s="2459"/>
      <c r="B108" s="2460"/>
      <c r="C108" s="335"/>
      <c r="D108" s="473" t="str">
        <f ca="1">IF(L$27="",IFERROR(IF(ISBLANK(A108),"",(VLOOKUP(A108,Stammdaten!A$57:B$62,2,FALSE))),KALKULATION!$M$283),"ungültig")</f>
        <v/>
      </c>
      <c r="E108" s="91"/>
      <c r="F108" s="208" t="str">
        <f>IFERROR(IF(OR(A108="",A108=0),"",' K3 PP'!O$21),"")</f>
        <v/>
      </c>
      <c r="G108" s="210" t="str">
        <f ca="1">IFERROR(D108/F108,"")</f>
        <v/>
      </c>
      <c r="H108" s="1178" t="str">
        <f ca="1">IFERROR(C108*G108,"")</f>
        <v/>
      </c>
      <c r="I108" s="438"/>
      <c r="J108" s="271" t="str">
        <f ca="1">IF(OR(COUNTA(A108,C108)=2,COUNTA(A108,C108)=0),IF(D108=KALKULATION!$M$283,"Auswahl erneut vornehmen (ungültiger Verweis)!",""),"Eingabe unvollständig (ergänzen oder löschen)!")</f>
        <v/>
      </c>
      <c r="K108" s="271"/>
      <c r="L108" s="216"/>
      <c r="M108" s="1976" t="str">
        <f ca="1">IF(Stammdaten!A61=0,"",Stammdaten!A61)</f>
        <v/>
      </c>
      <c r="N108" s="1338" t="str">
        <f ca="1">IF(M108="","",1*ROW())</f>
        <v/>
      </c>
      <c r="O108" s="1981"/>
      <c r="P108" s="2007" t="s">
        <v>872</v>
      </c>
      <c r="Q108" s="1981"/>
    </row>
    <row r="109" spans="1:21" ht="28.5" customHeight="1" thickBot="1" x14ac:dyDescent="0.55000000000000004">
      <c r="A109" s="2803"/>
      <c r="B109" s="2804"/>
      <c r="C109" s="336"/>
      <c r="D109" s="493" t="str">
        <f ca="1">IF(L$27="",IFERROR(IF(ISBLANK(A109),"",(VLOOKUP(A109,Stammdaten!A$57:B$62,2,FALSE))),KALKULATION!$M$283),"ungültig")</f>
        <v/>
      </c>
      <c r="E109" s="494"/>
      <c r="F109" s="495" t="str">
        <f>IFERROR(IF(OR(A109="",A109=0),"",' K3 PP'!O$21),"")</f>
        <v/>
      </c>
      <c r="G109" s="496" t="str">
        <f ca="1">IFERROR(D109/F109,"")</f>
        <v/>
      </c>
      <c r="H109" s="1179" t="str">
        <f ca="1">IFERROR(C109*G109,"")</f>
        <v/>
      </c>
      <c r="I109" s="438"/>
      <c r="J109" s="271" t="str">
        <f ca="1">IF(OR(COUNTA(A109,C109)=2,COUNTA(A109,C109)=0),IF(D109=KALKULATION!$M$283,"Auswahl erneut vornehmen (ungültiger Verweis)!",""),"Eingabe unvollständig (ergänzen oder löschen)!")</f>
        <v/>
      </c>
      <c r="K109" s="271"/>
      <c r="L109" s="216"/>
      <c r="M109" s="1976" t="str">
        <f>IF(Stammdaten!A62=0,"",Stammdaten!A62)</f>
        <v/>
      </c>
      <c r="N109" s="1338" t="str">
        <f t="shared" ref="N109" si="11">IF(M109="","",1*ROW())</f>
        <v/>
      </c>
      <c r="O109" s="2008" t="s">
        <v>870</v>
      </c>
      <c r="P109" s="2009">
        <f ca="1">P93</f>
        <v>0.5</v>
      </c>
      <c r="Q109" s="2009">
        <f ca="1">Q93</f>
        <v>0.67330000000000001</v>
      </c>
    </row>
    <row r="110" spans="1:21" ht="17.850000000000001" customHeight="1" x14ac:dyDescent="0.45">
      <c r="A110" s="2858" t="s">
        <v>859</v>
      </c>
      <c r="B110" s="2721"/>
      <c r="C110" s="2721"/>
      <c r="D110" s="1088" t="str">
        <f ca="1">"Ø "&amp;TEXT(P112,"0,00%")</f>
        <v>Ø 0,00%</v>
      </c>
      <c r="E110" s="2721" t="s">
        <v>490</v>
      </c>
      <c r="F110" s="2721"/>
      <c r="G110" s="2721"/>
      <c r="H110" s="930">
        <f>IF(H97="Nein",0,SUM(H101:H109))</f>
        <v>0</v>
      </c>
      <c r="I110" s="438"/>
      <c r="J110" s="2437" t="str">
        <f>IF(COUNTIF((C101:C109),0)&lt;&gt;0,"Hinweis: Eintragung von 0,00 bei Anzahl gefunden.","")</f>
        <v/>
      </c>
      <c r="K110" s="2437"/>
      <c r="L110" s="2438"/>
      <c r="M110" s="1338" t="s">
        <v>566</v>
      </c>
      <c r="N110" s="1338">
        <f ca="1">MIN(N104:N109,ROW(M104))</f>
        <v>104</v>
      </c>
      <c r="O110" s="2010" t="s">
        <v>877</v>
      </c>
      <c r="P110" s="2011">
        <f ca="1">IFERROR(SUMPRODUCT(C101:C103,D101:D103)/SUM(C101:C103),0)</f>
        <v>0</v>
      </c>
      <c r="Q110" s="2011">
        <f ca="1">IFERROR(SUM(H101:H103)/SUM(C101:C103),0)</f>
        <v>0</v>
      </c>
    </row>
    <row r="111" spans="1:21" ht="20" customHeight="1" x14ac:dyDescent="0.45">
      <c r="A111" s="2313" t="s">
        <v>739</v>
      </c>
      <c r="B111" s="2314"/>
      <c r="C111" s="2314"/>
      <c r="D111" s="2314"/>
      <c r="E111" s="2314"/>
      <c r="F111" s="2314"/>
      <c r="G111" s="2314"/>
      <c r="H111" s="2314"/>
      <c r="I111" s="438"/>
      <c r="L111" s="216"/>
      <c r="M111" s="1338" t="s">
        <v>567</v>
      </c>
      <c r="N111" s="1338">
        <f ca="1">MAX(N104:N109,ROW(M104))</f>
        <v>106</v>
      </c>
      <c r="O111" s="2010" t="s">
        <v>869</v>
      </c>
      <c r="P111" s="2012">
        <f ca="1">IFERROR(SUMPRODUCT(C107:C109,G107:G109)/SUM(C107:C109),0)</f>
        <v>0</v>
      </c>
      <c r="Q111" s="2012">
        <f ca="1">P111</f>
        <v>0</v>
      </c>
    </row>
    <row r="112" spans="1:21" ht="17.850000000000001" customHeight="1" x14ac:dyDescent="0.45">
      <c r="A112" s="2843" t="s">
        <v>533</v>
      </c>
      <c r="B112" s="2625"/>
      <c r="C112" s="2625"/>
      <c r="D112" s="2625"/>
      <c r="E112" s="2625"/>
      <c r="F112" s="2625"/>
      <c r="G112" s="2625"/>
      <c r="H112" s="932">
        <f ca="1">SUM(H87,H95,H110)</f>
        <v>1.01</v>
      </c>
      <c r="I112" s="438"/>
      <c r="L112" s="216"/>
      <c r="O112" s="2008" t="s">
        <v>871</v>
      </c>
      <c r="P112" s="2013">
        <f ca="1">SUM(P110:P111)</f>
        <v>0</v>
      </c>
      <c r="Q112" s="2013">
        <f ca="1">SUM(Q110:Q111)</f>
        <v>0</v>
      </c>
    </row>
    <row r="113" spans="1:17" ht="17.850000000000001" customHeight="1" x14ac:dyDescent="0.45">
      <c r="A113" s="2844" t="str">
        <f ca="1">"Zwischenergebnis als Aufzahlungsprozentsatz pro Std bei "&amp;TEXT(C95,"0,00")&amp;" Std/Wo"</f>
        <v>Zwischenergebnis als Aufzahlungsprozentsatz pro Std bei 40,00 Std/Wo</v>
      </c>
      <c r="B113" s="2845"/>
      <c r="C113" s="2845"/>
      <c r="D113" s="2845"/>
      <c r="E113" s="2845"/>
      <c r="F113" s="2845"/>
      <c r="G113" s="2845"/>
      <c r="H113" s="929">
        <f ca="1">H112/C95</f>
        <v>2.53E-2</v>
      </c>
      <c r="I113" s="438"/>
      <c r="L113" s="216"/>
      <c r="O113" s="2014" t="s">
        <v>868</v>
      </c>
      <c r="P113" s="2015">
        <f ca="1">SUM(P109,P112)</f>
        <v>0.5</v>
      </c>
      <c r="Q113" s="2015">
        <f ca="1">SUM(Q109,Q112)</f>
        <v>0.67330000000000001</v>
      </c>
    </row>
    <row r="114" spans="1:17" ht="17.850000000000001" customHeight="1" thickBot="1" x14ac:dyDescent="0.5">
      <c r="A114" s="2361" t="s">
        <v>737</v>
      </c>
      <c r="B114" s="2362"/>
      <c r="C114" s="2362"/>
      <c r="D114" s="2362"/>
      <c r="E114" s="2362"/>
      <c r="F114" s="2362"/>
      <c r="G114" s="2362"/>
      <c r="H114" s="933"/>
      <c r="I114" s="576" t="str">
        <f>IF(H114&lt;&gt;0,"X","")</f>
        <v/>
      </c>
      <c r="J114" s="2871" t="str">
        <f>IF(AND(H114&lt;&gt;0,H97="Nein",H77="Nein"),"Hinweis: Ohne Kalkulation sollte keine Eingabe erfolgen! Im REPORT kann diese Eingabe nicht erfasst werden.","")</f>
        <v/>
      </c>
      <c r="K114" s="2871"/>
      <c r="L114" s="2872"/>
      <c r="P114" s="2016" t="s">
        <v>867</v>
      </c>
      <c r="Q114" s="2016" t="s">
        <v>866</v>
      </c>
    </row>
    <row r="115" spans="1:17" ht="17.850000000000001" customHeight="1" x14ac:dyDescent="0.45">
      <c r="A115" s="65" t="str">
        <f ca="1">IFERROR("C) Ergebnis Arbeitszeitzuschläge (K3 Zeile 8: € "&amp;TEXT(' K3 PP'!O26,"0,00")&amp;" pro Std) bzw in %",KALKULATION!$M$286)</f>
        <v>C) Ergebnis Arbeitszeitzuschläge (K3 Zeile 8: € 0,47 pro Std) bzw in %</v>
      </c>
      <c r="B115" s="72"/>
      <c r="C115" s="72"/>
      <c r="D115" s="47"/>
      <c r="E115" s="72"/>
      <c r="F115" s="72"/>
      <c r="G115" s="1882" t="s">
        <v>1088</v>
      </c>
      <c r="H115" s="931">
        <f ca="1">IF(H113=0,0,IF(G115=Q35,ROUNDUP(SUM(H113:H114),3),SUM(H113:H114)))</f>
        <v>2.5999999999999999E-2</v>
      </c>
      <c r="I115" s="438"/>
      <c r="J115" s="2871"/>
      <c r="K115" s="2871"/>
      <c r="L115" s="2872"/>
    </row>
    <row r="116" spans="1:17" ht="20" customHeight="1" x14ac:dyDescent="0.45">
      <c r="A116" s="2643" t="str">
        <f ca="1">A74</f>
        <v>Info: KV &amp; up.Z: 18,17€ | abgabepfl. Pers.ko: 25,23€ | vor Uml: 51,19€ | KOSTEN: 56,83€ | PREIS: 72,74€</v>
      </c>
      <c r="B116" s="2644"/>
      <c r="C116" s="2644"/>
      <c r="D116" s="2644"/>
      <c r="E116" s="2644"/>
      <c r="F116" s="2644"/>
      <c r="G116" s="2644"/>
      <c r="H116" s="2644"/>
      <c r="I116" s="438"/>
      <c r="J116" s="2304" t="str">
        <f ca="1">IF(AND(H113=0,H114&lt;&gt;0),"Zu C3.a: Keine Anpassung ohne Grundkalkulation (bzw Wert =0)!","")</f>
        <v/>
      </c>
      <c r="K116" s="2304"/>
      <c r="L116" s="2305"/>
    </row>
    <row r="117" spans="1:17" ht="17.25" customHeight="1" x14ac:dyDescent="0.45">
      <c r="A117" s="2311"/>
      <c r="B117" s="2312"/>
      <c r="C117" s="2312"/>
      <c r="D117" s="2312"/>
      <c r="E117" s="2312"/>
      <c r="F117" s="2312"/>
      <c r="G117" s="2312"/>
      <c r="H117" s="2312"/>
      <c r="I117" s="2312"/>
      <c r="L117" s="216"/>
    </row>
    <row r="118" spans="1:17" ht="25.05" customHeight="1" thickBot="1" x14ac:dyDescent="0.5">
      <c r="A118" s="2372" t="s">
        <v>494</v>
      </c>
      <c r="B118" s="2373"/>
      <c r="C118" s="2373"/>
      <c r="D118" s="2373"/>
      <c r="E118" s="2373"/>
      <c r="F118" s="2373"/>
      <c r="G118" s="2373"/>
      <c r="H118" s="2373"/>
      <c r="I118" s="438"/>
      <c r="L118" s="216"/>
      <c r="M118" s="1965" t="s">
        <v>572</v>
      </c>
      <c r="N118" s="1965" t="s">
        <v>568</v>
      </c>
      <c r="O118" s="1965"/>
      <c r="P118" s="1965"/>
    </row>
    <row r="119" spans="1:17" ht="20" customHeight="1" thickBot="1" x14ac:dyDescent="0.55000000000000004">
      <c r="A119" s="2698" t="s">
        <v>495</v>
      </c>
      <c r="B119" s="2699"/>
      <c r="C119" s="2699"/>
      <c r="D119" s="2699"/>
      <c r="E119" s="2699"/>
      <c r="F119" s="2699"/>
      <c r="G119" s="2699"/>
      <c r="H119" s="2699"/>
      <c r="I119" s="438"/>
      <c r="L119" s="216"/>
      <c r="M119" s="1976" t="str">
        <f t="shared" ref="M119:M145" ca="1" si="12">IFERROR(INDIRECT("O"&amp;(SMALL(P$119:P$145,ROW(P119)-ROW(P$119)+1))),"")</f>
        <v>Vorarbeiterzuschlag</v>
      </c>
      <c r="N119" s="1338">
        <f t="shared" ref="N119:N145" ca="1" si="13">IF(M119="","",ROW())</f>
        <v>119</v>
      </c>
      <c r="O119" s="1976" t="str">
        <f ca="1">IF(Stammdaten!A70=0,"",Stammdaten!A70)</f>
        <v>Vorarbeiterzuschlag</v>
      </c>
      <c r="P119" s="1338">
        <f t="shared" ref="P119:P144" ca="1" si="14">IF(O119="","",1*ROW())</f>
        <v>119</v>
      </c>
    </row>
    <row r="120" spans="1:17" ht="16.149999999999999" thickBot="1" x14ac:dyDescent="0.55000000000000004">
      <c r="A120" s="2693" t="s">
        <v>602</v>
      </c>
      <c r="B120" s="2694"/>
      <c r="C120" s="2435" t="s">
        <v>597</v>
      </c>
      <c r="D120" s="2435" t="s">
        <v>598</v>
      </c>
      <c r="E120" s="2700" t="s">
        <v>599</v>
      </c>
      <c r="F120" s="2701"/>
      <c r="G120" s="2700" t="s">
        <v>600</v>
      </c>
      <c r="H120" s="2701"/>
      <c r="I120" s="438"/>
      <c r="L120" s="216"/>
      <c r="M120" s="1976" t="str">
        <f t="shared" ca="1" si="12"/>
        <v>Schmutzzulage</v>
      </c>
      <c r="N120" s="1338">
        <f t="shared" ca="1" si="13"/>
        <v>120</v>
      </c>
      <c r="O120" s="1976" t="str">
        <f ca="1">IF(Stammdaten!A71=0,"",Stammdaten!A71)</f>
        <v>Schmutzzulage</v>
      </c>
      <c r="P120" s="1338">
        <f t="shared" ca="1" si="14"/>
        <v>120</v>
      </c>
    </row>
    <row r="121" spans="1:17" ht="16.149999999999999" customHeight="1" thickBot="1" x14ac:dyDescent="0.55000000000000004">
      <c r="A121" s="2695"/>
      <c r="B121" s="2696"/>
      <c r="C121" s="2651"/>
      <c r="D121" s="2651"/>
      <c r="E121" s="2702" t="s">
        <v>100</v>
      </c>
      <c r="F121" s="2399" t="s">
        <v>601</v>
      </c>
      <c r="G121" s="2702" t="s">
        <v>100</v>
      </c>
      <c r="H121" s="2493" t="s">
        <v>601</v>
      </c>
      <c r="I121" s="438"/>
      <c r="L121" s="216"/>
      <c r="M121" s="1976" t="str">
        <f t="shared" ca="1" si="12"/>
        <v>Erschwerniszulage</v>
      </c>
      <c r="N121" s="1338">
        <f t="shared" ca="1" si="13"/>
        <v>121</v>
      </c>
      <c r="O121" s="1976" t="str">
        <f ca="1">IF(Stammdaten!A72=0,"",Stammdaten!A72)</f>
        <v>Erschwerniszulage</v>
      </c>
      <c r="P121" s="1338">
        <f t="shared" ca="1" si="14"/>
        <v>121</v>
      </c>
    </row>
    <row r="122" spans="1:17" ht="16.149999999999999" thickBot="1" x14ac:dyDescent="0.55000000000000004">
      <c r="A122" s="2673" t="s">
        <v>316</v>
      </c>
      <c r="B122" s="2674"/>
      <c r="C122" s="2436"/>
      <c r="D122" s="2436"/>
      <c r="E122" s="2703"/>
      <c r="F122" s="2401"/>
      <c r="G122" s="2703"/>
      <c r="H122" s="2495"/>
      <c r="I122" s="438"/>
      <c r="L122" s="216"/>
      <c r="M122" s="1976" t="str">
        <f t="shared" ca="1" si="12"/>
        <v>Gefahrenzulage</v>
      </c>
      <c r="N122" s="1338">
        <f t="shared" ca="1" si="13"/>
        <v>122</v>
      </c>
      <c r="O122" s="1976" t="str">
        <f ca="1">IF(Stammdaten!A73=0,"",Stammdaten!A73)</f>
        <v>Gefahrenzulage</v>
      </c>
      <c r="P122" s="1338">
        <f t="shared" ca="1" si="14"/>
        <v>122</v>
      </c>
    </row>
    <row r="123" spans="1:17" ht="28.5" customHeight="1" thickTop="1" thickBot="1" x14ac:dyDescent="0.55000000000000004">
      <c r="A123" s="2374" t="s">
        <v>1123</v>
      </c>
      <c r="B123" s="2375"/>
      <c r="C123" s="329">
        <v>0.25</v>
      </c>
      <c r="D123" s="329">
        <v>1</v>
      </c>
      <c r="E123" s="136">
        <f ca="1">IF(L$27="",IF(ISBLANK(A123),"",IFERROR(VLOOKUP(A123,Stammdaten!$A$70:$C$96,3,FALSE),KALKULATION!$M$283)),"ungültig")</f>
        <v>0</v>
      </c>
      <c r="F123" s="137">
        <f t="shared" ref="F123:F129" ca="1" si="15">IFERROR(C123*D123*E123,"")</f>
        <v>0</v>
      </c>
      <c r="G123" s="138">
        <f ca="1">IFERROR(VLOOKUP(A123,Stammdaten!$A$70:$C$96,2,FALSE),"")</f>
        <v>0.1</v>
      </c>
      <c r="H123" s="934">
        <f t="shared" ref="H123:H129" ca="1" si="16">IFERROR(C123*D123*G123,"")</f>
        <v>2.5000000000000001E-2</v>
      </c>
      <c r="I123" s="438"/>
      <c r="J123" s="1325" t="str">
        <f t="shared" ref="J123:J128" ca="1" si="17">IF(C123&lt;&gt;0,"Info (A): Betrifft "&amp;TEXT(C123*E$61,"0,0")&amp;" von "&amp;TEXT(E$61,"0,0")&amp;" prod. Personen.","")</f>
        <v>Info (A): Betrifft 1,0 von 3,9 prod. Personen.</v>
      </c>
      <c r="K123" s="2306" t="str">
        <f ca="1">IF(OR(COUNTA(A123,C123,D123)=3,COUNTA(A123,C123,D123)=0),IF(E123=KALKULATION!$M$283,"Auswahl erneut vornehmen (ungültiger Verweis)!",IF(AND(A123&lt;&gt;"",SUM(F123,H123)=0),"Wert in Spalte A oder B ist (nahe) 0; kein Ergebnis!","")),"Eingabe unvollständig (ergänzen oder löschen)!")</f>
        <v/>
      </c>
      <c r="L123" s="2307"/>
      <c r="M123" s="1976" t="str">
        <f t="shared" ca="1" si="12"/>
        <v/>
      </c>
      <c r="N123" s="1338" t="str">
        <f t="shared" ca="1" si="13"/>
        <v/>
      </c>
      <c r="O123" s="1976" t="str">
        <f ca="1">IF(Stammdaten!A74=0,"",Stammdaten!A74)</f>
        <v/>
      </c>
      <c r="P123" s="1338" t="str">
        <f t="shared" ca="1" si="14"/>
        <v/>
      </c>
    </row>
    <row r="124" spans="1:17" ht="28.5" customHeight="1" thickBot="1" x14ac:dyDescent="0.55000000000000004">
      <c r="A124" s="2459" t="s">
        <v>1134</v>
      </c>
      <c r="B124" s="2460"/>
      <c r="C124" s="330">
        <v>0.25</v>
      </c>
      <c r="D124" s="330">
        <v>7.0000000000000007E-2</v>
      </c>
      <c r="E124" s="136">
        <f ca="1">IF(L$27="",IF(ISBLANK(A124),"",IFERROR(VLOOKUP(A124,Stammdaten!$A$70:$C$96,3,FALSE),KALKULATION!$M$283)),"ungültig")</f>
        <v>0.73</v>
      </c>
      <c r="F124" s="55">
        <f t="shared" ca="1" si="15"/>
        <v>1.2999999999999999E-2</v>
      </c>
      <c r="G124" s="138">
        <f ca="1">IFERROR(VLOOKUP(A124,Stammdaten!$A$70:$C$96,2,FALSE),"")</f>
        <v>0</v>
      </c>
      <c r="H124" s="935">
        <f t="shared" ca="1" si="16"/>
        <v>0</v>
      </c>
      <c r="I124" s="438"/>
      <c r="J124" s="1326" t="str">
        <f t="shared" ca="1" si="17"/>
        <v>Info (A): Betrifft 1,0 von 3,9 prod. Personen.</v>
      </c>
      <c r="K124" s="2306" t="str">
        <f ca="1">IF(OR(COUNTA(A124,C124,D124)=3,COUNTA(A124,C124,D124)=0),IF(E124=KALKULATION!$M$283,"Auswahl erneut vornehmen (ungültiger Verweis)!",IF(AND(A124&lt;&gt;"",SUM(F124,H124)=0),"Wert in Spalte A oder B ist (nahe) 0; kein Ergebnis!","")),"Eingabe unvollständig (ergänzen oder löschen)!")</f>
        <v/>
      </c>
      <c r="L124" s="2307"/>
      <c r="M124" s="1976" t="str">
        <f t="shared" ca="1" si="12"/>
        <v/>
      </c>
      <c r="N124" s="1338" t="str">
        <f t="shared" ca="1" si="13"/>
        <v/>
      </c>
      <c r="O124" s="1976" t="str">
        <f ca="1">IF(Stammdaten!A75=0,"",Stammdaten!A75)</f>
        <v/>
      </c>
      <c r="P124" s="1338" t="str">
        <f t="shared" ca="1" si="14"/>
        <v/>
      </c>
    </row>
    <row r="125" spans="1:17" ht="28.5" customHeight="1" thickBot="1" x14ac:dyDescent="0.55000000000000004">
      <c r="A125" s="2459"/>
      <c r="B125" s="2460"/>
      <c r="C125" s="330"/>
      <c r="D125" s="330"/>
      <c r="E125" s="136" t="str">
        <f ca="1">IF(L$27="",IF(ISBLANK(A125),"",IFERROR(VLOOKUP(A125,Stammdaten!$A$70:$C$96,3,FALSE),KALKULATION!$M$283)),"ungültig")</f>
        <v/>
      </c>
      <c r="F125" s="55" t="str">
        <f t="shared" ca="1" si="15"/>
        <v/>
      </c>
      <c r="G125" s="138">
        <f ca="1">IFERROR(VLOOKUP(A125,Stammdaten!$A$70:$C$96,2,FALSE),"")</f>
        <v>0</v>
      </c>
      <c r="H125" s="935">
        <f t="shared" ca="1" si="16"/>
        <v>0</v>
      </c>
      <c r="I125" s="438"/>
      <c r="J125" s="1326" t="str">
        <f t="shared" si="17"/>
        <v/>
      </c>
      <c r="K125" s="2306" t="str">
        <f ca="1">IF(OR(COUNTA(A125,C125,D125)=3,COUNTA(A125,C125,D125)=0),IF(E125=KALKULATION!$M$283,"Auswahl erneut vornehmen (ungültiger Verweis)!",IF(AND(A125&lt;&gt;"",SUM(F125,H125)=0),"Wert in Spalte A oder B ist (nahe) 0; kein Ergebnis!","")),"Eingabe unvollständig (ergänzen oder löschen)!")</f>
        <v/>
      </c>
      <c r="L125" s="2307"/>
      <c r="M125" s="1976" t="str">
        <f t="shared" ca="1" si="12"/>
        <v/>
      </c>
      <c r="N125" s="1338" t="str">
        <f t="shared" ca="1" si="13"/>
        <v/>
      </c>
      <c r="O125" s="1976" t="str">
        <f ca="1">IF(Stammdaten!A76=0,"",Stammdaten!A76)</f>
        <v/>
      </c>
      <c r="P125" s="1338" t="str">
        <f t="shared" ca="1" si="14"/>
        <v/>
      </c>
    </row>
    <row r="126" spans="1:17" ht="28.5" customHeight="1" thickBot="1" x14ac:dyDescent="0.55000000000000004">
      <c r="A126" s="2459"/>
      <c r="B126" s="2460"/>
      <c r="C126" s="330"/>
      <c r="D126" s="330"/>
      <c r="E126" s="136" t="str">
        <f ca="1">IF(L$27="",IF(ISBLANK(A126),"",IFERROR(VLOOKUP(A126,Stammdaten!$A$70:$C$96,3,FALSE),KALKULATION!$M$283)),"ungültig")</f>
        <v/>
      </c>
      <c r="F126" s="55" t="str">
        <f t="shared" ca="1" si="15"/>
        <v/>
      </c>
      <c r="G126" s="138">
        <f ca="1">IFERROR(VLOOKUP(A126,Stammdaten!$A$70:$C$96,2,FALSE),"")</f>
        <v>0</v>
      </c>
      <c r="H126" s="935">
        <f t="shared" ca="1" si="16"/>
        <v>0</v>
      </c>
      <c r="I126" s="438"/>
      <c r="J126" s="1326" t="str">
        <f t="shared" si="17"/>
        <v/>
      </c>
      <c r="K126" s="2306" t="str">
        <f ca="1">IF(OR(COUNTA(A126,C126,D126)=3,COUNTA(A126,C126,D126)=0),IF(E126=KALKULATION!$M$283,"Auswahl erneut vornehmen (ungültiger Verweis)!",IF(AND(A126&lt;&gt;"",SUM(F126,H126)=0),"Wert in Spalte A oder B ist (nahe) 0; kein Ergebnis!","")),"Eingabe unvollständig (ergänzen oder löschen)!")</f>
        <v/>
      </c>
      <c r="L126" s="2307"/>
      <c r="M126" s="1976" t="str">
        <f t="shared" ca="1" si="12"/>
        <v/>
      </c>
      <c r="N126" s="1338" t="str">
        <f t="shared" ca="1" si="13"/>
        <v/>
      </c>
      <c r="O126" s="1976" t="str">
        <f ca="1">IF(Stammdaten!A77=0,"",Stammdaten!A77)</f>
        <v/>
      </c>
      <c r="P126" s="1338" t="str">
        <f t="shared" ca="1" si="14"/>
        <v/>
      </c>
    </row>
    <row r="127" spans="1:17" ht="28.5" customHeight="1" thickBot="1" x14ac:dyDescent="0.55000000000000004">
      <c r="A127" s="2459"/>
      <c r="B127" s="2460"/>
      <c r="C127" s="330"/>
      <c r="D127" s="330"/>
      <c r="E127" s="136" t="str">
        <f ca="1">IF(L$27="",IF(ISBLANK(A127),"",IFERROR(VLOOKUP(A127,Stammdaten!$A$70:$C$96,3,FALSE),KALKULATION!$M$283)),"ungültig")</f>
        <v/>
      </c>
      <c r="F127" s="55" t="str">
        <f t="shared" ca="1" si="15"/>
        <v/>
      </c>
      <c r="G127" s="138">
        <f ca="1">IFERROR(VLOOKUP(A127,Stammdaten!$A$70:$C$96,2,FALSE),"")</f>
        <v>0</v>
      </c>
      <c r="H127" s="935">
        <f t="shared" ca="1" si="16"/>
        <v>0</v>
      </c>
      <c r="I127" s="438"/>
      <c r="J127" s="1326" t="str">
        <f t="shared" si="17"/>
        <v/>
      </c>
      <c r="K127" s="2306" t="str">
        <f ca="1">IF(OR(COUNTA(A127,C127,D127)=3,COUNTA(A127,C127,D127)=0),IF(E127=KALKULATION!$M$283,"Auswahl erneut vornehmen (ungültiger Verweis)!",IF(AND(A127&lt;&gt;"",SUM(F127,H127)=0),"Wert in Spalte A oder B ist (nahe) 0; kein Ergebnis!","")),"Eingabe unvollständig (ergänzen oder löschen)!")</f>
        <v/>
      </c>
      <c r="L127" s="2307"/>
      <c r="M127" s="1976" t="str">
        <f t="shared" ca="1" si="12"/>
        <v/>
      </c>
      <c r="N127" s="1338" t="str">
        <f t="shared" ca="1" si="13"/>
        <v/>
      </c>
      <c r="O127" s="1976" t="str">
        <f ca="1">IF(Stammdaten!A78=0,"",Stammdaten!A78)</f>
        <v/>
      </c>
      <c r="P127" s="1338" t="str">
        <f t="shared" ca="1" si="14"/>
        <v/>
      </c>
    </row>
    <row r="128" spans="1:17" ht="28.5" customHeight="1" thickBot="1" x14ac:dyDescent="0.55000000000000004">
      <c r="A128" s="2459"/>
      <c r="B128" s="2460"/>
      <c r="C128" s="330"/>
      <c r="D128" s="330"/>
      <c r="E128" s="136" t="str">
        <f ca="1">IF(L$27="",IF(ISBLANK(A128),"",IFERROR(VLOOKUP(A128,Stammdaten!$A$70:$C$96,3,FALSE),KALKULATION!$M$283)),"ungültig")</f>
        <v/>
      </c>
      <c r="F128" s="55" t="str">
        <f t="shared" ca="1" si="15"/>
        <v/>
      </c>
      <c r="G128" s="138">
        <f ca="1">IFERROR(VLOOKUP(A128,Stammdaten!$A$70:$C$96,2,FALSE),"")</f>
        <v>0</v>
      </c>
      <c r="H128" s="935">
        <f t="shared" ca="1" si="16"/>
        <v>0</v>
      </c>
      <c r="I128" s="438"/>
      <c r="J128" s="1326" t="str">
        <f t="shared" si="17"/>
        <v/>
      </c>
      <c r="K128" s="2306" t="str">
        <f ca="1">IF(OR(COUNTA(A128,C128,D128)=3,COUNTA(A128,C128,D128)=0),IF(E128=KALKULATION!$M$283,"Auswahl erneut vornehmen (ungültiger Verweis)!",IF(AND(A128&lt;&gt;"",SUM(F128,H128)=0),"Wert in Spalte A oder B ist (nahe) 0; kein Ergebnis!","")),"Eingabe unvollständig (ergänzen oder löschen)!")</f>
        <v/>
      </c>
      <c r="L128" s="2307"/>
      <c r="M128" s="1976" t="str">
        <f t="shared" ca="1" si="12"/>
        <v/>
      </c>
      <c r="N128" s="1338" t="str">
        <f t="shared" ca="1" si="13"/>
        <v/>
      </c>
      <c r="O128" s="1976" t="str">
        <f ca="1">IF(Stammdaten!A79=0,"",Stammdaten!A79)</f>
        <v/>
      </c>
      <c r="P128" s="1338" t="str">
        <f t="shared" ca="1" si="14"/>
        <v/>
      </c>
    </row>
    <row r="129" spans="1:16" ht="28.5" customHeight="1" thickBot="1" x14ac:dyDescent="0.55000000000000004">
      <c r="A129" s="2803"/>
      <c r="B129" s="2804"/>
      <c r="C129" s="331"/>
      <c r="D129" s="331"/>
      <c r="E129" s="136" t="str">
        <f ca="1">IF(L$27="",IF(ISBLANK(A129),"",IFERROR(VLOOKUP(A129,Stammdaten!$A$70:$C$96,3,FALSE),KALKULATION!$M$283)),"ungültig")</f>
        <v/>
      </c>
      <c r="F129" s="214" t="str">
        <f t="shared" ca="1" si="15"/>
        <v/>
      </c>
      <c r="G129" s="215">
        <f ca="1">IFERROR(VLOOKUP(A129,Stammdaten!$A$70:$C$96,2,FALSE),"")</f>
        <v>0</v>
      </c>
      <c r="H129" s="936">
        <f t="shared" ca="1" si="16"/>
        <v>0</v>
      </c>
      <c r="I129" s="438"/>
      <c r="J129" s="1326" t="str">
        <f>IF(C129&lt;&gt;0,"Info (A): Betrifftt "&amp;TEXT(C129*E$61,"0,0")&amp;" von "&amp;TEXT(E$61,"0,0")&amp;" prod. Personen.","")</f>
        <v/>
      </c>
      <c r="K129" s="2306" t="str">
        <f ca="1">IF(OR(COUNTA(A129,C129,D129)=3,COUNTA(A129,C129,D129)=0),IF(E129=KALKULATION!$M$283,"Auswahl erneut vornehmen (ungültiger Verweis)!",IF(AND(A129&lt;&gt;"",SUM(F129,H129)=0),"Wert in Spalte A oder B ist (nahe) 0; kein Ergebnis!","")),"Eingabe unvollständig (ergänzen oder löschen)!")</f>
        <v/>
      </c>
      <c r="L129" s="2307"/>
      <c r="M129" s="1976" t="str">
        <f t="shared" ca="1" si="12"/>
        <v/>
      </c>
      <c r="N129" s="1338" t="str">
        <f t="shared" ca="1" si="13"/>
        <v/>
      </c>
      <c r="O129" s="1976" t="str">
        <f ca="1">IF(Stammdaten!A80=0,"",Stammdaten!A80)</f>
        <v/>
      </c>
      <c r="P129" s="1338" t="str">
        <f t="shared" ca="1" si="14"/>
        <v/>
      </c>
    </row>
    <row r="130" spans="1:16" ht="17.850000000000001" customHeight="1" thickBot="1" x14ac:dyDescent="0.55000000000000004">
      <c r="A130" s="2665" t="s">
        <v>915</v>
      </c>
      <c r="B130" s="2666"/>
      <c r="C130" s="2666"/>
      <c r="D130" s="2667"/>
      <c r="E130" s="344"/>
      <c r="F130" s="214">
        <f ca="1">SUM(F123:F129)</f>
        <v>1.2999999999999999E-2</v>
      </c>
      <c r="G130" s="344"/>
      <c r="H130" s="937">
        <f ca="1">SUM(H123:H129)</f>
        <v>2.5000000000000001E-2</v>
      </c>
      <c r="I130" s="438"/>
      <c r="J130" s="267"/>
      <c r="L130" s="216"/>
      <c r="M130" s="1976" t="str">
        <f t="shared" ca="1" si="12"/>
        <v/>
      </c>
      <c r="N130" s="1338" t="str">
        <f t="shared" ca="1" si="13"/>
        <v/>
      </c>
      <c r="O130" s="1976" t="str">
        <f ca="1">IF(Stammdaten!A81=0,"",Stammdaten!A81)</f>
        <v/>
      </c>
      <c r="P130" s="1338" t="str">
        <f t="shared" ca="1" si="14"/>
        <v/>
      </c>
    </row>
    <row r="131" spans="1:16" ht="17.850000000000001" customHeight="1" thickBot="1" x14ac:dyDescent="0.55000000000000004">
      <c r="A131" s="2377" t="s">
        <v>972</v>
      </c>
      <c r="B131" s="2378"/>
      <c r="C131" s="2378"/>
      <c r="D131" s="2861"/>
      <c r="E131" s="2862"/>
      <c r="F131" s="557" t="s">
        <v>810</v>
      </c>
      <c r="G131" s="866">
        <f ca="1">IFERROR(IF(F131=_KV_AKV_Entg.,G$80,1),"")</f>
        <v>1.151</v>
      </c>
      <c r="H131" s="934">
        <f ca="1">IFERROR(G131*H130,"")</f>
        <v>2.878E-2</v>
      </c>
      <c r="I131" s="575"/>
      <c r="J131" s="2334" t="str">
        <f>IF(ISBLANK(F131),"Auswahl vornehmen!","")</f>
        <v/>
      </c>
      <c r="K131" s="2334"/>
      <c r="L131" s="216"/>
      <c r="M131" s="1976" t="str">
        <f t="shared" ca="1" si="12"/>
        <v/>
      </c>
      <c r="N131" s="1338" t="str">
        <f t="shared" ca="1" si="13"/>
        <v/>
      </c>
      <c r="O131" s="1976" t="str">
        <f ca="1">IF(Stammdaten!A82=0,"",Stammdaten!A82)</f>
        <v/>
      </c>
      <c r="P131" s="1338" t="str">
        <f t="shared" ca="1" si="14"/>
        <v/>
      </c>
    </row>
    <row r="132" spans="1:16" ht="17.850000000000001" customHeight="1" thickBot="1" x14ac:dyDescent="0.55000000000000004">
      <c r="A132" s="70"/>
      <c r="B132" s="71"/>
      <c r="C132" s="71"/>
      <c r="D132" s="2817" t="s">
        <v>132</v>
      </c>
      <c r="E132" s="2818"/>
      <c r="F132" s="198">
        <f ca="1">SUM(F123:F129)</f>
        <v>1.2999999999999999E-2</v>
      </c>
      <c r="G132" s="2678"/>
      <c r="H132" s="2385">
        <f ca="1">IFERROR(F132/F133,"")</f>
        <v>7.3999999999999999E-4</v>
      </c>
      <c r="I132" s="438"/>
      <c r="L132" s="216"/>
      <c r="M132" s="1976" t="str">
        <f t="shared" ca="1" si="12"/>
        <v/>
      </c>
      <c r="N132" s="1338" t="str">
        <f t="shared" ca="1" si="13"/>
        <v/>
      </c>
      <c r="O132" s="1976" t="str">
        <f ca="1">IF(Stammdaten!A83=0,"",Stammdaten!A83)</f>
        <v/>
      </c>
      <c r="P132" s="1338" t="str">
        <f t="shared" ca="1" si="14"/>
        <v/>
      </c>
    </row>
    <row r="133" spans="1:16" ht="17.850000000000001" customHeight="1" thickBot="1" x14ac:dyDescent="0.55000000000000004">
      <c r="A133" s="68"/>
      <c r="B133" s="69"/>
      <c r="C133" s="69"/>
      <c r="D133" s="2377" t="s">
        <v>120</v>
      </c>
      <c r="E133" s="2378"/>
      <c r="F133" s="197">
        <f ca="1">G45</f>
        <v>17.649999999999999</v>
      </c>
      <c r="G133" s="2679"/>
      <c r="H133" s="2386"/>
      <c r="I133" s="438"/>
      <c r="L133" s="216"/>
      <c r="M133" s="1976" t="str">
        <f t="shared" ca="1" si="12"/>
        <v/>
      </c>
      <c r="N133" s="1338" t="str">
        <f t="shared" ca="1" si="13"/>
        <v/>
      </c>
      <c r="O133" s="1976" t="str">
        <f ca="1">IF(Stammdaten!A84=0,"",Stammdaten!A84)</f>
        <v/>
      </c>
      <c r="P133" s="1338" t="str">
        <f t="shared" ca="1" si="14"/>
        <v/>
      </c>
    </row>
    <row r="134" spans="1:16" ht="17.850000000000001" customHeight="1" thickBot="1" x14ac:dyDescent="0.55000000000000004">
      <c r="A134" s="2849" t="s">
        <v>753</v>
      </c>
      <c r="B134" s="2850"/>
      <c r="C134" s="2850"/>
      <c r="D134" s="2850"/>
      <c r="E134" s="2850"/>
      <c r="F134" s="2666" t="str">
        <f ca="1">IF(H138=0,"","(inkl "&amp;TEXT(H138,"0,00%")&amp;" aus D1.b1)")</f>
        <v/>
      </c>
      <c r="G134" s="2666"/>
      <c r="H134" s="1033">
        <f ca="1">IF(_OK?="OK!",SUM(H131:H133,H138),ROUND(SUM(H131:H133,H138,0.01),2))</f>
        <v>2.9520000000000001E-2</v>
      </c>
      <c r="I134" s="438"/>
      <c r="J134" s="271" t="str">
        <f ca="1">IF(_OK?&lt;&gt;"OK!","Wegen fehlender Lizenz aufgerundet!","")</f>
        <v/>
      </c>
      <c r="L134" s="216"/>
      <c r="M134" s="1976" t="str">
        <f t="shared" ca="1" si="12"/>
        <v/>
      </c>
      <c r="N134" s="1338" t="str">
        <f t="shared" ca="1" si="13"/>
        <v/>
      </c>
      <c r="O134" s="1976" t="str">
        <f ca="1">IF(Stammdaten!A85=0,"",Stammdaten!A85)</f>
        <v/>
      </c>
      <c r="P134" s="1338" t="str">
        <f t="shared" ca="1" si="14"/>
        <v/>
      </c>
    </row>
    <row r="135" spans="1:16" ht="17.850000000000001" customHeight="1" thickBot="1" x14ac:dyDescent="0.55000000000000004">
      <c r="A135" s="439" t="s">
        <v>916</v>
      </c>
      <c r="B135" s="323"/>
      <c r="C135" s="322"/>
      <c r="D135" s="322"/>
      <c r="E135" s="322"/>
      <c r="F135" s="322"/>
      <c r="G135" s="322"/>
      <c r="H135" s="642"/>
      <c r="I135" s="438"/>
      <c r="K135" s="2353" t="str">
        <f ca="1">IF(AND(H130=0,F137&lt;&gt;0),"Hinweis zu D1.b: Da in D1.a keine Zulage in % gewählt ist, bitte prüfen, ob die Einstellung für die Basis mit ["&amp;F131&amp;"] in D1.a1 korrekt ist. Sie wird für D1.b übernommen.","")</f>
        <v/>
      </c>
      <c r="L135" s="2354"/>
      <c r="M135" s="1976" t="str">
        <f t="shared" ca="1" si="12"/>
        <v/>
      </c>
      <c r="N135" s="1338" t="str">
        <f t="shared" ca="1" si="13"/>
        <v/>
      </c>
      <c r="O135" s="1976" t="str">
        <f ca="1">IF(Stammdaten!A86=0,"",Stammdaten!A86)</f>
        <v/>
      </c>
      <c r="P135" s="1338" t="str">
        <f t="shared" ca="1" si="14"/>
        <v/>
      </c>
    </row>
    <row r="136" spans="1:16" ht="17.850000000000001" customHeight="1" thickBot="1" x14ac:dyDescent="0.55000000000000004">
      <c r="A136" s="2819" t="s">
        <v>316</v>
      </c>
      <c r="B136" s="2820"/>
      <c r="C136" s="343" t="s">
        <v>6</v>
      </c>
      <c r="D136" s="343" t="s">
        <v>7</v>
      </c>
      <c r="E136" s="939" t="s">
        <v>910</v>
      </c>
      <c r="F136" s="939" t="s">
        <v>911</v>
      </c>
      <c r="G136" s="2869" t="s">
        <v>912</v>
      </c>
      <c r="H136" s="2870"/>
      <c r="I136" s="438"/>
      <c r="K136" s="2353"/>
      <c r="L136" s="2354"/>
      <c r="M136" s="1976" t="str">
        <f t="shared" ca="1" si="12"/>
        <v/>
      </c>
      <c r="N136" s="1338" t="str">
        <f t="shared" ca="1" si="13"/>
        <v/>
      </c>
      <c r="O136" s="1976" t="str">
        <f ca="1">IF(Stammdaten!A87=0,"",Stammdaten!A87)</f>
        <v/>
      </c>
      <c r="P136" s="1338" t="str">
        <f t="shared" ca="1" si="14"/>
        <v/>
      </c>
    </row>
    <row r="137" spans="1:16" ht="28.5" customHeight="1" thickTop="1" thickBot="1" x14ac:dyDescent="0.55000000000000004">
      <c r="A137" s="2389"/>
      <c r="B137" s="2390"/>
      <c r="C137" s="1120"/>
      <c r="D137" s="1120"/>
      <c r="E137" s="1121" t="str">
        <f>IF(A137="","",IF(L$27="",IFERROR(VLOOKUP(A137,Stammdaten!$A$70:$C$96,3,FALSE),M283),"ungültig"))</f>
        <v/>
      </c>
      <c r="F137" s="1122">
        <f ca="1">IFERROR(VLOOKUP(A137,Stammdaten!$A$70:$C$96,2,FALSE),"")</f>
        <v>0</v>
      </c>
      <c r="G137" s="1121">
        <f ca="1">(C137*D137*IFERROR(SUM(E137,F137*F133*G131),0))</f>
        <v>0</v>
      </c>
      <c r="H137" s="1123">
        <f ca="1">(C137*D137*IFERROR(SUM(E137/F133,F137*G131),0))</f>
        <v>0</v>
      </c>
      <c r="I137" s="438"/>
      <c r="J137" s="1202" t="str">
        <f>IF(C137&lt;&gt;0,"Info (A): Betrifft "&amp;TEXT(C137*E$61,"0,0")&amp;" von "&amp;TEXT(E$61,"0,0")&amp;" prod. Personen.","")</f>
        <v/>
      </c>
      <c r="K137" s="2353"/>
      <c r="L137" s="2354"/>
      <c r="M137" s="1976" t="str">
        <f t="shared" ca="1" si="12"/>
        <v/>
      </c>
      <c r="N137" s="1338" t="str">
        <f t="shared" ca="1" si="13"/>
        <v/>
      </c>
      <c r="O137" s="1976" t="str">
        <f ca="1">IF(Stammdaten!A88=0,"",Stammdaten!A88)</f>
        <v/>
      </c>
      <c r="P137" s="1338" t="str">
        <f t="shared" ca="1" si="14"/>
        <v/>
      </c>
    </row>
    <row r="138" spans="1:16" ht="17.75" customHeight="1" thickBot="1" x14ac:dyDescent="0.55000000000000004">
      <c r="A138" s="390" t="s">
        <v>959</v>
      </c>
      <c r="B138" s="998"/>
      <c r="C138" s="998"/>
      <c r="D138" s="67"/>
      <c r="E138" s="862" t="s">
        <v>913</v>
      </c>
      <c r="F138" s="337">
        <v>0.3</v>
      </c>
      <c r="G138" s="67" t="s">
        <v>914</v>
      </c>
      <c r="H138" s="1124">
        <f ca="1">IFERROR(F138*H137,"")</f>
        <v>0</v>
      </c>
      <c r="I138" s="438"/>
      <c r="J138" s="2306" t="str">
        <f ca="1">IF(OR(COUNTA(A137,C137,D137)=3,COUNTA(A137,C137,D137)=0),IF(E137=KALKULATION!$M$283,"Auswahl oben erneut vornehmen (ungültiger Verweis)!",IF(AND(A137&lt;&gt;"",SUM(H137)=0),"Wert in Spalte A oder B ist (nahe) 0; kein Ergebnis!","")),"Eingabe oben unvollständig (ergänzen oder löschen)!")</f>
        <v/>
      </c>
      <c r="K138" s="2306"/>
      <c r="L138" s="2307"/>
      <c r="M138" s="1976" t="str">
        <f t="shared" ca="1" si="12"/>
        <v/>
      </c>
      <c r="N138" s="1338" t="str">
        <f t="shared" ca="1" si="13"/>
        <v/>
      </c>
      <c r="O138" s="1976" t="str">
        <f ca="1">IF(Stammdaten!A89=0,"",Stammdaten!A89)</f>
        <v/>
      </c>
      <c r="P138" s="1338" t="str">
        <f t="shared" ca="1" si="14"/>
        <v/>
      </c>
    </row>
    <row r="139" spans="1:16" ht="17.850000000000001" customHeight="1" thickBot="1" x14ac:dyDescent="0.55000000000000004">
      <c r="A139" s="1304" t="s">
        <v>1067</v>
      </c>
      <c r="B139" s="1305"/>
      <c r="C139" s="1305"/>
      <c r="D139" s="1305"/>
      <c r="E139" s="1305"/>
      <c r="F139" s="1327"/>
      <c r="G139" s="1125">
        <f ca="1">IFERROR(G137*(1-F138),"")</f>
        <v>0</v>
      </c>
      <c r="I139" s="438"/>
      <c r="L139" s="216"/>
      <c r="M139" s="1976" t="str">
        <f t="shared" ca="1" si="12"/>
        <v/>
      </c>
      <c r="N139" s="1338" t="str">
        <f t="shared" ca="1" si="13"/>
        <v/>
      </c>
      <c r="O139" s="1976" t="str">
        <f ca="1">IF(Stammdaten!A90=0,"",Stammdaten!A90)</f>
        <v/>
      </c>
      <c r="P139" s="1338" t="str">
        <f t="shared" ca="1" si="14"/>
        <v/>
      </c>
    </row>
    <row r="140" spans="1:16" ht="17.850000000000001" customHeight="1" thickBot="1" x14ac:dyDescent="0.55000000000000004">
      <c r="A140" s="2859"/>
      <c r="B140" s="2860"/>
      <c r="C140" s="2860"/>
      <c r="D140" s="2860"/>
      <c r="E140" s="2860"/>
      <c r="F140" s="2860"/>
      <c r="G140" s="2860"/>
      <c r="H140" s="2860"/>
      <c r="I140" s="438"/>
      <c r="J140" s="2839" t="str">
        <f ca="1">IF(AND(H142="",SUM(E55)&gt;0),"Auswahl für die Kalkulation der Zulagen treffen!","")</f>
        <v/>
      </c>
      <c r="K140" s="2839"/>
      <c r="L140" s="2840"/>
      <c r="M140" s="1976" t="str">
        <f t="shared" ca="1" si="12"/>
        <v/>
      </c>
      <c r="N140" s="1338" t="str">
        <f t="shared" ca="1" si="13"/>
        <v/>
      </c>
      <c r="O140" s="1976" t="str">
        <f ca="1">IF(Stammdaten!A91=0,"",Stammdaten!A91)</f>
        <v/>
      </c>
      <c r="P140" s="1338" t="str">
        <f t="shared" ca="1" si="14"/>
        <v/>
      </c>
    </row>
    <row r="141" spans="1:16" ht="20" customHeight="1" thickBot="1" x14ac:dyDescent="0.55000000000000004">
      <c r="A141" s="2826" t="s">
        <v>496</v>
      </c>
      <c r="B141" s="2827"/>
      <c r="C141" s="2827"/>
      <c r="D141" s="2827"/>
      <c r="E141" s="2692" t="str">
        <f ca="1">(IF(SUM($E$55)=0,"Info: In B2.a kein unproduktives Personal angesetzt.",""))</f>
        <v/>
      </c>
      <c r="F141" s="2692"/>
      <c r="G141" s="2692"/>
      <c r="H141" s="2692"/>
      <c r="I141" s="2692"/>
      <c r="J141" s="2839"/>
      <c r="K141" s="2839"/>
      <c r="L141" s="2840"/>
      <c r="M141" s="1976" t="str">
        <f t="shared" ca="1" si="12"/>
        <v/>
      </c>
      <c r="N141" s="1338" t="str">
        <f t="shared" ca="1" si="13"/>
        <v/>
      </c>
      <c r="O141" s="1976" t="str">
        <f ca="1">IF(Stammdaten!A92=0,"",Stammdaten!A92)</f>
        <v/>
      </c>
      <c r="P141" s="1338" t="str">
        <f t="shared" ca="1" si="14"/>
        <v/>
      </c>
    </row>
    <row r="142" spans="1:16" ht="17.649999999999999" customHeight="1" thickBot="1" x14ac:dyDescent="0.55000000000000004">
      <c r="A142" s="2675" t="s">
        <v>603</v>
      </c>
      <c r="B142" s="2676"/>
      <c r="C142" s="2676"/>
      <c r="D142" s="2676"/>
      <c r="E142" s="2686"/>
      <c r="F142" s="2686"/>
      <c r="G142" s="2884"/>
      <c r="H142" s="1211" t="s">
        <v>329</v>
      </c>
      <c r="I142" s="438"/>
      <c r="J142" s="2329" t="str">
        <f ca="1">IF(E55&lt;&gt;0,IF(AND(H142&lt;&gt;M149,H56=0),"Hinweis zu D2.a: Es ist in B2.a unproduktives Personal aus dem Kreis des Personals gem B1 ausgewählt. Übernahme des Wertes wie für produktives Pers. (siehe D1) wird daher empfohlen (Wahl von 'PROD'). "&amp;" Eigene Kalkulation ('NDIV') oder Ansatz von 0% ('KEINE') nur bei erheblich abweichenden Zulagen wählen.",IF(AND(H142=M149,H56=1,E141=""),"Hinweis: Unproduktives Personal ist nicht dem Personal gem B1 entnommen (KZ bei B2 auf 1), daher erscheint es sinnvoller, die Zulagen des unprod. Pers. gesondert zu erfassen. Wenn Sie das wollen, INDIV wählen.",IF(AND(E55&lt;&gt;0,H142=M151),"Hinweis: Es ist prod. Pers. in B2 angesetzt. Durch die Auswahl von KEINE, erfolgt keine Hinzurechnung von Zulagen für das unproduktive Personal!",""))),"")</f>
        <v/>
      </c>
      <c r="K142" s="2329"/>
      <c r="L142" s="2330"/>
      <c r="M142" s="1976" t="str">
        <f t="shared" ca="1" si="12"/>
        <v/>
      </c>
      <c r="N142" s="1338" t="str">
        <f t="shared" ca="1" si="13"/>
        <v/>
      </c>
      <c r="O142" s="1976" t="str">
        <f ca="1">IF(Stammdaten!A93=0,"",Stammdaten!A93)</f>
        <v/>
      </c>
      <c r="P142" s="1338" t="str">
        <f t="shared" ca="1" si="14"/>
        <v/>
      </c>
    </row>
    <row r="143" spans="1:16" ht="17.350000000000001" customHeight="1" thickBot="1" x14ac:dyDescent="0.55000000000000004">
      <c r="A143" s="2830" t="str">
        <f>IF(H142="INDIV","D2.b) Zulagen für unproduktiv (dispositiv) tätiges Personal.
Zulagen wählen: ↓","D2.b) Keine individuelle Berücksichtigung der Zulagen; ggf Auswahl ändern.")</f>
        <v>D2.b) Keine individuelle Berücksichtigung der Zulagen; ggf Auswahl ändern.</v>
      </c>
      <c r="B143" s="2831"/>
      <c r="C143" s="2697" t="s">
        <v>960</v>
      </c>
      <c r="D143" s="2697" t="s">
        <v>598</v>
      </c>
      <c r="E143" s="2704" t="s">
        <v>599</v>
      </c>
      <c r="F143" s="2704"/>
      <c r="G143" s="2704" t="s">
        <v>600</v>
      </c>
      <c r="H143" s="2890"/>
      <c r="I143" s="438"/>
      <c r="J143" s="2329"/>
      <c r="K143" s="2329"/>
      <c r="L143" s="2330"/>
      <c r="M143" s="1976" t="str">
        <f t="shared" ca="1" si="12"/>
        <v/>
      </c>
      <c r="N143" s="1338" t="str">
        <f t="shared" ca="1" si="13"/>
        <v/>
      </c>
      <c r="O143" s="1976" t="str">
        <f ca="1">IF(Stammdaten!A94=0,"",Stammdaten!A94)</f>
        <v/>
      </c>
      <c r="P143" s="1338" t="str">
        <f t="shared" ca="1" si="14"/>
        <v/>
      </c>
    </row>
    <row r="144" spans="1:16" ht="18" customHeight="1" thickBot="1" x14ac:dyDescent="0.55000000000000004">
      <c r="A144" s="2832"/>
      <c r="B144" s="2833"/>
      <c r="C144" s="2697"/>
      <c r="D144" s="2697"/>
      <c r="E144" s="2885" t="s">
        <v>100</v>
      </c>
      <c r="F144" s="2368" t="s">
        <v>601</v>
      </c>
      <c r="G144" s="2885" t="s">
        <v>100</v>
      </c>
      <c r="H144" s="2851" t="s">
        <v>601</v>
      </c>
      <c r="I144" s="438"/>
      <c r="J144" s="2329"/>
      <c r="K144" s="2329"/>
      <c r="L144" s="2330"/>
      <c r="M144" s="1976" t="str">
        <f t="shared" ca="1" si="12"/>
        <v/>
      </c>
      <c r="N144" s="1338" t="str">
        <f t="shared" ca="1" si="13"/>
        <v/>
      </c>
      <c r="O144" s="1976" t="str">
        <f ca="1">IF(Stammdaten!A95=0,"",Stammdaten!A95)</f>
        <v/>
      </c>
      <c r="P144" s="1338" t="str">
        <f t="shared" ca="1" si="14"/>
        <v/>
      </c>
    </row>
    <row r="145" spans="1:16" ht="18" customHeight="1" x14ac:dyDescent="0.5">
      <c r="A145" s="2832"/>
      <c r="B145" s="2833"/>
      <c r="C145" s="2697"/>
      <c r="D145" s="2697"/>
      <c r="E145" s="2885"/>
      <c r="F145" s="2368"/>
      <c r="G145" s="2885"/>
      <c r="H145" s="2851"/>
      <c r="I145" s="438"/>
      <c r="J145" s="2329"/>
      <c r="K145" s="2329"/>
      <c r="L145" s="2330"/>
      <c r="M145" s="1976" t="str">
        <f t="shared" ca="1" si="12"/>
        <v/>
      </c>
      <c r="N145" s="1338" t="str">
        <f t="shared" ca="1" si="13"/>
        <v/>
      </c>
      <c r="O145" s="1976" t="str">
        <f>IF(Stammdaten!A96=0,"",Stammdaten!A96)</f>
        <v/>
      </c>
      <c r="P145" s="1338" t="str">
        <f t="shared" ref="P145" si="18">IF(O145="","",1*ROW())</f>
        <v/>
      </c>
    </row>
    <row r="146" spans="1:16" ht="17.75" customHeight="1" thickBot="1" x14ac:dyDescent="0.5">
      <c r="A146" s="2834"/>
      <c r="B146" s="2835"/>
      <c r="C146" s="2705"/>
      <c r="D146" s="2705"/>
      <c r="E146" s="2886"/>
      <c r="F146" s="2887"/>
      <c r="G146" s="2886"/>
      <c r="H146" s="2852"/>
      <c r="I146" s="438"/>
      <c r="J146" s="2329"/>
      <c r="K146" s="2329"/>
      <c r="L146" s="2330"/>
      <c r="M146" s="1338" t="s">
        <v>566</v>
      </c>
      <c r="N146" s="1338">
        <f ca="1">MIN(N119:N145,ROW(O119))</f>
        <v>119</v>
      </c>
    </row>
    <row r="147" spans="1:16" ht="28.5" customHeight="1" thickTop="1" thickBot="1" x14ac:dyDescent="0.5">
      <c r="A147" s="2374"/>
      <c r="B147" s="2846"/>
      <c r="C147" s="329"/>
      <c r="D147" s="329"/>
      <c r="E147" s="213" t="str">
        <f ca="1">IF(L$27="",IF(ISBLANK(A147),"",IFERROR(VLOOKUP(A147,Stammdaten!$A$70:$C$96,3,FALSE),KALKULATION!$M$283)),"ungültig")</f>
        <v/>
      </c>
      <c r="F147" s="136" t="str">
        <f ca="1">IFERROR(C147*D147*E147,"")</f>
        <v/>
      </c>
      <c r="G147" s="138">
        <f ca="1">IFERROR(VLOOKUP(A147,Stammdaten!$A$70:$C$96,2,FALSE),"")</f>
        <v>0</v>
      </c>
      <c r="H147" s="934">
        <f ca="1">IFERROR(C147*D147*G147,"")</f>
        <v>0</v>
      </c>
      <c r="I147" s="575"/>
      <c r="J147" s="66" t="str">
        <f>IF(C147&lt;&gt;0,"Info (A): Betriff "&amp;TEXT(C147*E$55,"0,0")&amp;" von "&amp;TEXT(E$55,"0,0")&amp;" unprod. Personen.","")</f>
        <v/>
      </c>
      <c r="K147" s="2306" t="str">
        <f ca="1">IF(OR(COUNTA(A147,C147,D147)=3,COUNTA(A147,C147,D147)=0),IF(E147=KALKULATION!$M$283,"Auswahl erneut vornehmen (ungültiger Verweis)!",IF(AND(A147&lt;&gt;"",SUM(F147,H147)=0),"Wert in Spalte A oder B ist (nahe) 0; kein Ergebnis!","")),"Eingabe unvollständig (ergänzen oder löschen)!")</f>
        <v/>
      </c>
      <c r="L147" s="2307"/>
      <c r="M147" s="1338" t="s">
        <v>567</v>
      </c>
      <c r="N147" s="1338">
        <f ca="1">MAX(N119:N145,ROW(O119))</f>
        <v>122</v>
      </c>
    </row>
    <row r="148" spans="1:16" ht="28.5" customHeight="1" thickBot="1" x14ac:dyDescent="0.5">
      <c r="A148" s="2459"/>
      <c r="B148" s="2460"/>
      <c r="C148" s="330"/>
      <c r="D148" s="330"/>
      <c r="E148" s="213" t="str">
        <f ca="1">IF(L$27="",IF(ISBLANK(A148),"",IFERROR(VLOOKUP(A148,Stammdaten!$A$70:$C$96,3,FALSE),KALKULATION!$M$283)),"ungültig")</f>
        <v/>
      </c>
      <c r="F148" s="54" t="str">
        <f ca="1">IFERROR(C148*D148*E148,"")</f>
        <v/>
      </c>
      <c r="G148" s="138">
        <f ca="1">IFERROR(VLOOKUP(A148,Stammdaten!$A$70:$C$96,2,FALSE),"")</f>
        <v>0</v>
      </c>
      <c r="H148" s="935">
        <f ca="1">IFERROR(C148*D148*G148,"")</f>
        <v>0</v>
      </c>
      <c r="I148" s="575"/>
      <c r="J148" s="66" t="str">
        <f t="shared" ref="J148:J149" si="19">IF(C148&lt;&gt;0,"Info (A): Betriff "&amp;TEXT(C148*E$55,"0,0")&amp;" von "&amp;TEXT(E$55,"0,0")&amp;" unprod. Personen.","")</f>
        <v/>
      </c>
      <c r="K148" s="2306" t="str">
        <f ca="1">IF(OR(COUNTA(A148,C148,D148)=3,COUNTA(A148,C148,D148)=0),IF(E148=KALKULATION!$M$283,"Auswahl erneut vornehmen (ungültiger Verweis)!",IF(AND(A148&lt;&gt;"",SUM(F148,H148)=0),"Wert in Spalte A oder B ist (nahe) 0; kein Ergebnis!","")),"Eingabe unvollständig (ergänzen oder löschen)!")</f>
        <v/>
      </c>
      <c r="L148" s="2307"/>
      <c r="M148" s="2017" t="s">
        <v>677</v>
      </c>
    </row>
    <row r="149" spans="1:16" ht="28.5" customHeight="1" thickBot="1" x14ac:dyDescent="0.5">
      <c r="A149" s="2803"/>
      <c r="B149" s="2804"/>
      <c r="C149" s="331"/>
      <c r="D149" s="331"/>
      <c r="E149" s="213" t="str">
        <f ca="1">IF(L$27="",IF(ISBLANK(A149),"",IFERROR(VLOOKUP(A149,Stammdaten!$A$70:$C$96,3,FALSE),KALKULATION!$M$283)),"ungültig")</f>
        <v/>
      </c>
      <c r="F149" s="213" t="str">
        <f ca="1">IFERROR(C149*D149*E149,"")</f>
        <v/>
      </c>
      <c r="G149" s="215">
        <f ca="1">IFERROR(VLOOKUP(A149,Stammdaten!$A$70:$C$96,2,FALSE),"")</f>
        <v>0</v>
      </c>
      <c r="H149" s="936">
        <f ca="1">IFERROR(C149*D149*G149,"")</f>
        <v>0</v>
      </c>
      <c r="I149" s="575"/>
      <c r="J149" s="66" t="str">
        <f t="shared" si="19"/>
        <v/>
      </c>
      <c r="K149" s="2306" t="str">
        <f ca="1">IF(OR(COUNTA(A149,C149,D149)=3,COUNTA(A149,C149,D149)=0),IF(E149=KALKULATION!$M$283,"Auswahl erneut vornehmen (ungültiger Verweis)!",IF(AND(A149&lt;&gt;"",SUM(F149,H149)=0),"Wert in Spalte A oder B ist (nahe) 0; kein Ergebnis!","")),"Eingabe unvollständig (ergänzen oder löschen)!")</f>
        <v/>
      </c>
      <c r="L149" s="2307"/>
      <c r="M149" s="2018" t="s">
        <v>329</v>
      </c>
    </row>
    <row r="150" spans="1:16" ht="17.850000000000001" customHeight="1" x14ac:dyDescent="0.45">
      <c r="A150" s="2874" t="s">
        <v>84</v>
      </c>
      <c r="B150" s="2861"/>
      <c r="C150" s="2861"/>
      <c r="D150" s="2862"/>
      <c r="E150" s="1107"/>
      <c r="F150" s="1107"/>
      <c r="G150" s="1107"/>
      <c r="H150" s="938">
        <f ca="1">SUM(H146:H149)</f>
        <v>0</v>
      </c>
      <c r="I150" s="438"/>
      <c r="J150" s="267"/>
      <c r="L150" s="216"/>
      <c r="M150" s="2018" t="s">
        <v>331</v>
      </c>
    </row>
    <row r="151" spans="1:16" ht="17.850000000000001" customHeight="1" thickBot="1" x14ac:dyDescent="0.5">
      <c r="A151" s="2348" t="str">
        <f>"Basis für %-Zulagen analog D1.a1 ist ["&amp;F131&amp;"], daher Faktor in Hv"</f>
        <v>Basis für %-Zulagen analog D1.a1 ist [KV+AKV], daher Faktor in Hv</v>
      </c>
      <c r="B151" s="2349"/>
      <c r="C151" s="2349"/>
      <c r="D151" s="2349"/>
      <c r="E151" s="2349"/>
      <c r="F151" s="2349"/>
      <c r="G151" s="1009">
        <f ca="1">G131</f>
        <v>1.151</v>
      </c>
      <c r="H151" s="967">
        <f ca="1">IFERROR(G151*H150,"")</f>
        <v>0</v>
      </c>
      <c r="I151" s="575"/>
      <c r="J151" s="2334"/>
      <c r="K151" s="2334"/>
      <c r="L151" s="2873" t="str">
        <f>IF(AND(F131&lt;&gt;F151,H142="Nein"),"KZ bei B2 sollte mit KZ oben (B1) zusammenpassen!","")</f>
        <v/>
      </c>
      <c r="M151" s="2018" t="s">
        <v>330</v>
      </c>
    </row>
    <row r="152" spans="1:16" ht="17.850000000000001" customHeight="1" x14ac:dyDescent="0.45">
      <c r="A152" s="2878"/>
      <c r="B152" s="2879"/>
      <c r="C152" s="2880"/>
      <c r="D152" s="2853" t="s">
        <v>132</v>
      </c>
      <c r="E152" s="2854"/>
      <c r="F152" s="51">
        <f ca="1">SUM(F147:F149)</f>
        <v>0</v>
      </c>
      <c r="G152" s="2838"/>
      <c r="H152" s="2385">
        <f ca="1">IFERROR(F152/F153,"")</f>
        <v>0</v>
      </c>
      <c r="I152" s="438"/>
      <c r="L152" s="2873"/>
    </row>
    <row r="153" spans="1:16" ht="17.850000000000001" customHeight="1" thickBot="1" x14ac:dyDescent="0.5">
      <c r="A153" s="2881"/>
      <c r="B153" s="2882"/>
      <c r="C153" s="2883"/>
      <c r="D153" s="2605" t="s">
        <v>119</v>
      </c>
      <c r="E153" s="2606"/>
      <c r="F153" s="57">
        <f ca="1">G55</f>
        <v>19.91</v>
      </c>
      <c r="G153" s="2679"/>
      <c r="H153" s="2386"/>
      <c r="I153" s="438"/>
      <c r="L153" s="2873"/>
    </row>
    <row r="154" spans="1:16" ht="17.850000000000001" customHeight="1" x14ac:dyDescent="0.45">
      <c r="A154" s="2847" t="s">
        <v>673</v>
      </c>
      <c r="B154" s="2848"/>
      <c r="C154" s="2848"/>
      <c r="D154" s="2848"/>
      <c r="E154" s="2848"/>
      <c r="F154" s="2848"/>
      <c r="G154" s="1034" t="str">
        <f>IF(H142="Ja","(Wie B1!)","")</f>
        <v/>
      </c>
      <c r="H154" s="1033">
        <f ca="1">IFERROR(IF(H142=M149,H134,IF(H142=M150,SUM(H151:H153),0)),"?")</f>
        <v>2.9520000000000001E-2</v>
      </c>
      <c r="I154" s="438"/>
      <c r="L154" s="216"/>
    </row>
    <row r="155" spans="1:16" ht="17.850000000000001" customHeight="1" x14ac:dyDescent="0.45">
      <c r="A155" s="2320"/>
      <c r="B155" s="2321"/>
      <c r="C155" s="2321"/>
      <c r="D155" s="2321"/>
      <c r="E155" s="2321"/>
      <c r="F155" s="2321"/>
      <c r="G155" s="2321"/>
      <c r="H155" s="2321"/>
      <c r="I155" s="438"/>
      <c r="L155" s="216"/>
    </row>
    <row r="156" spans="1:16" ht="20" customHeight="1" x14ac:dyDescent="0.45">
      <c r="A156" s="2828" t="s">
        <v>841</v>
      </c>
      <c r="B156" s="2829"/>
      <c r="C156" s="2829"/>
      <c r="D156" s="2829"/>
      <c r="E156" s="2692" t="str">
        <f>(IF(G61=0,"Info: In B2.b keine sonstige unprod. Zeit angesetzt.",""))</f>
        <v>Info: In B2.b keine sonstige unprod. Zeit angesetzt.</v>
      </c>
      <c r="F156" s="2692"/>
      <c r="G156" s="2692"/>
      <c r="H156" s="2692"/>
      <c r="I156" s="2692"/>
      <c r="L156" s="216"/>
    </row>
    <row r="157" spans="1:16" ht="17.850000000000001" customHeight="1" x14ac:dyDescent="0.45">
      <c r="A157" s="2675" t="s">
        <v>1068</v>
      </c>
      <c r="B157" s="2676"/>
      <c r="C157" s="2676"/>
      <c r="D157" s="2676"/>
      <c r="E157" s="2677"/>
      <c r="F157" s="350" t="s">
        <v>192</v>
      </c>
      <c r="G157" s="324" t="s">
        <v>192</v>
      </c>
      <c r="H157" s="347" t="s">
        <v>193</v>
      </c>
      <c r="I157" s="438"/>
      <c r="J157" s="2303" t="str">
        <f>IF(AND(F61&lt;&gt;0,F157=""),"Bitte wählen (Ja/Nein)! Es sind unproduktive Zeiten in A3 angesetzt.","")</f>
        <v/>
      </c>
      <c r="K157" s="2303"/>
      <c r="L157" s="2310"/>
    </row>
    <row r="158" spans="1:16" ht="17.850000000000001" customHeight="1" x14ac:dyDescent="0.45">
      <c r="A158" s="263"/>
      <c r="B158" s="264"/>
      <c r="C158" s="264"/>
      <c r="D158" s="264"/>
      <c r="E158" s="264"/>
      <c r="F158" s="326"/>
      <c r="G158" s="348"/>
      <c r="H158" s="348"/>
      <c r="I158" s="438"/>
      <c r="J158" s="2303"/>
      <c r="K158" s="2303"/>
      <c r="L158" s="2310"/>
    </row>
    <row r="159" spans="1:16" ht="20" customHeight="1" x14ac:dyDescent="0.45">
      <c r="A159" s="2313" t="s">
        <v>736</v>
      </c>
      <c r="B159" s="2314"/>
      <c r="C159" s="2314"/>
      <c r="D159" s="2314"/>
      <c r="E159" s="2314"/>
      <c r="F159" s="2314"/>
      <c r="G159" s="2314"/>
      <c r="H159" s="2314"/>
      <c r="I159" s="438"/>
      <c r="J159" s="2303"/>
      <c r="K159" s="2303"/>
      <c r="L159" s="2310"/>
    </row>
    <row r="160" spans="1:16" ht="17.850000000000001" customHeight="1" x14ac:dyDescent="0.45">
      <c r="A160" s="902" t="s">
        <v>519</v>
      </c>
      <c r="B160" s="902"/>
      <c r="C160" s="903"/>
      <c r="D160" s="2841" t="s">
        <v>779</v>
      </c>
      <c r="E160" s="2842"/>
      <c r="F160" s="900" t="s">
        <v>674</v>
      </c>
      <c r="G160" s="900" t="s">
        <v>59</v>
      </c>
      <c r="H160" s="1090" t="s">
        <v>77</v>
      </c>
      <c r="I160" s="438"/>
      <c r="L160" s="216"/>
    </row>
    <row r="161" spans="1:15" ht="17.850000000000001" customHeight="1" x14ac:dyDescent="0.45">
      <c r="A161" s="2855" t="s">
        <v>497</v>
      </c>
      <c r="B161" s="2856"/>
      <c r="C161" s="2856"/>
      <c r="D161" s="2856"/>
      <c r="E161" s="2857"/>
      <c r="F161" s="758">
        <f ca="1">H134</f>
        <v>2.9520000000000001E-2</v>
      </c>
      <c r="G161" s="463">
        <f ca="1">D67</f>
        <v>68.84</v>
      </c>
      <c r="H161" s="940">
        <f ca="1">F161*G161</f>
        <v>2.032</v>
      </c>
      <c r="I161" s="438"/>
      <c r="L161" s="216"/>
    </row>
    <row r="162" spans="1:15" ht="17.850000000000001" customHeight="1" x14ac:dyDescent="0.45">
      <c r="A162" s="461" t="s">
        <v>498</v>
      </c>
      <c r="B162" s="462"/>
      <c r="C162" s="462"/>
      <c r="D162" s="462"/>
      <c r="E162" s="462"/>
      <c r="F162" s="758">
        <f ca="1">IF(F157=G157,F161,0)</f>
        <v>2.9520000000000001E-2</v>
      </c>
      <c r="G162" s="463">
        <f ca="1">D68</f>
        <v>0</v>
      </c>
      <c r="H162" s="940">
        <f ca="1">F162*G162</f>
        <v>0</v>
      </c>
      <c r="I162" s="438"/>
      <c r="J162" s="271" t="str">
        <f>IFERROR(IF(AND(ISBLANK(F157),F61&gt;0),"Berechnung kann nicht fortgesetzt werden; B3: Ja/Nein?",""),"")</f>
        <v/>
      </c>
      <c r="K162" s="271"/>
      <c r="L162" s="216"/>
    </row>
    <row r="163" spans="1:15" ht="17.850000000000001" customHeight="1" x14ac:dyDescent="0.45">
      <c r="A163" s="2855" t="s">
        <v>499</v>
      </c>
      <c r="B163" s="2856"/>
      <c r="C163" s="2856"/>
      <c r="D163" s="2856"/>
      <c r="E163" s="2857"/>
      <c r="F163" s="758">
        <f ca="1">H154</f>
        <v>2.9520000000000001E-2</v>
      </c>
      <c r="G163" s="463">
        <f ca="1">D69</f>
        <v>1.99</v>
      </c>
      <c r="H163" s="940">
        <f ca="1">F163*G163</f>
        <v>5.8999999999999997E-2</v>
      </c>
      <c r="I163" s="438"/>
      <c r="L163" s="216"/>
    </row>
    <row r="164" spans="1:15" ht="17.850000000000001" customHeight="1" x14ac:dyDescent="0.45">
      <c r="A164" s="2836"/>
      <c r="B164" s="2837"/>
      <c r="C164" s="2837"/>
      <c r="D164" s="2318" t="s">
        <v>675</v>
      </c>
      <c r="E164" s="2318"/>
      <c r="F164" s="2319"/>
      <c r="G164" s="498">
        <f ca="1">SUM(G161:G163)</f>
        <v>70.83</v>
      </c>
      <c r="H164" s="941">
        <f ca="1">SUM(H161:H163)</f>
        <v>2.0910000000000002</v>
      </c>
      <c r="I164" s="438"/>
      <c r="L164" s="216"/>
    </row>
    <row r="165" spans="1:15" ht="17.850000000000001" customHeight="1" x14ac:dyDescent="0.45">
      <c r="A165" s="2491" t="s">
        <v>754</v>
      </c>
      <c r="B165" s="2492"/>
      <c r="C165" s="2492"/>
      <c r="D165" s="2492"/>
      <c r="E165" s="2492"/>
      <c r="F165" s="2492"/>
      <c r="G165" s="2492"/>
      <c r="H165" s="929">
        <f ca="1">IFERROR(H164/G164,"")</f>
        <v>2.9499999999999998E-2</v>
      </c>
      <c r="I165" s="438"/>
      <c r="L165" s="216" t="str">
        <f>IFERROR(IF(ABS(H166)/G166&gt;0.1,"Individuelle Anpassung bei A4) AKV-Entgelt auffällig hoch. ",""),"")</f>
        <v/>
      </c>
    </row>
    <row r="166" spans="1:15" ht="17.850000000000001" customHeight="1" x14ac:dyDescent="0.45">
      <c r="A166" s="2485" t="s">
        <v>811</v>
      </c>
      <c r="B166" s="2486"/>
      <c r="C166" s="2486"/>
      <c r="D166" s="2486"/>
      <c r="E166" s="2486"/>
      <c r="F166" s="2486"/>
      <c r="G166" s="2486"/>
      <c r="H166" s="942"/>
      <c r="I166" s="576" t="str">
        <f>IF(H166&lt;&gt;0,"X","")</f>
        <v/>
      </c>
      <c r="L166" s="216"/>
    </row>
    <row r="167" spans="1:15" ht="17.850000000000001" customHeight="1" x14ac:dyDescent="0.45">
      <c r="A167" s="390" t="str">
        <f ca="1">IFERROR("D) Ergebnis Zulagen (K3 Zeile 7) "&amp;TEXT(' K3 PP'!O25,"0,00€")&amp;" bzw in % ",KALKULATION!$M$286)</f>
        <v xml:space="preserve">D) Ergebnis Zulagen (K3 Zeile 7) 0,55€ bzw in % </v>
      </c>
      <c r="B167" s="391"/>
      <c r="C167" s="391"/>
      <c r="D167" s="391"/>
      <c r="E167" s="391"/>
      <c r="F167" s="391"/>
      <c r="G167" s="1882" t="s">
        <v>1088</v>
      </c>
      <c r="H167" s="929">
        <f ca="1">IF(H165=0,0,IF(G167=Q35,ROUNDUP(SUM(H165:H166),3),SUM(H165:H166)))</f>
        <v>0.03</v>
      </c>
      <c r="I167" s="438"/>
      <c r="J167" s="856" t="str">
        <f ca="1">IFERROR(IF(H167=0,"Hinweis: Keine Zulagen erfasst! Prüfen ob korrekt!",""),"")</f>
        <v/>
      </c>
    </row>
    <row r="168" spans="1:15" ht="20" customHeight="1" x14ac:dyDescent="0.45">
      <c r="A168" s="2643" t="str">
        <f ca="1">A74</f>
        <v>Info: KV &amp; up.Z: 18,17€ | abgabepfl. Pers.ko: 25,23€ | vor Uml: 51,19€ | KOSTEN: 56,83€ | PREIS: 72,74€</v>
      </c>
      <c r="B168" s="2644"/>
      <c r="C168" s="2644"/>
      <c r="D168" s="2644"/>
      <c r="E168" s="2644"/>
      <c r="F168" s="2644"/>
      <c r="G168" s="2644"/>
      <c r="H168" s="2644"/>
      <c r="I168" s="438"/>
      <c r="J168" s="2303" t="str">
        <f ca="1">IF(AND(H165=0,H166&lt;&gt;0),"Zu D4.b: Keine Anpassung ohne Grundkalkulation (bzw Wert =0)!","")</f>
        <v/>
      </c>
      <c r="K168" s="2303"/>
      <c r="L168" s="2310"/>
    </row>
    <row r="169" spans="1:15" ht="17.850000000000001" customHeight="1" x14ac:dyDescent="0.45">
      <c r="A169" s="2449"/>
      <c r="B169" s="2450"/>
      <c r="C169" s="2450"/>
      <c r="D169" s="2450"/>
      <c r="E169" s="2450"/>
      <c r="F169" s="2450"/>
      <c r="G169" s="2450"/>
      <c r="H169" s="2450"/>
      <c r="I169" s="2450"/>
      <c r="J169" s="2303"/>
      <c r="K169" s="2303"/>
      <c r="L169" s="2310"/>
    </row>
    <row r="170" spans="1:15" ht="25.05" customHeight="1" x14ac:dyDescent="0.45">
      <c r="A170" s="2372" t="s">
        <v>500</v>
      </c>
      <c r="B170" s="2373"/>
      <c r="C170" s="2373"/>
      <c r="D170" s="2373"/>
      <c r="E170" s="2373"/>
      <c r="F170" s="2373"/>
      <c r="G170" s="2373"/>
      <c r="H170" s="2373"/>
      <c r="I170" s="438"/>
      <c r="L170" s="216"/>
      <c r="M170" s="1965" t="s">
        <v>577</v>
      </c>
      <c r="N170" s="1965" t="s">
        <v>568</v>
      </c>
    </row>
    <row r="171" spans="1:15" ht="20" customHeight="1" x14ac:dyDescent="0.5">
      <c r="A171" s="2698" t="s">
        <v>780</v>
      </c>
      <c r="B171" s="2699"/>
      <c r="C171" s="2699"/>
      <c r="D171" s="2825" t="str">
        <f ca="1">IF(SUM(Stammdaten!D116:D119)=0,"Keine Stammdaten dafür vorhanden.","")</f>
        <v/>
      </c>
      <c r="E171" s="2825"/>
      <c r="F171" s="2825"/>
      <c r="G171" s="2825"/>
      <c r="H171" s="2825"/>
      <c r="I171" s="994"/>
      <c r="L171" s="216"/>
      <c r="M171" s="2019" t="str">
        <f ca="1">IF(Stammdaten!A116=0,"",Stammdaten!A116)</f>
        <v>Montagezulage</v>
      </c>
      <c r="N171" s="1338">
        <f ca="1">IF(M171="","",1*ROW())</f>
        <v>171</v>
      </c>
    </row>
    <row r="172" spans="1:15" ht="17.850000000000001" customHeight="1" x14ac:dyDescent="0.5">
      <c r="A172" s="2690" t="s">
        <v>283</v>
      </c>
      <c r="B172" s="2821"/>
      <c r="C172" s="2822"/>
      <c r="D172" s="2435" t="s">
        <v>782</v>
      </c>
      <c r="E172" s="2435" t="s">
        <v>125</v>
      </c>
      <c r="F172" s="2435" t="s">
        <v>781</v>
      </c>
      <c r="G172" s="2435" t="s">
        <v>783</v>
      </c>
      <c r="H172" s="2690" t="s">
        <v>784</v>
      </c>
      <c r="I172" s="438"/>
      <c r="L172" s="216"/>
      <c r="M172" s="2019" t="str">
        <f ca="1">IF(Stammdaten!A117=0,"",Stammdaten!A117)</f>
        <v/>
      </c>
      <c r="N172" s="1338" t="str">
        <f ca="1">IF(M172="","",1*ROW())</f>
        <v/>
      </c>
    </row>
    <row r="173" spans="1:15" ht="17.850000000000001" customHeight="1" thickBot="1" x14ac:dyDescent="0.55000000000000004">
      <c r="A173" s="2691"/>
      <c r="B173" s="2823"/>
      <c r="C173" s="2824"/>
      <c r="D173" s="2436"/>
      <c r="E173" s="2436"/>
      <c r="F173" s="2436"/>
      <c r="G173" s="2436"/>
      <c r="H173" s="2691"/>
      <c r="I173" s="438"/>
      <c r="L173" s="216"/>
      <c r="M173" s="2019" t="str">
        <f ca="1">IF(Stammdaten!A118=0,"",Stammdaten!A118)</f>
        <v/>
      </c>
      <c r="N173" s="1338" t="str">
        <f ca="1">IF(M173="","",1*ROW())</f>
        <v/>
      </c>
    </row>
    <row r="174" spans="1:15" ht="17.850000000000001" customHeight="1" thickTop="1" x14ac:dyDescent="0.5">
      <c r="A174" s="2685" t="s">
        <v>1124</v>
      </c>
      <c r="B174" s="2685"/>
      <c r="C174" s="2685"/>
      <c r="D174" s="329">
        <v>1</v>
      </c>
      <c r="E174" s="136">
        <f ca="1">IF(L$27="",IFERROR(IF(ISBLANK(A174),"",(VLOOKUP(A174,Stammdaten!A$116:D$119,4,FALSE))),KALKULATION!$M$283),"ungültig")</f>
        <v>1.1299999999999999</v>
      </c>
      <c r="F174" s="950">
        <f ca="1">IF(D174&gt;0,C$95,"")</f>
        <v>40</v>
      </c>
      <c r="G174" s="51">
        <f ca="1">IFERROR(VLOOKUP(A174,Stammdaten!A$116:D$119,2,FALSE)*D174*F174,"")</f>
        <v>0</v>
      </c>
      <c r="H174" s="84">
        <f ca="1">IFERROR(VLOOKUP(A174,Stammdaten!A$116:D$119,3,FALSE)*D174*F174,"")</f>
        <v>45.2</v>
      </c>
      <c r="I174" s="438"/>
      <c r="J174" s="1328" t="str">
        <f ca="1">IF(D174&lt;&gt;0,"I: Für "&amp;TEXT(D174*E$61,"0,0")&amp;" von "&amp;TEXT(E$61,"0,0")&amp;" Pers.","")</f>
        <v>I: Für 3,9 von 3,9 Pers.</v>
      </c>
      <c r="K174" s="271" t="str">
        <f ca="1">IF(OR(COUNTA(A174,D174)=2,COUNTA(A174,D174)=0),IF(E174=KALKULATION!$M$283,"Auswahl erneut vornehmen (ungültiger Verweis)!",""),"Eingabe unvollständig (ergänzen oder löschen)!")</f>
        <v/>
      </c>
      <c r="L174" s="325"/>
      <c r="M174" s="2019" t="str">
        <f>IF(Stammdaten!A119=0,"",Stammdaten!A119)</f>
        <v/>
      </c>
      <c r="N174" s="1338" t="str">
        <f>IF(M174="","",1*ROW())</f>
        <v/>
      </c>
      <c r="O174" s="1338">
        <f>ROW()</f>
        <v>174</v>
      </c>
    </row>
    <row r="175" spans="1:15" ht="17.850000000000001" customHeight="1" x14ac:dyDescent="0.45">
      <c r="A175" s="2954"/>
      <c r="B175" s="2954"/>
      <c r="C175" s="2954"/>
      <c r="D175" s="330"/>
      <c r="E175" s="136" t="str">
        <f ca="1">IF(L$27="",IFERROR(IF(ISBLANK(A175),"",(VLOOKUP(A175,Stammdaten!A$116:D$119,4,FALSE))),KALKULATION!$M$283),"ungültig")</f>
        <v/>
      </c>
      <c r="F175" s="951" t="str">
        <f>IF(D175&gt;0,C$95,"")</f>
        <v/>
      </c>
      <c r="G175" s="48" t="str">
        <f ca="1">IFERROR(VLOOKUP(A175,Stammdaten!A$116:D$119,2,FALSE)*D175*F175,"")</f>
        <v/>
      </c>
      <c r="H175" s="568" t="str">
        <f ca="1">IFERROR(VLOOKUP(A175,Stammdaten!A$116:D$119,3,FALSE)*D175*F175,"")</f>
        <v/>
      </c>
      <c r="I175" s="438"/>
      <c r="J175" s="1328" t="str">
        <f t="shared" ref="J175:J176" si="20">IF(D175&lt;&gt;0,"I: Für "&amp;TEXT(D175*E$61,"0,0")&amp;" von "&amp;TEXT(E$61,"0,0")&amp;" Pers.","")</f>
        <v/>
      </c>
      <c r="K175" s="271" t="str">
        <f ca="1">IF(OR(COUNTA(A175,D175)=2,COUNTA(A175,D175)=0),IF(E175=KALKULATION!$M$283,"Auswahl erneut vornehmen (ungültiger Verweis)!",""),"Eingabe unvollständig (ergänzen oder löschen)!")</f>
        <v/>
      </c>
      <c r="L175" s="325"/>
      <c r="M175" s="1338" t="s">
        <v>566</v>
      </c>
      <c r="N175" s="1338">
        <f ca="1">MIN(N171:N174,ROW(N171))</f>
        <v>171</v>
      </c>
    </row>
    <row r="176" spans="1:15" ht="17.850000000000001" customHeight="1" x14ac:dyDescent="0.45">
      <c r="A176" s="2376"/>
      <c r="B176" s="2376"/>
      <c r="C176" s="2376"/>
      <c r="D176" s="388"/>
      <c r="E176" s="136" t="str">
        <f ca="1">IF(L$27="",IFERROR(IF(ISBLANK(A176),"",(VLOOKUP(A176,Stammdaten!A$116:D$119,4,FALSE))),KALKULATION!$M$283),"ungültig")</f>
        <v/>
      </c>
      <c r="F176" s="952" t="str">
        <f>IF(D176&gt;0,C$95,"")</f>
        <v/>
      </c>
      <c r="G176" s="389" t="str">
        <f ca="1">IFERROR(VLOOKUP(A176,Stammdaten!A$116:D$119,2,FALSE)*D176*F176,"")</f>
        <v/>
      </c>
      <c r="H176" s="957" t="str">
        <f ca="1">IFERROR(VLOOKUP(A176,Stammdaten!A$116:D$119,3,FALSE)*D176*F176,"")</f>
        <v/>
      </c>
      <c r="I176" s="438"/>
      <c r="J176" s="1328" t="str">
        <f t="shared" si="20"/>
        <v/>
      </c>
      <c r="K176" s="271" t="str">
        <f ca="1">IF(OR(COUNTA(A176,D176)=2,COUNTA(A176,D176)=0),IF(E176=KALKULATION!$M$283,"Auswahl erneut vornehmen (ungültiger Verweis)!",""),"Eingabe unvollständig (ergänzen oder löschen)!")</f>
        <v/>
      </c>
      <c r="L176" s="325"/>
      <c r="M176" s="1338" t="s">
        <v>567</v>
      </c>
      <c r="N176" s="1338">
        <f ca="1">MAX(N171:N174,ROW(N171))</f>
        <v>171</v>
      </c>
    </row>
    <row r="177" spans="1:25" ht="17.850000000000001" customHeight="1" thickBot="1" x14ac:dyDescent="0.5">
      <c r="A177" s="2722" t="s">
        <v>534</v>
      </c>
      <c r="B177" s="2723"/>
      <c r="C177" s="2723"/>
      <c r="D177" s="2723"/>
      <c r="E177" s="213">
        <f ca="1">SUM(G139)</f>
        <v>0</v>
      </c>
      <c r="F177" s="953" t="str">
        <f ca="1">IF(E177&lt;&gt;0,C$95,"")</f>
        <v/>
      </c>
      <c r="G177" s="60">
        <f ca="1">PRODUCT(E177,F177)</f>
        <v>0</v>
      </c>
      <c r="H177" s="569"/>
      <c r="I177" s="438"/>
      <c r="J177" s="271"/>
      <c r="K177" s="271"/>
      <c r="L177" s="325"/>
      <c r="M177" s="1965" t="s">
        <v>578</v>
      </c>
      <c r="N177" s="1965" t="s">
        <v>568</v>
      </c>
    </row>
    <row r="178" spans="1:25" ht="17.850000000000001" customHeight="1" thickBot="1" x14ac:dyDescent="0.55000000000000004">
      <c r="A178" s="2665" t="s">
        <v>785</v>
      </c>
      <c r="B178" s="2666"/>
      <c r="C178" s="2666"/>
      <c r="D178" s="2666"/>
      <c r="E178" s="2666"/>
      <c r="F178" s="2667"/>
      <c r="G178" s="947">
        <f ca="1">SUM(G171:G177)</f>
        <v>0</v>
      </c>
      <c r="H178" s="958">
        <f ca="1">SUM(H171:H176)</f>
        <v>45.2</v>
      </c>
      <c r="I178" s="438"/>
      <c r="J178" s="2329" t="str">
        <f>IF(SUM(D174:D176)&gt;1,"Hinweis: Entschädigungen C1 sind für mehr als 100% des Personals kalkuliert.","")</f>
        <v/>
      </c>
      <c r="K178" s="2329"/>
      <c r="L178" s="2330"/>
      <c r="M178" s="1976" t="str">
        <f t="shared" ref="M178:M189" ca="1" si="21">IFERROR(INDIRECT("O"&amp;(SMALL(P$178:P$189,ROW(P178)-ROW(P$178)+1))),"")</f>
        <v>kleine Entfernungszul. (&gt;6Std)</v>
      </c>
      <c r="N178" s="1338">
        <f t="shared" ref="N178:N189" ca="1" si="22">IF(M178="","",ROW())</f>
        <v>178</v>
      </c>
      <c r="O178" s="2019" t="str">
        <f ca="1">IF(Stammdaten!A102=0,"",Stammdaten!A102)</f>
        <v>kleine Entfernungszul. (&gt;6Std)</v>
      </c>
      <c r="P178" s="1338">
        <f t="shared" ref="P178:P188" ca="1" si="23">IF(O178="","",1*ROW())</f>
        <v>178</v>
      </c>
    </row>
    <row r="179" spans="1:25" ht="17.850000000000001" customHeight="1" thickBot="1" x14ac:dyDescent="0.55000000000000004">
      <c r="A179" s="2682" t="str">
        <f ca="1">"Die abgabepflichtigen Entgelte in Hv "&amp;TEXT(H178,"0,00€")&amp;" unterliegen zu "</f>
        <v xml:space="preserve">Die abgabepflichtigen Entgelte in Hv 45,20€ unterliegen zu </v>
      </c>
      <c r="B179" s="2683"/>
      <c r="C179" s="2683"/>
      <c r="D179" s="2683"/>
      <c r="E179" s="2683"/>
      <c r="F179" s="759">
        <v>1</v>
      </c>
      <c r="G179" s="2686" t="s">
        <v>676</v>
      </c>
      <c r="H179" s="2686"/>
      <c r="I179" s="438"/>
      <c r="J179" s="2329"/>
      <c r="K179" s="2329"/>
      <c r="L179" s="2330"/>
      <c r="M179" s="1976" t="str">
        <f t="shared" ca="1" si="21"/>
        <v>mittlere Entfernungszul. (&gt;11Std)</v>
      </c>
      <c r="N179" s="1338">
        <f t="shared" ca="1" si="22"/>
        <v>179</v>
      </c>
      <c r="O179" s="2019" t="str">
        <f ca="1">IF(Stammdaten!A103=0,"",Stammdaten!A103)</f>
        <v>mittlere Entfernungszul. (&gt;11Std)</v>
      </c>
      <c r="P179" s="1338">
        <f t="shared" ca="1" si="23"/>
        <v>179</v>
      </c>
    </row>
    <row r="180" spans="1:25" ht="17.850000000000001" customHeight="1" thickBot="1" x14ac:dyDescent="0.55000000000000004">
      <c r="A180" s="2320"/>
      <c r="B180" s="2321"/>
      <c r="C180" s="2321"/>
      <c r="D180" s="2321"/>
      <c r="E180" s="2321"/>
      <c r="F180" s="2321"/>
      <c r="G180" s="2321"/>
      <c r="H180" s="2321"/>
      <c r="I180" s="438"/>
      <c r="J180" s="2329"/>
      <c r="K180" s="2329"/>
      <c r="L180" s="2330"/>
      <c r="M180" s="1976" t="str">
        <f t="shared" ca="1" si="21"/>
        <v>große Entfernungszul. (&gt;11Std)</v>
      </c>
      <c r="N180" s="1338">
        <f t="shared" ca="1" si="22"/>
        <v>180</v>
      </c>
      <c r="O180" s="2019" t="str">
        <f ca="1">IF(Stammdaten!A104=0,"",Stammdaten!A104)</f>
        <v>große Entfernungszul. (&gt;11Std)</v>
      </c>
      <c r="P180" s="1338">
        <f t="shared" ca="1" si="23"/>
        <v>180</v>
      </c>
    </row>
    <row r="181" spans="1:25" ht="20" customHeight="1" thickBot="1" x14ac:dyDescent="0.55000000000000004">
      <c r="A181" s="2984" t="s">
        <v>787</v>
      </c>
      <c r="B181" s="2985"/>
      <c r="C181" s="2985"/>
      <c r="D181" s="2985"/>
      <c r="E181" s="2985"/>
      <c r="F181" s="2985"/>
      <c r="G181" s="2985"/>
      <c r="H181" s="2985"/>
      <c r="I181" s="438"/>
      <c r="L181" s="216"/>
      <c r="M181" s="1976" t="str">
        <f t="shared" ca="1" si="21"/>
        <v>Nächtigungsgeld</v>
      </c>
      <c r="N181" s="1338">
        <f t="shared" ca="1" si="22"/>
        <v>181</v>
      </c>
      <c r="O181" s="2019" t="str">
        <f ca="1">IF(Stammdaten!A105=0,"",Stammdaten!A105)</f>
        <v/>
      </c>
      <c r="P181" s="1338" t="str">
        <f t="shared" ca="1" si="23"/>
        <v/>
      </c>
    </row>
    <row r="182" spans="1:25" ht="17.850000000000001" customHeight="1" thickBot="1" x14ac:dyDescent="0.55000000000000004">
      <c r="A182" s="2690" t="str">
        <f>A172</f>
        <v>Auswählen: ↓</v>
      </c>
      <c r="B182" s="2821"/>
      <c r="C182" s="2822"/>
      <c r="D182" s="2435" t="str">
        <f>D172</f>
        <v>… % des prod. Pers.:</v>
      </c>
      <c r="E182" s="2435" t="s">
        <v>78</v>
      </c>
      <c r="F182" s="2435" t="s">
        <v>788</v>
      </c>
      <c r="G182" s="2435" t="str">
        <f t="shared" ref="G182:H182" si="24">G172</f>
        <v>abgabefrei (€/Wo)</v>
      </c>
      <c r="H182" s="2690" t="str">
        <f t="shared" si="24"/>
        <v>abg.-pflichtig (€/Wo)</v>
      </c>
      <c r="I182" s="438"/>
      <c r="L182" s="216"/>
      <c r="M182" s="1976" t="str">
        <f t="shared" ca="1" si="21"/>
        <v/>
      </c>
      <c r="N182" s="1338" t="str">
        <f t="shared" ca="1" si="22"/>
        <v/>
      </c>
      <c r="O182" s="2019" t="str">
        <f ca="1">IF(Stammdaten!A106=0,"",Stammdaten!A106)</f>
        <v>Nächtigungsgeld</v>
      </c>
      <c r="P182" s="1338">
        <f t="shared" ca="1" si="23"/>
        <v>182</v>
      </c>
    </row>
    <row r="183" spans="1:25" ht="17.850000000000001" customHeight="1" thickBot="1" x14ac:dyDescent="0.55000000000000004">
      <c r="A183" s="2691"/>
      <c r="B183" s="2823"/>
      <c r="C183" s="2824"/>
      <c r="D183" s="2436"/>
      <c r="E183" s="2436"/>
      <c r="F183" s="2436"/>
      <c r="G183" s="2436"/>
      <c r="H183" s="2691"/>
      <c r="I183" s="438"/>
      <c r="L183" s="216"/>
      <c r="M183" s="1976" t="str">
        <f t="shared" ca="1" si="21"/>
        <v/>
      </c>
      <c r="N183" s="1338" t="str">
        <f t="shared" ca="1" si="22"/>
        <v/>
      </c>
      <c r="O183" s="2019" t="str">
        <f ca="1">IF(Stammdaten!A107=0,"",Stammdaten!A107)</f>
        <v/>
      </c>
      <c r="P183" s="1338" t="str">
        <f t="shared" ca="1" si="23"/>
        <v/>
      </c>
    </row>
    <row r="184" spans="1:25" ht="17.850000000000001" customHeight="1" thickTop="1" thickBot="1" x14ac:dyDescent="0.55000000000000004">
      <c r="A184" s="2715" t="s">
        <v>1125</v>
      </c>
      <c r="B184" s="2716"/>
      <c r="C184" s="2717"/>
      <c r="D184" s="329">
        <v>1</v>
      </c>
      <c r="E184" s="48">
        <f ca="1">IF(L$27="",IFERROR(VLOOKUP(A184,Stammdaten!A$102:D$113,4,FALSE),KALKULATION!$M$283),"ungültig")</f>
        <v>11.71</v>
      </c>
      <c r="F184" s="332">
        <v>5</v>
      </c>
      <c r="G184" s="51">
        <f ca="1">IFERROR(VLOOKUP(A184,Stammdaten!A$102:C$113,2,FALSE)*D184*F184,"")</f>
        <v>58.55</v>
      </c>
      <c r="H184" s="84">
        <f ca="1">IFERROR(VLOOKUP(A184,Stammdaten!A$102:C$113,3,FALSE)*D184*F184,"")</f>
        <v>0</v>
      </c>
      <c r="I184" s="438"/>
      <c r="J184" s="1328" t="str">
        <f t="shared" ref="J184:J188" ca="1" si="25">IF(D184&lt;&gt;0,"I: Für "&amp;TEXT(D184*E$61,"0,0")&amp;" von "&amp;TEXT(E$61,"0,0")&amp;" Pers.","")</f>
        <v>I: Für 3,9 von 3,9 Pers.</v>
      </c>
      <c r="K184" s="271" t="str">
        <f ca="1">IF(OR(COUNTA(A184,D184,F184)=3,COUNTA(A184,D184,F184)=0),IF(E184=KALKULATION!$M$283,"Auswahl erneut vornehmen (ungültiger Verweis)!",""),"Eingabe unvollständig (ergänzen oder löschen)!")</f>
        <v/>
      </c>
      <c r="L184" s="325"/>
      <c r="M184" s="1976" t="str">
        <f t="shared" ca="1" si="21"/>
        <v/>
      </c>
      <c r="N184" s="1338" t="str">
        <f t="shared" ca="1" si="22"/>
        <v/>
      </c>
      <c r="O184" s="2019" t="str">
        <f ca="1">IF(Stammdaten!A108=0,"",Stammdaten!A108)</f>
        <v/>
      </c>
      <c r="P184" s="1338" t="str">
        <f t="shared" ca="1" si="23"/>
        <v/>
      </c>
    </row>
    <row r="185" spans="1:25" ht="17.850000000000001" customHeight="1" thickBot="1" x14ac:dyDescent="0.55000000000000004">
      <c r="A185" s="2379"/>
      <c r="B185" s="2380"/>
      <c r="C185" s="2381"/>
      <c r="D185" s="330"/>
      <c r="E185" s="48">
        <f ca="1">IF(L$27="",IFERROR(VLOOKUP(A185,Stammdaten!A$102:D$113,4,FALSE),KALKULATION!$M$283),"ungültig")</f>
        <v>0</v>
      </c>
      <c r="F185" s="333"/>
      <c r="G185" s="48">
        <f ca="1">IFERROR(VLOOKUP(A185,Stammdaten!A$102:C$113,2,FALSE)*D185*F185,"")</f>
        <v>0</v>
      </c>
      <c r="H185" s="568">
        <f ca="1">IFERROR(VLOOKUP(A185,Stammdaten!A$102:C$113,3,FALSE)*D185*F185,"")</f>
        <v>0</v>
      </c>
      <c r="I185" s="438"/>
      <c r="J185" s="1328" t="str">
        <f t="shared" si="25"/>
        <v/>
      </c>
      <c r="K185" s="271" t="str">
        <f ca="1">IF(OR(COUNTA(A185,D185,F185)=3,COUNTA(A185,D185,F185)=0),IF(E185=KALKULATION!$M$283,"Auswahl erneut vornehmen (ungültiger Verweis)!",""),"Eingabe unvollständig (ergänzen oder löschen)!")</f>
        <v/>
      </c>
      <c r="L185" s="216"/>
      <c r="M185" s="1976" t="str">
        <f t="shared" ca="1" si="21"/>
        <v/>
      </c>
      <c r="N185" s="1338" t="str">
        <f t="shared" ca="1" si="22"/>
        <v/>
      </c>
      <c r="O185" s="2019" t="str">
        <f ca="1">IF(Stammdaten!A109=0,"",Stammdaten!A109)</f>
        <v/>
      </c>
      <c r="P185" s="1338" t="str">
        <f t="shared" ca="1" si="23"/>
        <v/>
      </c>
    </row>
    <row r="186" spans="1:25" ht="17.850000000000001" customHeight="1" thickBot="1" x14ac:dyDescent="0.55000000000000004">
      <c r="A186" s="2379"/>
      <c r="B186" s="2380"/>
      <c r="C186" s="2381"/>
      <c r="D186" s="330"/>
      <c r="E186" s="48">
        <f ca="1">IF(L$27="",IFERROR(VLOOKUP(A186,Stammdaten!A$102:D$113,4,FALSE),KALKULATION!$M$283),"ungültig")</f>
        <v>0</v>
      </c>
      <c r="F186" s="333"/>
      <c r="G186" s="48">
        <f ca="1">IFERROR(VLOOKUP(A186,Stammdaten!A$102:C$113,2,FALSE)*D186*F186,"")</f>
        <v>0</v>
      </c>
      <c r="H186" s="568">
        <f ca="1">IFERROR(VLOOKUP(A186,Stammdaten!A$102:C$113,3,FALSE)*D186*F186,"")</f>
        <v>0</v>
      </c>
      <c r="I186" s="438"/>
      <c r="J186" s="1328" t="str">
        <f t="shared" si="25"/>
        <v/>
      </c>
      <c r="K186" s="271" t="str">
        <f ca="1">IF(OR(COUNTA(A186,D186,F186)=3,COUNTA(A186,D186,F186)=0),IF(E186=KALKULATION!$M$283,"Auswahl erneut vornehmen (ungültiger Verweis)!",""),"Eingabe unvollständig (ergänzen oder löschen)!")</f>
        <v/>
      </c>
      <c r="L186" s="216"/>
      <c r="M186" s="1976" t="str">
        <f t="shared" ca="1" si="21"/>
        <v/>
      </c>
      <c r="N186" s="1338" t="str">
        <f t="shared" ca="1" si="22"/>
        <v/>
      </c>
      <c r="O186" s="2019" t="str">
        <f ca="1">IF(Stammdaten!A110=0,"",Stammdaten!A110)</f>
        <v/>
      </c>
      <c r="P186" s="1338" t="str">
        <f t="shared" ca="1" si="23"/>
        <v/>
      </c>
    </row>
    <row r="187" spans="1:25" ht="17.850000000000001" customHeight="1" thickBot="1" x14ac:dyDescent="0.55000000000000004">
      <c r="A187" s="2379"/>
      <c r="B187" s="2380"/>
      <c r="C187" s="2381"/>
      <c r="D187" s="330"/>
      <c r="E187" s="48">
        <f ca="1">IF(L$27="",IFERROR(VLOOKUP(A187,Stammdaten!A$102:D$113,4,FALSE),KALKULATION!$M$283),"ungültig")</f>
        <v>0</v>
      </c>
      <c r="F187" s="333"/>
      <c r="G187" s="48">
        <f ca="1">IFERROR(VLOOKUP(A187,Stammdaten!A$102:C$113,2,FALSE)*D187*F187,"")</f>
        <v>0</v>
      </c>
      <c r="H187" s="568">
        <f ca="1">IFERROR(VLOOKUP(A187,Stammdaten!A$102:C$113,3,FALSE)*D187*F187,"")</f>
        <v>0</v>
      </c>
      <c r="I187" s="438"/>
      <c r="J187" s="1328" t="str">
        <f t="shared" si="25"/>
        <v/>
      </c>
      <c r="K187" s="271" t="str">
        <f ca="1">IF(OR(COUNTA(A187,D187,F187)=3,COUNTA(A187,D187,F187)=0),IF(E187=KALKULATION!$M$283,"Auswahl erneut vornehmen (ungültiger Verweis)!",""),"Eingabe unvollständig (ergänzen oder löschen)!")</f>
        <v/>
      </c>
      <c r="L187" s="216"/>
      <c r="M187" s="1976" t="str">
        <f t="shared" ca="1" si="21"/>
        <v/>
      </c>
      <c r="N187" s="1338" t="str">
        <f t="shared" ca="1" si="22"/>
        <v/>
      </c>
      <c r="O187" s="2019" t="str">
        <f ca="1">IF(Stammdaten!A111=0,"",Stammdaten!A111)</f>
        <v/>
      </c>
      <c r="P187" s="1338" t="str">
        <f t="shared" ca="1" si="23"/>
        <v/>
      </c>
    </row>
    <row r="188" spans="1:25" ht="17.850000000000001" customHeight="1" thickBot="1" x14ac:dyDescent="0.55000000000000004">
      <c r="A188" s="2962"/>
      <c r="B188" s="2963"/>
      <c r="C188" s="2964"/>
      <c r="D188" s="331"/>
      <c r="E188" s="60">
        <f ca="1">IF(L$27="",IFERROR(VLOOKUP(A188,Stammdaten!A$102:D$113,4,FALSE),KALKULATION!$M$283),"ungültig")</f>
        <v>0</v>
      </c>
      <c r="F188" s="944"/>
      <c r="G188" s="60">
        <f ca="1">IFERROR(VLOOKUP(A188,Stammdaten!A$102:C$113,2,FALSE)*D188*F188,"")</f>
        <v>0</v>
      </c>
      <c r="H188" s="569">
        <f ca="1">IFERROR(VLOOKUP(A188,Stammdaten!A$102:C$113,3,FALSE)*D188*F188,"")</f>
        <v>0</v>
      </c>
      <c r="I188" s="438"/>
      <c r="J188" s="1328" t="str">
        <f t="shared" si="25"/>
        <v/>
      </c>
      <c r="K188" s="271" t="str">
        <f ca="1">IF(OR(COUNTA(A188,D188,F188)=3,COUNTA(A188,D188,F188)=0),IF(E188=KALKULATION!$M$283,"Auswahl erneut vornehmen (ungültiger Verweis)!",""),"Eingabe unvollständig (ergänzen oder löschen)!")</f>
        <v/>
      </c>
      <c r="L188" s="216"/>
      <c r="M188" s="1976" t="str">
        <f t="shared" ca="1" si="21"/>
        <v/>
      </c>
      <c r="N188" s="1338" t="str">
        <f t="shared" ca="1" si="22"/>
        <v/>
      </c>
      <c r="O188" s="2019" t="str">
        <f ca="1">IF(Stammdaten!A112=0,"",Stammdaten!A112)</f>
        <v/>
      </c>
      <c r="P188" s="1338" t="str">
        <f t="shared" ca="1" si="23"/>
        <v/>
      </c>
    </row>
    <row r="189" spans="1:25" ht="17.850000000000001" customHeight="1" thickBot="1" x14ac:dyDescent="0.55000000000000004">
      <c r="A189" s="2665" t="s">
        <v>786</v>
      </c>
      <c r="B189" s="2666"/>
      <c r="C189" s="2666"/>
      <c r="D189" s="2666"/>
      <c r="E189" s="2666"/>
      <c r="F189" s="2667"/>
      <c r="G189" s="1010">
        <f ca="1">SUM(G184:G188)</f>
        <v>58.55</v>
      </c>
      <c r="H189" s="948">
        <f ca="1">SUM(H184:H188)</f>
        <v>0</v>
      </c>
      <c r="I189" s="438"/>
      <c r="J189" s="2329" t="str">
        <f>IF(SUM(D184:D188)&gt;1,"Hinweis: Entschädigungen sind in E2 für mehr als 100% des Personals angesetzt.","")</f>
        <v/>
      </c>
      <c r="K189" s="2329"/>
      <c r="L189" s="2330"/>
      <c r="M189" s="1976" t="str">
        <f t="shared" ca="1" si="21"/>
        <v/>
      </c>
      <c r="N189" s="1338" t="str">
        <f t="shared" ca="1" si="22"/>
        <v/>
      </c>
      <c r="O189" s="2019" t="str">
        <f>IF(Stammdaten!A113=0,"",Stammdaten!A113)</f>
        <v/>
      </c>
      <c r="P189" s="1338" t="str">
        <f t="shared" ref="P189" si="26">IF(O189="","",1*ROW())</f>
        <v/>
      </c>
    </row>
    <row r="190" spans="1:25" ht="17.850000000000001" customHeight="1" thickBot="1" x14ac:dyDescent="0.5">
      <c r="A190" s="3005" t="str">
        <f ca="1">"Die abgabepflichtigen Entgelte in Hv "&amp;TEXT(H189,"0,00€")&amp;" unterliegen zu "</f>
        <v xml:space="preserve">Die abgabepflichtigen Entgelte in Hv 0,00€ unterliegen zu </v>
      </c>
      <c r="B190" s="3006"/>
      <c r="C190" s="3006"/>
      <c r="D190" s="3006"/>
      <c r="E190" s="3006"/>
      <c r="F190" s="1011">
        <v>0</v>
      </c>
      <c r="G190" s="2378" t="s">
        <v>676</v>
      </c>
      <c r="H190" s="2378"/>
      <c r="I190" s="438"/>
      <c r="J190" s="2329"/>
      <c r="K190" s="2329"/>
      <c r="L190" s="2330"/>
      <c r="M190" s="1338" t="s">
        <v>566</v>
      </c>
      <c r="N190" s="1338">
        <f ca="1">MIN(N178:N189,ROW(P178))</f>
        <v>178</v>
      </c>
    </row>
    <row r="191" spans="1:25" ht="17.850000000000001" customHeight="1" x14ac:dyDescent="0.45">
      <c r="A191" s="2888"/>
      <c r="B191" s="2889"/>
      <c r="C191" s="2889"/>
      <c r="D191" s="2889"/>
      <c r="E191" s="2889"/>
      <c r="F191" s="2889"/>
      <c r="G191" s="2889"/>
      <c r="H191" s="2889"/>
      <c r="I191" s="438"/>
      <c r="J191" s="2329"/>
      <c r="K191" s="2329"/>
      <c r="L191" s="2330"/>
      <c r="M191" s="1338" t="s">
        <v>567</v>
      </c>
      <c r="N191" s="1338">
        <f ca="1">MAX(N178:N189,ROW(P178))</f>
        <v>181</v>
      </c>
    </row>
    <row r="192" spans="1:25" s="160" customFormat="1" ht="20" customHeight="1" x14ac:dyDescent="0.4">
      <c r="A192" s="3001" t="s">
        <v>789</v>
      </c>
      <c r="B192" s="3002"/>
      <c r="C192" s="3002"/>
      <c r="D192" s="3002"/>
      <c r="E192" s="3002"/>
      <c r="F192" s="3002"/>
      <c r="G192" s="3002"/>
      <c r="H192" s="3002"/>
      <c r="I192" s="353"/>
      <c r="L192" s="971"/>
      <c r="M192" s="1944"/>
      <c r="N192" s="1944"/>
      <c r="O192" s="1944"/>
      <c r="P192" s="1944"/>
      <c r="Q192" s="1944"/>
      <c r="R192" s="1944"/>
      <c r="S192" s="1944"/>
      <c r="T192" s="1944"/>
      <c r="U192" s="1944"/>
      <c r="V192" s="1944"/>
      <c r="W192" s="1944"/>
      <c r="X192" s="1840"/>
      <c r="Y192" s="1840"/>
    </row>
    <row r="193" spans="1:14" ht="17.850000000000001" customHeight="1" x14ac:dyDescent="0.45">
      <c r="A193" s="2690" t="str">
        <f>A172</f>
        <v>Auswählen: ↓</v>
      </c>
      <c r="B193" s="2821"/>
      <c r="C193" s="2822"/>
      <c r="D193" s="2435" t="str">
        <f>D172</f>
        <v>… % des prod. Pers.:</v>
      </c>
      <c r="E193" s="2435" t="s">
        <v>79</v>
      </c>
      <c r="F193" s="2661"/>
      <c r="G193" s="2435" t="str">
        <f t="shared" ref="G193:H193" si="27">G172</f>
        <v>abgabefrei (€/Wo)</v>
      </c>
      <c r="H193" s="2690" t="str">
        <f t="shared" si="27"/>
        <v>abg.-pflichtig (€/Wo)</v>
      </c>
      <c r="I193" s="438"/>
      <c r="L193" s="216"/>
    </row>
    <row r="194" spans="1:14" ht="17.850000000000001" customHeight="1" thickBot="1" x14ac:dyDescent="0.5">
      <c r="A194" s="2691"/>
      <c r="B194" s="2823"/>
      <c r="C194" s="2824"/>
      <c r="D194" s="2436"/>
      <c r="E194" s="2436"/>
      <c r="F194" s="3000"/>
      <c r="G194" s="2436"/>
      <c r="H194" s="2691"/>
      <c r="I194" s="438"/>
      <c r="L194" s="216"/>
    </row>
    <row r="195" spans="1:14" ht="17.850000000000001" customHeight="1" thickTop="1" x14ac:dyDescent="0.45">
      <c r="A195" s="2337"/>
      <c r="B195" s="2337"/>
      <c r="C195" s="2337"/>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097" t="str">
        <f t="shared" ref="J195:J199" si="28">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45">
      <c r="A196" s="2402"/>
      <c r="B196" s="2402"/>
      <c r="C196" s="2402"/>
      <c r="D196" s="330"/>
      <c r="E196" s="48">
        <f ca="1">IF(L$27="",IFERROR(VLOOKUP(A196,Stammdaten!A$122:D$128,4,FALSE),KALKULATION!$M$283),"ungültig")</f>
        <v>0</v>
      </c>
      <c r="F196" s="61"/>
      <c r="G196" s="48">
        <f ca="1">IFERROR(VLOOKUP(A196,Stammdaten!A$122:C$128,2,FALSE)*D196,"")</f>
        <v>0</v>
      </c>
      <c r="H196" s="568">
        <f ca="1">IFERROR(VLOOKUP(A196,Stammdaten!A$122:C$128,3,FALSE)*D196,"")</f>
        <v>0</v>
      </c>
      <c r="I196" s="438"/>
      <c r="J196" s="1097" t="str">
        <f t="shared" si="28"/>
        <v/>
      </c>
      <c r="K196" s="271" t="str">
        <f ca="1">IF(OR(COUNTA(A196,D196)=2,COUNTA(A196,D196)=0),IF(E196=KALKULATION!$M$283,"Auswahl erneut vornehmen (ungültiger Verweis)!",""),"Eingabe unvollständig (ergänzen oder löschen)!")</f>
        <v/>
      </c>
      <c r="L196" s="216"/>
      <c r="M196" s="1965" t="s">
        <v>579</v>
      </c>
      <c r="N196" s="1965" t="s">
        <v>568</v>
      </c>
    </row>
    <row r="197" spans="1:14" ht="17.850000000000001" customHeight="1" x14ac:dyDescent="0.5">
      <c r="A197" s="2402"/>
      <c r="B197" s="2402"/>
      <c r="C197" s="2402"/>
      <c r="D197" s="330"/>
      <c r="E197" s="48">
        <f ca="1">IF(L$27="",IFERROR(VLOOKUP(A197,Stammdaten!A$122:D$128,4,FALSE),KALKULATION!$M$283),"ungültig")</f>
        <v>0</v>
      </c>
      <c r="F197" s="61"/>
      <c r="G197" s="48">
        <f ca="1">IFERROR(VLOOKUP(A197,Stammdaten!A$122:C$128,2,FALSE)*D197,"")</f>
        <v>0</v>
      </c>
      <c r="H197" s="568">
        <f ca="1">IFERROR(VLOOKUP(A197,Stammdaten!A$122:C$128,3,FALSE)*D197,"")</f>
        <v>0</v>
      </c>
      <c r="I197" s="438"/>
      <c r="J197" s="1097" t="str">
        <f t="shared" si="28"/>
        <v/>
      </c>
      <c r="K197" s="271" t="str">
        <f ca="1">IF(OR(COUNTA(A197,D197)=2,COUNTA(A197,D197)=0),IF(E197=KALKULATION!$M$283,"Auswahl erneut vornehmen (ungültiger Verweis)!",""),"Eingabe unvollständig (ergänzen oder löschen)!")</f>
        <v/>
      </c>
      <c r="L197" s="216"/>
      <c r="M197" s="2019" t="str">
        <f ca="1">IF(Stammdaten!A122=0,"",Stammdaten!A122)</f>
        <v/>
      </c>
      <c r="N197" s="1338" t="str">
        <f t="shared" ref="N197:N202" ca="1" si="29">IF(M197="","",1*ROW())</f>
        <v/>
      </c>
    </row>
    <row r="198" spans="1:14" ht="17.850000000000001" customHeight="1" x14ac:dyDescent="0.5">
      <c r="A198" s="2402"/>
      <c r="B198" s="2402"/>
      <c r="C198" s="2402"/>
      <c r="D198" s="330"/>
      <c r="E198" s="48">
        <f ca="1">IF(L$27="",IFERROR(VLOOKUP(A198,Stammdaten!A$122:D$128,4,FALSE),KALKULATION!$M$283),"ungültig")</f>
        <v>0</v>
      </c>
      <c r="F198" s="61"/>
      <c r="G198" s="48">
        <f ca="1">IFERROR(VLOOKUP(A198,Stammdaten!A$122:C$128,2,FALSE)*D198,"")</f>
        <v>0</v>
      </c>
      <c r="H198" s="568">
        <f ca="1">IFERROR(VLOOKUP(A198,Stammdaten!A$122:C$128,3,FALSE)*D198,"")</f>
        <v>0</v>
      </c>
      <c r="I198" s="438"/>
      <c r="J198" s="1097" t="str">
        <f t="shared" si="28"/>
        <v/>
      </c>
      <c r="K198" s="271" t="str">
        <f ca="1">IF(OR(COUNTA(A198,D198)=2,COUNTA(A198,D198)=0),IF(E198=KALKULATION!$M$283,"Auswahl erneut vornehmen (ungültiger Verweis)!",""),"Eingabe unvollständig (ergänzen oder löschen)!")</f>
        <v/>
      </c>
      <c r="L198" s="216"/>
      <c r="M198" s="2019" t="str">
        <f ca="1">IF(Stammdaten!A123=0,"",Stammdaten!A123)</f>
        <v/>
      </c>
      <c r="N198" s="1338" t="str">
        <f t="shared" ca="1" si="29"/>
        <v/>
      </c>
    </row>
    <row r="199" spans="1:14" ht="17.850000000000001" customHeight="1" thickBot="1" x14ac:dyDescent="0.55000000000000004">
      <c r="A199" s="2909"/>
      <c r="B199" s="2909"/>
      <c r="C199" s="2909"/>
      <c r="D199" s="331"/>
      <c r="E199" s="48">
        <f ca="1">IF(L$27="",IFERROR(VLOOKUP(A199,Stammdaten!A$122:D$128,4,FALSE),KALKULATION!$M$283),"ungültig")</f>
        <v>0</v>
      </c>
      <c r="F199" s="943"/>
      <c r="G199" s="60">
        <f ca="1">IFERROR(VLOOKUP(A199,Stammdaten!A$122:C$128,2,FALSE)*D199,"")</f>
        <v>0</v>
      </c>
      <c r="H199" s="569">
        <f ca="1">IFERROR(VLOOKUP(A199,Stammdaten!A$122:C$128,3,FALSE)*D199,"")</f>
        <v>0</v>
      </c>
      <c r="I199" s="438"/>
      <c r="J199" s="1097" t="str">
        <f t="shared" si="28"/>
        <v/>
      </c>
      <c r="K199" s="271" t="str">
        <f ca="1">IF(OR(COUNTA(A199,D199)=2,COUNTA(A199,D199)=0),IF(E199=KALKULATION!$M$283,"Auswahl erneut vornehmen (ungültiger Verweis)!",""),"Eingabe unvollständig (ergänzen oder löschen)!")</f>
        <v/>
      </c>
      <c r="L199" s="216"/>
      <c r="M199" s="2019" t="str">
        <f ca="1">IF(Stammdaten!A124=0,"",Stammdaten!A124)</f>
        <v/>
      </c>
      <c r="N199" s="1338" t="str">
        <f t="shared" ca="1" si="29"/>
        <v/>
      </c>
    </row>
    <row r="200" spans="1:14" ht="17.850000000000001" customHeight="1" thickBot="1" x14ac:dyDescent="0.55000000000000004">
      <c r="A200" s="2665" t="s">
        <v>917</v>
      </c>
      <c r="B200" s="2666"/>
      <c r="C200" s="2666"/>
      <c r="D200" s="2666"/>
      <c r="E200" s="2666"/>
      <c r="F200" s="2667"/>
      <c r="G200" s="947">
        <f ca="1">SUM(G194:G199)</f>
        <v>0</v>
      </c>
      <c r="H200" s="948">
        <f ca="1">SUM(H194:H199)</f>
        <v>0</v>
      </c>
      <c r="I200" s="438"/>
      <c r="J200" s="2329" t="str">
        <f>IF(SUM(D195:D199)&gt;1,"Hinweis: Entschädigungen C3 sind für mehr als 100% des Personals kalkuliert.","")</f>
        <v/>
      </c>
      <c r="K200" s="2329"/>
      <c r="L200" s="2330"/>
      <c r="M200" s="2019" t="str">
        <f ca="1">IF(Stammdaten!A125=0,"",Stammdaten!A125)</f>
        <v/>
      </c>
      <c r="N200" s="1338" t="str">
        <f t="shared" ca="1" si="29"/>
        <v/>
      </c>
    </row>
    <row r="201" spans="1:14" ht="17.850000000000001" customHeight="1" thickBot="1" x14ac:dyDescent="0.55000000000000004">
      <c r="A201" s="3003" t="str">
        <f ca="1">"Die abgabepflichtigen Entgelte in Hv "&amp;TEXT(H200,"0,00€")&amp;" unterliegen zu "</f>
        <v xml:space="preserve">Die abgabepflichtigen Entgelte in Hv 0,00€ unterliegen zu </v>
      </c>
      <c r="B201" s="3004"/>
      <c r="C201" s="3004"/>
      <c r="D201" s="3004"/>
      <c r="E201" s="3004"/>
      <c r="F201" s="1012">
        <v>0</v>
      </c>
      <c r="G201" s="2666" t="s">
        <v>676</v>
      </c>
      <c r="H201" s="2666"/>
      <c r="I201" s="438"/>
      <c r="J201" s="2329"/>
      <c r="K201" s="2329"/>
      <c r="L201" s="2330"/>
      <c r="M201" s="2019" t="str">
        <f ca="1">IF(Stammdaten!A126=0,"",Stammdaten!A126)</f>
        <v/>
      </c>
      <c r="N201" s="1338" t="str">
        <f t="shared" ca="1" si="29"/>
        <v/>
      </c>
    </row>
    <row r="202" spans="1:14" ht="17.850000000000001" customHeight="1" x14ac:dyDescent="0.5">
      <c r="A202" s="2888"/>
      <c r="B202" s="2889"/>
      <c r="C202" s="2889"/>
      <c r="D202" s="2889"/>
      <c r="E202" s="2889"/>
      <c r="F202" s="2889"/>
      <c r="G202" s="2889"/>
      <c r="H202" s="2889"/>
      <c r="I202" s="438"/>
      <c r="J202" s="2329"/>
      <c r="K202" s="2329"/>
      <c r="L202" s="2330"/>
      <c r="M202" s="2019" t="str">
        <f ca="1">IF(Stammdaten!A127=0,"",Stammdaten!A127)</f>
        <v/>
      </c>
      <c r="N202" s="1338" t="str">
        <f t="shared" ca="1" si="29"/>
        <v/>
      </c>
    </row>
    <row r="203" spans="1:14" ht="20" customHeight="1" x14ac:dyDescent="0.5">
      <c r="A203" s="3001" t="s">
        <v>790</v>
      </c>
      <c r="B203" s="3002"/>
      <c r="C203" s="3002"/>
      <c r="D203" s="3002"/>
      <c r="E203" s="3002"/>
      <c r="F203" s="3002"/>
      <c r="G203" s="3002"/>
      <c r="H203" s="3002"/>
      <c r="I203" s="438"/>
      <c r="L203" s="216"/>
      <c r="M203" s="2019" t="str">
        <f>IF(Stammdaten!A128=0,"",Stammdaten!A128)</f>
        <v/>
      </c>
      <c r="N203" s="1338" t="str">
        <f t="shared" ref="N203" si="30">IF(M203="","",1*ROW())</f>
        <v/>
      </c>
    </row>
    <row r="204" spans="1:14" ht="17.850000000000001" customHeight="1" x14ac:dyDescent="0.45">
      <c r="A204" s="2949" t="s">
        <v>962</v>
      </c>
      <c r="B204" s="2950"/>
      <c r="C204" s="955" t="s">
        <v>555</v>
      </c>
      <c r="D204" s="2941" t="s">
        <v>963</v>
      </c>
      <c r="E204" s="2942"/>
      <c r="F204" s="2660" t="s">
        <v>678</v>
      </c>
      <c r="G204" s="2941" t="s">
        <v>925</v>
      </c>
      <c r="H204" s="2942"/>
      <c r="I204" s="438"/>
      <c r="L204" s="216"/>
      <c r="M204" s="1338" t="s">
        <v>566</v>
      </c>
      <c r="N204" s="1338">
        <f ca="1">MIN(N197:N203,ROW(N197))</f>
        <v>197</v>
      </c>
    </row>
    <row r="205" spans="1:14" ht="17.850000000000001" customHeight="1" x14ac:dyDescent="0.45">
      <c r="A205" s="2949"/>
      <c r="B205" s="2950"/>
      <c r="C205" s="2988" t="s">
        <v>556</v>
      </c>
      <c r="D205" s="2943"/>
      <c r="E205" s="2944"/>
      <c r="F205" s="2661"/>
      <c r="G205" s="2943"/>
      <c r="H205" s="2944"/>
      <c r="I205" s="438"/>
      <c r="L205" s="216"/>
      <c r="M205" s="1338" t="s">
        <v>567</v>
      </c>
      <c r="N205" s="1338">
        <f ca="1">MAX(N197:N203,ROW(N197))</f>
        <v>197</v>
      </c>
    </row>
    <row r="206" spans="1:14" ht="17.850000000000001" customHeight="1" x14ac:dyDescent="0.45">
      <c r="A206" s="2986" t="s">
        <v>1061</v>
      </c>
      <c r="B206" s="2987"/>
      <c r="C206" s="2989"/>
      <c r="D206" s="2943"/>
      <c r="E206" s="2944"/>
      <c r="F206" s="2661"/>
      <c r="G206" s="2945"/>
      <c r="H206" s="2946"/>
      <c r="I206" s="438"/>
      <c r="L206" s="216"/>
    </row>
    <row r="207" spans="1:14" ht="17.850000000000001" customHeight="1" thickBot="1" x14ac:dyDescent="0.5">
      <c r="A207" s="2691"/>
      <c r="B207" s="2824"/>
      <c r="C207" s="954" t="s">
        <v>557</v>
      </c>
      <c r="D207" s="2945"/>
      <c r="E207" s="2946"/>
      <c r="F207" s="2661"/>
      <c r="G207" s="2711" t="s">
        <v>791</v>
      </c>
      <c r="H207" s="2767"/>
      <c r="I207" s="438"/>
      <c r="J207" s="2437" t="str">
        <f>IF(G207=M208,"Information: Solche Entgelte sind idR abgabepflichtig. Prüfen!","")</f>
        <v/>
      </c>
      <c r="K207" s="2437"/>
      <c r="L207" s="2438"/>
      <c r="M207" s="1338" t="s">
        <v>677</v>
      </c>
    </row>
    <row r="208" spans="1:14" ht="17.850000000000001" customHeight="1" thickTop="1" thickBot="1" x14ac:dyDescent="0.5">
      <c r="A208" s="2433">
        <v>1</v>
      </c>
      <c r="B208" s="2434"/>
      <c r="C208" s="851">
        <v>0.75</v>
      </c>
      <c r="D208" s="1114" t="s">
        <v>573</v>
      </c>
      <c r="E208" s="563" t="s">
        <v>501</v>
      </c>
      <c r="F208" s="1013"/>
      <c r="G208" s="939" t="s">
        <v>318</v>
      </c>
      <c r="H208" s="956" t="s">
        <v>319</v>
      </c>
      <c r="I208" s="438"/>
      <c r="J208" s="1328" t="str">
        <f ca="1">IF(C208&lt;&gt;0,"I: Für "&amp;TEXT(C208*E$61,"0,0")&amp;" von "&amp;TEXT(E$61,"0,0")&amp;" Pers.","")</f>
        <v>I: Für 2,9 von 3,9 Pers.</v>
      </c>
      <c r="K208" s="1306" t="str">
        <f>IF(G207="","Auswahl bei Pkt 5 vornehmen.","")</f>
        <v/>
      </c>
      <c r="L208" s="1321"/>
      <c r="M208" s="1338" t="s">
        <v>102</v>
      </c>
    </row>
    <row r="209" spans="1:19" ht="17.850000000000001" customHeight="1" thickTop="1" thickBot="1" x14ac:dyDescent="0.5">
      <c r="A209" s="1181"/>
      <c r="B209" s="945"/>
      <c r="C209" s="946">
        <v>5</v>
      </c>
      <c r="D209" s="968" t="s">
        <v>810</v>
      </c>
      <c r="E209" s="969">
        <f ca="1">IF(D209=_KV_Entgelt,G$45,IF(D209=_KV_AKV_Entg.,(G$45+H$45),0))</f>
        <v>20.3</v>
      </c>
      <c r="F209" s="970">
        <v>1</v>
      </c>
      <c r="G209" s="349" t="str">
        <f>IF(G207=M208,IFERROR(A208*C208*C209*F209*E209,""),"")</f>
        <v/>
      </c>
      <c r="H209" s="520">
        <f ca="1">IF(G207=M209,IFERROR(A208*C208*C209*F209*E209,""),"")</f>
        <v>76.13</v>
      </c>
      <c r="I209" s="438"/>
      <c r="J209" s="271" t="str">
        <f>IF(OR(COUNTA(A208,C208,C209,F209)=4,COUNTA(A208,C208,C209,F209)=0),"","Eingabe unvollständig (ergänzen oder löschen)!")</f>
        <v/>
      </c>
      <c r="L209" s="216"/>
      <c r="M209" s="1338" t="s">
        <v>791</v>
      </c>
    </row>
    <row r="210" spans="1:19" ht="17.850000000000001" customHeight="1" thickBot="1" x14ac:dyDescent="0.5">
      <c r="A210" s="3003" t="str">
        <f ca="1">"Die abgabepflichtigen Entgelte in Hv "&amp;TEXT(H209,"0,00€")&amp;" unterliegen zu "</f>
        <v xml:space="preserve">Die abgabepflichtigen Entgelte in Hv 76,13€ unterliegen zu </v>
      </c>
      <c r="B210" s="3004"/>
      <c r="C210" s="3004"/>
      <c r="D210" s="3004"/>
      <c r="E210" s="3004"/>
      <c r="F210" s="1012">
        <v>1</v>
      </c>
      <c r="G210" s="2666" t="s">
        <v>676</v>
      </c>
      <c r="H210" s="2666"/>
      <c r="I210" s="438"/>
      <c r="J210" s="2329" t="str">
        <f>IF(SUM(C208)&gt;1,"Hinweis: Entschädigung C4.a ist für mehr als 100% des Personals kalkuliert.","")</f>
        <v/>
      </c>
      <c r="K210" s="2329"/>
      <c r="L210" s="2330"/>
      <c r="M210" s="1338" t="s">
        <v>795</v>
      </c>
    </row>
    <row r="211" spans="1:19" ht="17.850000000000001" customHeight="1" x14ac:dyDescent="0.45">
      <c r="A211" s="2937"/>
      <c r="B211" s="2938"/>
      <c r="C211" s="2938"/>
      <c r="D211" s="2938"/>
      <c r="E211" s="2938"/>
      <c r="F211" s="2938"/>
      <c r="G211" s="2938"/>
      <c r="H211" s="2938"/>
      <c r="I211" s="438"/>
      <c r="J211" s="2329"/>
      <c r="K211" s="2329"/>
      <c r="L211" s="2330"/>
      <c r="M211" s="1963"/>
      <c r="N211" s="1963"/>
      <c r="O211" s="1964"/>
      <c r="Q211" s="1977" t="s">
        <v>948</v>
      </c>
      <c r="R211" s="1962"/>
      <c r="S211" s="1988"/>
    </row>
    <row r="212" spans="1:19" ht="20" customHeight="1" x14ac:dyDescent="0.45">
      <c r="A212" s="2545" t="s">
        <v>792</v>
      </c>
      <c r="B212" s="2546"/>
      <c r="C212" s="2546"/>
      <c r="D212" s="2546"/>
      <c r="E212" s="2546"/>
      <c r="F212" s="2546"/>
      <c r="G212" s="2546"/>
      <c r="H212" s="2546"/>
      <c r="I212" s="438"/>
      <c r="J212" s="2329"/>
      <c r="K212" s="2329"/>
      <c r="L212" s="2330"/>
      <c r="M212" s="1965" t="s">
        <v>944</v>
      </c>
      <c r="O212" s="1969"/>
      <c r="P212" s="1338" t="s">
        <v>949</v>
      </c>
      <c r="Q212" s="1992" t="s">
        <v>318</v>
      </c>
      <c r="R212" s="1969" t="s">
        <v>319</v>
      </c>
      <c r="S212" s="1969"/>
    </row>
    <row r="213" spans="1:19" ht="17.850000000000001" customHeight="1" thickBot="1" x14ac:dyDescent="0.55000000000000004">
      <c r="A213" s="2338" t="s">
        <v>793</v>
      </c>
      <c r="B213" s="2939"/>
      <c r="C213" s="2940"/>
      <c r="D213" s="2875"/>
      <c r="E213" s="2876"/>
      <c r="F213" s="2877"/>
      <c r="G213" s="712" t="str">
        <f>G208</f>
        <v>frei</v>
      </c>
      <c r="H213" s="956" t="str">
        <f>H208</f>
        <v>pflichtig</v>
      </c>
      <c r="I213" s="438"/>
      <c r="L213" s="216"/>
      <c r="M213" s="1338" t="s">
        <v>1107</v>
      </c>
      <c r="O213" s="2020">
        <f ca="1">(SUM(C68:C69)/C67)</f>
        <v>2.5600000000000001E-2</v>
      </c>
      <c r="P213" s="2021">
        <f ca="1">O215</f>
        <v>2.5600000000000001E-2</v>
      </c>
      <c r="Q213" s="2022">
        <f ca="1">$F221*G220/$C$95</f>
        <v>3.6999999999999998E-2</v>
      </c>
      <c r="R213" s="2022">
        <f ca="1">$F221*H220/$C$95</f>
        <v>7.8E-2</v>
      </c>
      <c r="S213" s="1969" t="s">
        <v>413</v>
      </c>
    </row>
    <row r="214" spans="1:19" ht="17.850000000000001" customHeight="1" thickTop="1" thickBot="1" x14ac:dyDescent="0.5">
      <c r="A214" s="2713"/>
      <c r="B214" s="2714"/>
      <c r="C214" s="2714"/>
      <c r="D214" s="2965" t="s">
        <v>794</v>
      </c>
      <c r="E214" s="2965"/>
      <c r="F214" s="2966"/>
      <c r="G214" s="949"/>
      <c r="H214" s="959"/>
      <c r="I214" s="576" t="str">
        <f>IF(OR(H214&lt;&gt;0,G214&lt;&gt;0),"X","")</f>
        <v/>
      </c>
      <c r="J214" s="271" t="str">
        <f>IF(OR(AND(A214="",SUM(G214,H214)&gt;0),AND(A214&lt;&gt;"",SUM(G214,H214)=0)),"Eingabe unvollständig (ergänzen oder löschen)!","")</f>
        <v/>
      </c>
      <c r="L214" s="216"/>
      <c r="M214" s="1338" t="s">
        <v>945</v>
      </c>
      <c r="O214" s="2020">
        <f ca="1">C68/C67</f>
        <v>0</v>
      </c>
      <c r="P214" s="2021">
        <f>O216</f>
        <v>0</v>
      </c>
      <c r="Q214" s="2022">
        <f ca="1">$P217*G220/$C$95</f>
        <v>3.6999999999999998E-2</v>
      </c>
      <c r="R214" s="2022">
        <f ca="1">$P217*H220/$C$95</f>
        <v>7.8E-2</v>
      </c>
      <c r="S214" s="1978" t="s">
        <v>950</v>
      </c>
    </row>
    <row r="215" spans="1:19" ht="17.850000000000001" customHeight="1" x14ac:dyDescent="0.45">
      <c r="A215" s="2682" t="str">
        <f>"Die abgabepflichtigen Entgelte in Hv "&amp;TEXT(H214,"0,00€")&amp;" unterliegen zu "</f>
        <v xml:space="preserve">Die abgabepflichtigen Entgelte in Hv 0,00€ unterliegen zu </v>
      </c>
      <c r="B215" s="2683"/>
      <c r="C215" s="2683"/>
      <c r="D215" s="2683"/>
      <c r="E215" s="2683"/>
      <c r="F215" s="759"/>
      <c r="G215" s="2686" t="s">
        <v>676</v>
      </c>
      <c r="H215" s="2686"/>
      <c r="I215" s="576"/>
      <c r="J215" s="271"/>
      <c r="L215" s="216"/>
      <c r="M215" s="1338" t="s">
        <v>946</v>
      </c>
      <c r="O215" s="2020">
        <f ca="1">C69/C67</f>
        <v>2.5600000000000001E-2</v>
      </c>
      <c r="P215" s="2021">
        <f ca="1">O215</f>
        <v>2.5600000000000001E-2</v>
      </c>
    </row>
    <row r="216" spans="1:19" ht="17.850000000000001" customHeight="1" x14ac:dyDescent="0.45">
      <c r="A216" s="2320"/>
      <c r="B216" s="2321"/>
      <c r="C216" s="2321"/>
      <c r="D216" s="2321"/>
      <c r="E216" s="2321"/>
      <c r="F216" s="2321"/>
      <c r="G216" s="2321"/>
      <c r="H216" s="2321"/>
      <c r="I216" s="576"/>
      <c r="J216" s="271"/>
      <c r="L216" s="216"/>
      <c r="M216" s="1338" t="s">
        <v>947</v>
      </c>
      <c r="O216" s="2020">
        <v>0</v>
      </c>
      <c r="P216" s="2021">
        <f>O216</f>
        <v>0</v>
      </c>
    </row>
    <row r="217" spans="1:19" ht="17.850000000000001" customHeight="1" x14ac:dyDescent="0.45">
      <c r="A217" s="2350"/>
      <c r="B217" s="2351"/>
      <c r="C217" s="2351"/>
      <c r="D217" s="2351"/>
      <c r="E217" s="2351"/>
      <c r="F217" s="2351"/>
      <c r="G217" s="2351"/>
      <c r="H217" s="2351"/>
      <c r="I217" s="438"/>
      <c r="L217" s="216"/>
      <c r="P217" s="2003">
        <f ca="1">VLOOKUP(C221,M213:P216,4,FALSE)</f>
        <v>2.5600000000000001E-2</v>
      </c>
    </row>
    <row r="218" spans="1:19" ht="20" customHeight="1" x14ac:dyDescent="0.45">
      <c r="A218" s="2346" t="s">
        <v>955</v>
      </c>
      <c r="B218" s="2347"/>
      <c r="C218" s="2347"/>
      <c r="D218" s="2347"/>
      <c r="E218" s="2347"/>
      <c r="F218" s="2347"/>
      <c r="G218" s="2347"/>
      <c r="H218" s="2347"/>
      <c r="I218" s="438"/>
      <c r="L218" s="216"/>
      <c r="M218" s="2023" t="s">
        <v>885</v>
      </c>
      <c r="N218" s="1963"/>
      <c r="O218" s="1964">
        <f ca="1">E55/E45</f>
        <v>2.5000000000000001E-2</v>
      </c>
    </row>
    <row r="219" spans="1:19" ht="20" customHeight="1" thickBot="1" x14ac:dyDescent="0.5">
      <c r="A219" s="45"/>
      <c r="B219" s="962"/>
      <c r="C219" s="962"/>
      <c r="D219" s="962"/>
      <c r="E219" s="962"/>
      <c r="F219" s="962"/>
      <c r="G219" s="712" t="s">
        <v>318</v>
      </c>
      <c r="H219" s="1110" t="s">
        <v>319</v>
      </c>
      <c r="I219" s="438"/>
      <c r="L219" s="216"/>
      <c r="N219" s="1338" t="s">
        <v>318</v>
      </c>
      <c r="O219" s="2024">
        <f ca="1">G224*O218</f>
        <v>1.58</v>
      </c>
    </row>
    <row r="220" spans="1:19" ht="17.850000000000001" customHeight="1" thickTop="1" x14ac:dyDescent="0.45">
      <c r="A220" s="2956" t="s">
        <v>887</v>
      </c>
      <c r="B220" s="2957"/>
      <c r="C220" s="2957"/>
      <c r="D220" s="2957"/>
      <c r="E220" s="2957"/>
      <c r="F220" s="2957"/>
      <c r="G220" s="51">
        <f ca="1">SUM(G178,G189,G200,G209,G214)</f>
        <v>58.55</v>
      </c>
      <c r="H220" s="84">
        <f ca="1">SUM(H178,H189,H200,H209,H214)</f>
        <v>121.33</v>
      </c>
      <c r="I220" s="438"/>
      <c r="L220" s="216"/>
      <c r="M220" s="1971"/>
      <c r="N220" s="2025" t="s">
        <v>886</v>
      </c>
      <c r="O220" s="2026">
        <f ca="1">H224*O218</f>
        <v>3.27</v>
      </c>
    </row>
    <row r="221" spans="1:19" ht="17.850000000000001" customHeight="1" thickBot="1" x14ac:dyDescent="0.5">
      <c r="A221" s="2428" t="str">
        <f ca="1">IF(G72&lt;&gt;0,"E6.a) Zuschlag für B2:  ↓","E6.a) Nicht relevant (B2=0)")</f>
        <v>E6.a) Zuschlag für B2:  ↓</v>
      </c>
      <c r="B221" s="2429"/>
      <c r="C221" s="2424" t="s">
        <v>961</v>
      </c>
      <c r="D221" s="2424"/>
      <c r="E221" s="2425"/>
      <c r="F221" s="963">
        <f ca="1">IFERROR(VLOOKUP(C221,M213:O216,3,FALSE),M283)</f>
        <v>2.5600000000000001E-2</v>
      </c>
      <c r="G221" s="354">
        <f ca="1">F221*G220</f>
        <v>1.5</v>
      </c>
      <c r="H221" s="569">
        <f ca="1">F221*H220</f>
        <v>3.11</v>
      </c>
      <c r="I221" s="438"/>
      <c r="J221" s="2426"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426"/>
      <c r="L221" s="2427"/>
      <c r="M221" s="1338"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2,5% bzw ein Betrag abgabefrei in Hv 1,58€ abgabepflichtig in Hv 3,27€
erforderlich. Gegebenenfalls diese Beträge oder, wenn nur Teile von E1 bis E5 zutreffen anteilig, unter Pkt E6.c eintragen.</v>
      </c>
    </row>
    <row r="222" spans="1:19" ht="17.850000000000001" customHeight="1" x14ac:dyDescent="0.45">
      <c r="A222" s="2682" t="s">
        <v>797</v>
      </c>
      <c r="B222" s="2683"/>
      <c r="C222" s="2683"/>
      <c r="D222" s="2683"/>
      <c r="E222" s="2683"/>
      <c r="F222" s="2684"/>
      <c r="G222" s="51">
        <f ca="1">SUM(G220:G221)</f>
        <v>60.05</v>
      </c>
      <c r="H222" s="73">
        <f ca="1">SUM(H220:H221)</f>
        <v>124.44</v>
      </c>
      <c r="I222" s="438"/>
      <c r="J222" s="2426"/>
      <c r="K222" s="2426"/>
      <c r="L222" s="2427"/>
    </row>
    <row r="223" spans="1:19" ht="17.850000000000001" customHeight="1" thickBot="1" x14ac:dyDescent="0.5">
      <c r="A223" s="2605" t="s">
        <v>799</v>
      </c>
      <c r="B223" s="2606"/>
      <c r="C223" s="2606"/>
      <c r="D223" s="2606"/>
      <c r="E223" s="2607"/>
      <c r="F223" s="964">
        <v>0.05</v>
      </c>
      <c r="G223" s="60">
        <f ca="1">F223*G222</f>
        <v>3</v>
      </c>
      <c r="H223" s="960">
        <f ca="1">F223*H222</f>
        <v>6.22</v>
      </c>
      <c r="I223" s="576" t="str">
        <f>IF(F223&lt;&gt;0,"X","")</f>
        <v>X</v>
      </c>
      <c r="J223" s="2426"/>
      <c r="K223" s="2426"/>
      <c r="L223" s="2427"/>
    </row>
    <row r="224" spans="1:19" ht="17.850000000000001" customHeight="1" x14ac:dyDescent="0.45">
      <c r="A224" s="2682" t="s">
        <v>798</v>
      </c>
      <c r="B224" s="2683"/>
      <c r="C224" s="2683"/>
      <c r="D224" s="2683"/>
      <c r="E224" s="2683"/>
      <c r="F224" s="2684"/>
      <c r="G224" s="51">
        <f ca="1">SUM(G222,G223)</f>
        <v>63.05</v>
      </c>
      <c r="H224" s="73">
        <f ca="1">SUM(H222,H223)</f>
        <v>130.66</v>
      </c>
      <c r="I224" s="576"/>
      <c r="J224" s="2426"/>
      <c r="K224" s="2426"/>
      <c r="L224" s="2427"/>
      <c r="M224" s="2027" t="s">
        <v>587</v>
      </c>
      <c r="N224" s="2027"/>
      <c r="O224" s="2027"/>
      <c r="P224" s="2027"/>
      <c r="Q224" s="2028"/>
    </row>
    <row r="225" spans="1:19" ht="17.850000000000001" customHeight="1" thickBot="1" x14ac:dyDescent="0.5">
      <c r="A225" s="2605" t="s">
        <v>943</v>
      </c>
      <c r="B225" s="2606"/>
      <c r="C225" s="2606"/>
      <c r="D225" s="2607"/>
      <c r="E225" s="965"/>
      <c r="F225" s="965"/>
      <c r="G225" s="60">
        <f ca="1">IF(G224=0,0,E225)</f>
        <v>0</v>
      </c>
      <c r="H225" s="569">
        <f ca="1">IF(H224=0,0,F225)</f>
        <v>0</v>
      </c>
      <c r="I225" s="576" t="str">
        <f>IF(OR(E225&lt;&gt;0,F225&lt;&gt;0),"X","")</f>
        <v/>
      </c>
      <c r="J225" s="2426"/>
      <c r="K225" s="2426"/>
      <c r="L225" s="2427"/>
      <c r="M225" s="517" t="s">
        <v>88</v>
      </c>
      <c r="N225" s="517"/>
      <c r="O225" s="517" t="s">
        <v>581</v>
      </c>
      <c r="P225" s="517" t="s">
        <v>582</v>
      </c>
      <c r="Q225" s="2029"/>
    </row>
    <row r="226" spans="1:19" ht="17.850000000000001" customHeight="1" thickBot="1" x14ac:dyDescent="0.5">
      <c r="A226" s="2967" t="s">
        <v>796</v>
      </c>
      <c r="B226" s="2968"/>
      <c r="C226" s="2968"/>
      <c r="D226" s="2968"/>
      <c r="E226" s="2968"/>
      <c r="F226" s="2969"/>
      <c r="G226" s="349">
        <f ca="1">SUM(G224:G225)</f>
        <v>63.05</v>
      </c>
      <c r="H226" s="520">
        <f ca="1">SUM(H224:H225)</f>
        <v>130.66</v>
      </c>
      <c r="I226" s="438"/>
      <c r="J226" s="2306" t="str">
        <f ca="1">IF(OR(AND(G224=0,E225&lt;&gt;0),AND(H224=0,F225&lt;&gt;0)),"Zu E6.c: Keine Anpassung ohne Grundkalkulation (bzw Wert =0)!","")</f>
        <v/>
      </c>
      <c r="K226" s="2306"/>
      <c r="L226" s="2307"/>
      <c r="M226" s="517" t="s">
        <v>580</v>
      </c>
      <c r="N226" s="2030">
        <f ca="1">IFERROR(O226/O$231,0)</f>
        <v>0.373</v>
      </c>
      <c r="O226" s="2031">
        <f ca="1">H178</f>
        <v>45.2</v>
      </c>
      <c r="P226" s="2032">
        <f>F179</f>
        <v>1</v>
      </c>
      <c r="Q226" s="2033">
        <f ca="1">N226*P226</f>
        <v>0.373</v>
      </c>
    </row>
    <row r="227" spans="1:19" ht="17.850000000000001" customHeight="1" x14ac:dyDescent="0.45">
      <c r="A227" s="1880" t="str">
        <f ca="1">"E) Ergebnis Abgabefrei (K3 Z 11) bei "&amp;TEXT(C95,"0,00")&amp;" Std/Wo in € pro Std"</f>
        <v>E) Ergebnis Abgabefrei (K3 Z 11) bei 40,00 Std/Wo in € pro Std</v>
      </c>
      <c r="B227" s="1881"/>
      <c r="C227" s="1881"/>
      <c r="D227" s="1881"/>
      <c r="E227" s="1881"/>
      <c r="F227" s="1882" t="s">
        <v>1088</v>
      </c>
      <c r="G227" s="1205">
        <f ca="1">IFERROR(IF(F227=Q35,ROUNDUP(G226/C95,1),G226/C95),"?")</f>
        <v>1.6</v>
      </c>
      <c r="H227" s="961"/>
      <c r="I227" s="438"/>
      <c r="J227" s="1202"/>
      <c r="K227" s="1202"/>
      <c r="L227" s="1203"/>
      <c r="M227" s="517" t="s">
        <v>583</v>
      </c>
      <c r="N227" s="2030">
        <f t="shared" ref="N227:N230" ca="1" si="31">IFERROR(O227/O$231,0)</f>
        <v>0</v>
      </c>
      <c r="O227" s="2034">
        <f ca="1">H189</f>
        <v>0</v>
      </c>
      <c r="P227" s="2032">
        <f>F190</f>
        <v>0</v>
      </c>
      <c r="Q227" s="2033">
        <f ca="1">N227*P227</f>
        <v>0</v>
      </c>
    </row>
    <row r="228" spans="1:19" ht="17.850000000000001" customHeight="1" thickBot="1" x14ac:dyDescent="0.5">
      <c r="A228" s="2428" t="str">
        <f ca="1">"E) Ergebnis Abgabepflichtig (K3 Z 9) bei "&amp;TEXT(C95,"0,00")&amp;" Std/Wo in € pro Std"</f>
        <v>E) Ergebnis Abgabepflichtig (K3 Z 9) bei 40,00 Std/Wo in € pro Std</v>
      </c>
      <c r="B228" s="2429"/>
      <c r="C228" s="2429"/>
      <c r="D228" s="2429"/>
      <c r="E228" s="2958"/>
      <c r="F228" s="1882" t="s">
        <v>1088</v>
      </c>
      <c r="G228" s="589"/>
      <c r="H228" s="1204">
        <f ca="1">IFERROR(IF(F228=Q35,ROUNDUP(H226/C95,1),H226/C95),"?")</f>
        <v>3.3</v>
      </c>
      <c r="I228" s="438"/>
      <c r="J228" s="1202"/>
      <c r="K228" s="1202"/>
      <c r="L228" s="1203"/>
      <c r="M228" s="517" t="s">
        <v>584</v>
      </c>
      <c r="N228" s="2030">
        <f t="shared" ca="1" si="31"/>
        <v>0</v>
      </c>
      <c r="O228" s="2034">
        <f ca="1">H200</f>
        <v>0</v>
      </c>
      <c r="P228" s="2032">
        <f>F201</f>
        <v>0</v>
      </c>
      <c r="Q228" s="2033">
        <f ca="1">N228*P228</f>
        <v>0</v>
      </c>
    </row>
    <row r="229" spans="1:19" ht="17.850000000000001" customHeight="1" x14ac:dyDescent="0.45">
      <c r="A229" s="564" t="s">
        <v>1091</v>
      </c>
      <c r="B229" s="446"/>
      <c r="C229" s="446"/>
      <c r="D229" s="446"/>
      <c r="E229" s="446"/>
      <c r="F229" s="446"/>
      <c r="G229" s="660">
        <f ca="1">IFERROR(IF(F227=Q35,ROUNDUP((G226-G177-G221-G223)/C95,1),(G226-G177-G221-G223)/C95),"?")</f>
        <v>1.5</v>
      </c>
      <c r="H229" s="660">
        <f ca="1">IFERROR(IF(F228=Q35,ROUNDUP((H226-H221-H223)/C95,1),(H226-H221-H223)/C95),"?")</f>
        <v>3.1</v>
      </c>
      <c r="I229" s="438"/>
      <c r="L229" s="216"/>
      <c r="M229" s="517" t="s">
        <v>806</v>
      </c>
      <c r="N229" s="2030">
        <f t="shared" ca="1" si="31"/>
        <v>0.627</v>
      </c>
      <c r="O229" s="2031">
        <f ca="1">IF(H209="",0,H209)</f>
        <v>76.13</v>
      </c>
      <c r="P229" s="2032">
        <f>F210</f>
        <v>1</v>
      </c>
      <c r="Q229" s="2033">
        <f ca="1">N229*P229</f>
        <v>0.627</v>
      </c>
    </row>
    <row r="230" spans="1:19" ht="20" customHeight="1" x14ac:dyDescent="0.45">
      <c r="A230" s="2643" t="str">
        <f ca="1">A74</f>
        <v>Info: KV &amp; up.Z: 18,17€ | abgabepfl. Pers.ko: 25,23€ | vor Uml: 51,19€ | KOSTEN: 56,83€ | PREIS: 72,74€</v>
      </c>
      <c r="B230" s="2644"/>
      <c r="C230" s="2644"/>
      <c r="D230" s="2644"/>
      <c r="E230" s="2644"/>
      <c r="F230" s="2644"/>
      <c r="G230" s="2644"/>
      <c r="H230" s="2644"/>
      <c r="I230" s="438"/>
      <c r="L230" s="216"/>
      <c r="M230" s="517" t="s">
        <v>807</v>
      </c>
      <c r="N230" s="2030">
        <f t="shared" ca="1" si="31"/>
        <v>0</v>
      </c>
      <c r="O230" s="2034">
        <f>IFERROR(H214,0)</f>
        <v>0</v>
      </c>
      <c r="P230" s="2032">
        <f>F215</f>
        <v>0</v>
      </c>
      <c r="Q230" s="2033">
        <f ca="1">N230*P230</f>
        <v>0</v>
      </c>
    </row>
    <row r="231" spans="1:19" ht="17.850000000000001" customHeight="1" x14ac:dyDescent="0.45">
      <c r="A231" s="2311"/>
      <c r="B231" s="2312"/>
      <c r="C231" s="2312"/>
      <c r="D231" s="2312"/>
      <c r="E231" s="2312"/>
      <c r="F231" s="2312"/>
      <c r="G231" s="2312"/>
      <c r="H231" s="2312"/>
      <c r="I231" s="2312"/>
      <c r="L231" s="216"/>
      <c r="M231" s="2035" t="s">
        <v>375</v>
      </c>
      <c r="N231" s="2035"/>
      <c r="O231" s="2036">
        <f ca="1">SUM(O226:O230)</f>
        <v>121.33</v>
      </c>
      <c r="P231" s="2035"/>
      <c r="Q231" s="2037">
        <f ca="1">SUM(Q226:Q230)</f>
        <v>1</v>
      </c>
    </row>
    <row r="232" spans="1:19" ht="25.15" customHeight="1" x14ac:dyDescent="0.45">
      <c r="A232" s="2372" t="s">
        <v>502</v>
      </c>
      <c r="B232" s="2373"/>
      <c r="C232" s="2373"/>
      <c r="D232" s="2373"/>
      <c r="E232" s="2373"/>
      <c r="F232" s="2373"/>
      <c r="G232" s="2373"/>
      <c r="H232" s="2373"/>
      <c r="I232" s="438"/>
      <c r="L232" s="216"/>
      <c r="M232" s="517"/>
      <c r="N232" s="517"/>
      <c r="O232" s="517"/>
      <c r="P232" s="517"/>
      <c r="Q232" s="2029"/>
    </row>
    <row r="233" spans="1:19" ht="20" customHeight="1" x14ac:dyDescent="0.45">
      <c r="A233" s="1182" t="s">
        <v>503</v>
      </c>
      <c r="B233" s="587"/>
      <c r="C233" s="587"/>
      <c r="D233" s="1091"/>
      <c r="E233" s="1091"/>
      <c r="F233" s="1091"/>
      <c r="G233" s="1091"/>
      <c r="H233" s="1091"/>
      <c r="I233" s="438"/>
      <c r="L233" s="216"/>
      <c r="M233" s="517"/>
      <c r="N233" s="2038" t="s">
        <v>585</v>
      </c>
      <c r="O233" s="2038"/>
      <c r="P233" s="2039">
        <f ca="1">Q231</f>
        <v>1</v>
      </c>
      <c r="Q233" s="2029"/>
    </row>
    <row r="234" spans="1:19" ht="17.850000000000001" customHeight="1" x14ac:dyDescent="0.45">
      <c r="A234" s="2708" t="str">
        <f ca="1">"F1.a) Direkte Personalnebenkosten (DPNK) gem Stamm-/Quelldaten (Basis "&amp;TEXT(Stammdaten!I9,"TT.MM.JJJJ")&amp;")"</f>
        <v>F1.a) Direkte Personalnebenkosten (DPNK) gem Stamm-/Quelldaten (Basis 01.01.2025)</v>
      </c>
      <c r="B234" s="2709"/>
      <c r="C234" s="2709"/>
      <c r="D234" s="2709"/>
      <c r="E234" s="2709"/>
      <c r="F234" s="2709"/>
      <c r="G234" s="2710"/>
      <c r="H234" s="995">
        <f ca="1">IFERROR(Stammdaten!B151,"")</f>
        <v>0.30270000000000002</v>
      </c>
      <c r="I234" s="438"/>
      <c r="J234" s="2303" t="str">
        <f ca="1">IF((TODAY()-Stammdaten!I9)&gt;365,"Daten in der Quelldatei (Blatt DPNK) sind offenbar älter als 1 Jahr. Auf Aktualität prüfen und die Datumsangabe aktualisieren (in der Quelldatei, Blatt DPNK)!","")</f>
        <v/>
      </c>
      <c r="K234" s="2303"/>
      <c r="L234" s="2310"/>
      <c r="M234" s="2040" t="s">
        <v>17</v>
      </c>
      <c r="N234" s="2041" t="s">
        <v>586</v>
      </c>
      <c r="O234" s="2041"/>
      <c r="P234" s="2042">
        <f ca="1">1-P233</f>
        <v>0</v>
      </c>
      <c r="Q234" s="2043"/>
      <c r="R234" s="1338" t="s">
        <v>816</v>
      </c>
      <c r="S234" s="1339">
        <f ca="1">M235-N235</f>
        <v>21.93</v>
      </c>
    </row>
    <row r="235" spans="1:19" ht="17.850000000000001" customHeight="1" thickBot="1" x14ac:dyDescent="0.5">
      <c r="A235" s="2568" t="s">
        <v>805</v>
      </c>
      <c r="B235" s="2569"/>
      <c r="C235" s="2569"/>
      <c r="D235" s="2569"/>
      <c r="E235" s="2569"/>
      <c r="F235" s="2569"/>
      <c r="G235" s="2570"/>
      <c r="H235" s="996"/>
      <c r="I235" s="576" t="str">
        <f>IF(H235&lt;&gt;0,"X","")</f>
        <v/>
      </c>
      <c r="J235" s="2303"/>
      <c r="K235" s="2303"/>
      <c r="L235" s="2310"/>
      <c r="M235" s="2044">
        <f ca="1">' K3 PP'!O28</f>
        <v>25.23</v>
      </c>
      <c r="N235" s="2045">
        <f ca="1">' K3 PP'!O27</f>
        <v>3.3</v>
      </c>
      <c r="O235" s="517" t="s">
        <v>814</v>
      </c>
      <c r="P235" s="2046">
        <f ca="1">N235*P233</f>
        <v>3.3</v>
      </c>
      <c r="Q235" s="2046">
        <f ca="1">M235-N235+P235</f>
        <v>25.23</v>
      </c>
      <c r="R235" s="1338" t="s">
        <v>817</v>
      </c>
      <c r="S235" s="1339">
        <f ca="1">S234+P235</f>
        <v>25.23</v>
      </c>
    </row>
    <row r="236" spans="1:19" ht="17.850000000000001" customHeight="1" x14ac:dyDescent="0.45">
      <c r="A236" s="2324" t="str">
        <f ca="1">IFERROR("F1) Ergebnis Direkte Personalnebenkosten (K3 Zeile 12) "&amp;TEXT(' K3 PP'!O30,"0,00€")&amp;" bzw in %",KALKULATION!M286)</f>
        <v>F1) Ergebnis Direkte Personalnebenkosten (K3 Zeile 12) 7,64€ bzw in %</v>
      </c>
      <c r="B236" s="2325"/>
      <c r="C236" s="2325"/>
      <c r="D236" s="2325"/>
      <c r="E236" s="2325"/>
      <c r="F236" s="2325"/>
      <c r="G236" s="2325"/>
      <c r="H236" s="578">
        <f ca="1">IF(_OK?="OK!",SUM(H234:H235),ROUND(H234,2))</f>
        <v>0.30270000000000002</v>
      </c>
      <c r="I236" s="438"/>
      <c r="J236" s="2308" t="str">
        <f>IF(H235="","","Hinweis: DPNK lassen sich genau bestimmen/nachrechnen!")</f>
        <v/>
      </c>
      <c r="K236" s="2308"/>
      <c r="L236" s="2309"/>
      <c r="M236" s="2043" t="s">
        <v>812</v>
      </c>
      <c r="N236" s="2047" t="s">
        <v>813</v>
      </c>
      <c r="O236" s="517" t="s">
        <v>815</v>
      </c>
      <c r="P236" s="2046">
        <f ca="1">N235*P234</f>
        <v>0</v>
      </c>
      <c r="Q236" s="2046">
        <f ca="1">M235-N235+P236</f>
        <v>21.93</v>
      </c>
      <c r="R236" s="1338" t="s">
        <v>818</v>
      </c>
      <c r="S236" s="1339">
        <f ca="1">S235+P236</f>
        <v>25.23</v>
      </c>
    </row>
    <row r="237" spans="1:19" ht="20" customHeight="1" x14ac:dyDescent="0.45">
      <c r="A237" s="2668"/>
      <c r="B237" s="2669"/>
      <c r="C237" s="2669"/>
      <c r="D237" s="2669"/>
      <c r="E237" s="2669"/>
      <c r="F237" s="2669"/>
      <c r="G237" s="2669"/>
      <c r="H237" s="2669"/>
      <c r="I237" s="438"/>
      <c r="J237" s="271" t="str">
        <f ca="1">IF(_OK?&lt;&gt;"OK!","Wegen fehlender Lizenz aufgerundet!","")</f>
        <v/>
      </c>
      <c r="L237" s="216"/>
    </row>
    <row r="238" spans="1:19" ht="20" customHeight="1" x14ac:dyDescent="0.45">
      <c r="A238" s="1182" t="s">
        <v>504</v>
      </c>
      <c r="B238" s="587"/>
      <c r="C238" s="587"/>
      <c r="D238" s="587"/>
      <c r="E238" s="587"/>
      <c r="F238" s="587"/>
      <c r="G238" s="587"/>
      <c r="H238" s="587"/>
      <c r="I238" s="438"/>
      <c r="J238" s="2329" t="str">
        <f ca="1">IFERROR(IF(H239-Stammdaten!C160&lt;&gt;0,"Hinweis: Wert aus der Quelldatei ist im Blatt STAMMDATEN individuell geändert!",""),"Stammdaten unvollständig / Quelldatei nicht verknüpft!")</f>
        <v/>
      </c>
      <c r="K238" s="2329"/>
      <c r="L238" s="2330"/>
      <c r="M238" s="2352" t="str">
        <f ca="1">"Zu F2.b1) Das abgabepfl. Entgelt gem K3-Blatt (Z 10) beträgt "&amp;TEXT(M235,"0,00€")&amp;". Darin sind abgabepfl. Entschädigungen nach den Ansätzen in Pkt E in Hv "&amp;TEXT(N235,"0,00€")&amp;" enthalten. "</f>
        <v xml:space="preserve">Zu F2.b1) Das abgabepfl. Entgelt gem K3-Blatt (Z 10) beträgt 25,23€. Darin sind abgabepfl. Entschädigungen nach den Ansätzen in Pkt E in Hv 3,30€ enthalten. </v>
      </c>
      <c r="N238" s="2352"/>
      <c r="O238" s="2352"/>
      <c r="P238" s="2352"/>
      <c r="Q238" s="2352"/>
    </row>
    <row r="239" spans="1:19" ht="17.25" customHeight="1" x14ac:dyDescent="0.45">
      <c r="A239" s="2285" t="s">
        <v>371</v>
      </c>
      <c r="B239" s="2286"/>
      <c r="C239" s="2286"/>
      <c r="D239" s="2286"/>
      <c r="E239" s="2286"/>
      <c r="F239" s="2286"/>
      <c r="G239" s="2286"/>
      <c r="H239" s="1007">
        <f ca="1">Stammdaten!E160</f>
        <v>0.83630000000000004</v>
      </c>
      <c r="I239" s="438"/>
      <c r="J239" s="2329"/>
      <c r="K239" s="2329"/>
      <c r="L239" s="2330"/>
      <c r="M239" s="2352"/>
      <c r="N239" s="2352"/>
      <c r="O239" s="2352"/>
      <c r="P239" s="2352"/>
      <c r="Q239" s="2352"/>
    </row>
    <row r="240" spans="1:19" ht="17.850000000000001" customHeight="1" x14ac:dyDescent="0.45">
      <c r="A240" s="45"/>
      <c r="I240" s="438"/>
      <c r="J240" s="2353" t="str">
        <f>IF(G242=_Nein,"Hinweis zu F2.a): Mehrarbeit schafft für Teile der UPNK eine größere Basis. Sind die UPNK nach einer Musterberechnung (die auf KollV-Normalarbeitszeit fußt) ermittelt, sollte die Anpassung der UPNK gewählt werden.","")</f>
        <v/>
      </c>
      <c r="K240" s="2353"/>
      <c r="L240" s="2354"/>
      <c r="M240" s="2352"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(25,23€/25,23€) 1,0000 abgemindert werden. Diese Abminderung ist für UPNK, die nach einer Musterberechnung ermittelt sind, relevant. Sind die UPNK aus der eigenen Kostenrechnung ermittelt, ist zu prüfen, welche Basis dieser Ermittlung zugrunde gelegt wurde.</v>
      </c>
      <c r="N240" s="2352"/>
      <c r="O240" s="2352"/>
      <c r="P240" s="2352"/>
      <c r="Q240" s="2352"/>
    </row>
    <row r="241" spans="1:17" ht="17.850000000000001" customHeight="1" x14ac:dyDescent="0.45">
      <c r="A241" s="2346" t="str">
        <f ca="1">"F2 …) Festlegungen für eine allfällig erforderliche Anpassung der UPNK in Hv "&amp;TEXT(H239,"0,00%")</f>
        <v>F2 …) Festlegungen für eine allfällig erforderliche Anpassung der UPNK in Hv 83,63%</v>
      </c>
      <c r="B241" s="2347"/>
      <c r="C241" s="2347"/>
      <c r="D241" s="2347"/>
      <c r="E241" s="2347"/>
      <c r="F241" s="2347"/>
      <c r="G241" s="2347"/>
      <c r="H241" s="2347"/>
      <c r="I241" s="438"/>
      <c r="J241" s="2353"/>
      <c r="K241" s="2353"/>
      <c r="L241" s="2354"/>
      <c r="M241" s="2352"/>
      <c r="N241" s="2352"/>
      <c r="O241" s="2352"/>
      <c r="P241" s="2352"/>
      <c r="Q241" s="2352"/>
    </row>
    <row r="242" spans="1:17" ht="17.850000000000001" customHeight="1" x14ac:dyDescent="0.45">
      <c r="A242" s="2346" t="s">
        <v>505</v>
      </c>
      <c r="B242" s="2347"/>
      <c r="C242" s="2624"/>
      <c r="D242" s="2970" t="str">
        <f ca="1">IF(C95-C87=0,"Info: Keine Mehrarbeit kalkuliert!","Berücksichtige? (Ja/Nein): ↓")</f>
        <v>Berücksichtige? (Ja/Nein): ↓</v>
      </c>
      <c r="E242" s="2970"/>
      <c r="F242" s="2971"/>
      <c r="G242" s="522" t="s">
        <v>192</v>
      </c>
      <c r="H242" s="1099" t="s">
        <v>224</v>
      </c>
      <c r="I242" s="438"/>
      <c r="J242" s="2353"/>
      <c r="K242" s="2353"/>
      <c r="L242" s="2354"/>
      <c r="M242" s="2352"/>
      <c r="N242" s="2352"/>
      <c r="O242" s="2352"/>
      <c r="P242" s="2352"/>
      <c r="Q242" s="2352"/>
    </row>
    <row r="243" spans="1:17" ht="17.850000000000001" customHeight="1" x14ac:dyDescent="0.45">
      <c r="A243" s="2947" t="s">
        <v>284</v>
      </c>
      <c r="B243" s="2948"/>
      <c r="C243" s="592">
        <f ca="1">' K3 PP'!P9</f>
        <v>38.5</v>
      </c>
      <c r="D243" s="1095" t="s">
        <v>285</v>
      </c>
      <c r="E243" s="592">
        <f ca="1">' K3 PP'!P19</f>
        <v>40</v>
      </c>
      <c r="F243" s="2955" t="s">
        <v>680</v>
      </c>
      <c r="G243" s="2955"/>
      <c r="H243" s="997">
        <f ca="1">IF(C95-C87=0,1,IF(G242=_Ja,C243/E243,1))</f>
        <v>0.96250000000000002</v>
      </c>
      <c r="I243" s="580"/>
      <c r="J243" s="2426" t="str">
        <f ca="1">IF(AND(P236=0,G245=_Ja),"
Pkt F2.b1 ist wegen der Eingaben/Einstellungen in Pkt E nicht relevant. Es erfolgt keine Anpassung.",IF(G245=_Ja,M238&amp;M240,""))</f>
        <v xml:space="preserve">
Pkt F2.b1 ist wegen der Eingaben/Einstellungen in Pkt E nicht relevant. Es erfolgt keine Anpassung.</v>
      </c>
      <c r="K243" s="2426"/>
      <c r="L243" s="2427"/>
      <c r="M243" s="2352"/>
      <c r="N243" s="2352"/>
      <c r="O243" s="2352"/>
      <c r="P243" s="2352"/>
      <c r="Q243" s="2352"/>
    </row>
    <row r="244" spans="1:17" ht="17.850000000000001" customHeight="1" x14ac:dyDescent="0.45">
      <c r="A244" s="45"/>
      <c r="I244" s="580"/>
      <c r="J244" s="2426"/>
      <c r="K244" s="2426"/>
      <c r="L244" s="2427"/>
    </row>
    <row r="245" spans="1:17" ht="17.850000000000001" customHeight="1" x14ac:dyDescent="0.45">
      <c r="A245" s="2346" t="s">
        <v>506</v>
      </c>
      <c r="B245" s="2347"/>
      <c r="C245" s="2624"/>
      <c r="D245" s="2625" t="s">
        <v>535</v>
      </c>
      <c r="E245" s="2625"/>
      <c r="F245" s="2626"/>
      <c r="G245" s="522" t="s">
        <v>192</v>
      </c>
      <c r="H245" s="998"/>
      <c r="I245" s="580"/>
      <c r="J245" s="2426"/>
      <c r="K245" s="2426"/>
      <c r="L245" s="2427"/>
    </row>
    <row r="246" spans="1:17" ht="17.850000000000001" customHeight="1" x14ac:dyDescent="0.45">
      <c r="A246" s="2517" t="s">
        <v>1069</v>
      </c>
      <c r="B246" s="2560"/>
      <c r="C246" s="2560"/>
      <c r="D246" s="2560"/>
      <c r="E246" s="2560"/>
      <c r="F246" s="2560"/>
      <c r="G246" s="2560"/>
      <c r="H246" s="2560"/>
      <c r="I246" s="580"/>
      <c r="J246" s="2426"/>
      <c r="K246" s="2426"/>
      <c r="L246" s="2427"/>
    </row>
    <row r="247" spans="1:17" ht="17.850000000000001" customHeight="1" x14ac:dyDescent="0.45">
      <c r="A247" s="1014"/>
      <c r="B247" s="1015"/>
      <c r="C247" s="1015"/>
      <c r="D247" s="1015"/>
      <c r="E247" s="1015"/>
      <c r="F247" s="661" t="s">
        <v>756</v>
      </c>
      <c r="G247" s="160"/>
      <c r="H247" s="997">
        <f ca="1">IF(G245=_Ja,S235/S236,1)</f>
        <v>1</v>
      </c>
      <c r="I247" s="580"/>
      <c r="J247" s="2426"/>
      <c r="K247" s="2426"/>
      <c r="L247" s="2427"/>
    </row>
    <row r="248" spans="1:17" ht="17.850000000000001" customHeight="1" x14ac:dyDescent="0.45">
      <c r="A248" s="45"/>
      <c r="H248" s="1015"/>
      <c r="I248" s="580"/>
      <c r="J248" s="2426"/>
      <c r="K248" s="2426"/>
      <c r="L248" s="2427"/>
    </row>
    <row r="249" spans="1:17" ht="17.850000000000001" customHeight="1" x14ac:dyDescent="0.45">
      <c r="A249" s="2634" t="s">
        <v>844</v>
      </c>
      <c r="B249" s="2635"/>
      <c r="C249" s="2635"/>
      <c r="D249" s="2635"/>
      <c r="E249" s="2635"/>
      <c r="F249" s="2635"/>
      <c r="G249" s="2635"/>
      <c r="I249" s="580"/>
      <c r="J249" s="248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Betriebe die dem BUAG unterliegen, wählen idR diese Einstellung.
Das Ergebnis der UPNK-Berechnung muss immer einem Plausibilitätscheck unterzogen werden!</v>
      </c>
      <c r="K249" s="2487"/>
      <c r="L249" s="2488"/>
    </row>
    <row r="250" spans="1:17" ht="17.850000000000001" customHeight="1" x14ac:dyDescent="0.45">
      <c r="A250" s="63" t="s">
        <v>845</v>
      </c>
      <c r="I250" s="580"/>
      <c r="J250" s="2487"/>
      <c r="K250" s="2487"/>
      <c r="L250" s="2488"/>
      <c r="M250" s="1952" t="s">
        <v>588</v>
      </c>
    </row>
    <row r="251" spans="1:17" ht="17.850000000000001" customHeight="1" x14ac:dyDescent="0.45">
      <c r="A251" s="2430" t="s">
        <v>1092</v>
      </c>
      <c r="B251" s="2431"/>
      <c r="C251" s="2431"/>
      <c r="D251" s="2431"/>
      <c r="E251" s="2432"/>
      <c r="F251" s="2990" t="s">
        <v>846</v>
      </c>
      <c r="G251" s="2990"/>
      <c r="H251" s="218">
        <f ca="1">VLOOKUP(A251,M251:O253,3,FALSE)</f>
        <v>7.06</v>
      </c>
      <c r="I251" s="580"/>
      <c r="J251" s="2487"/>
      <c r="K251" s="2487"/>
      <c r="L251" s="2488"/>
      <c r="M251" s="1338" t="s">
        <v>1092</v>
      </c>
      <c r="O251" s="1339">
        <f ca="1">SUM(' K3 PP'!O24:P26,P235)</f>
        <v>7.06</v>
      </c>
    </row>
    <row r="252" spans="1:17" ht="17.850000000000001" customHeight="1" x14ac:dyDescent="0.45">
      <c r="A252" s="2993" t="str">
        <f ca="1">"Info: Ihre Wahl ergibt ein Verhältnis v "&amp;TEXT(S235-H251,"0,00€")&amp;" zu "&amp;TEXT(S235,"0,00€")&amp;" u daher "</f>
        <v xml:space="preserve">Info: Ihre Wahl ergibt ein Verhältnis v 18,17€ zu 25,23€ u daher </v>
      </c>
      <c r="B252" s="2994"/>
      <c r="C252" s="2994"/>
      <c r="D252" s="2994"/>
      <c r="E252" s="2994"/>
      <c r="F252" s="2623" t="s">
        <v>589</v>
      </c>
      <c r="G252" s="2623"/>
      <c r="H252" s="999">
        <f ca="1">IF(G245=_Ja,(S235-H251)/S235,1)</f>
        <v>0.72019999999999995</v>
      </c>
      <c r="I252" s="580"/>
      <c r="J252" s="2487"/>
      <c r="K252" s="2487"/>
      <c r="L252" s="2488"/>
      <c r="M252" s="1338" t="s">
        <v>918</v>
      </c>
      <c r="O252" s="1339">
        <f ca="1">' K3 PP'!O26</f>
        <v>0.47</v>
      </c>
    </row>
    <row r="253" spans="1:17" ht="17.850000000000001" customHeight="1" x14ac:dyDescent="0.45">
      <c r="A253" s="2387" t="str">
        <f>IF(AND(A251=M252,SUM(H110)&gt;0),"Info: Kosten f Verrechnungsstd. (aus C2) enthalten; prüfen ob Abminderung dafür relevant ist; ggf bei F2.d1 ausgleichen!","")</f>
        <v/>
      </c>
      <c r="B253" s="2388"/>
      <c r="C253" s="2388"/>
      <c r="D253" s="2388"/>
      <c r="E253" s="2388"/>
      <c r="F253" s="2388"/>
      <c r="G253" s="2388"/>
      <c r="H253" s="2388"/>
      <c r="I253" s="580"/>
      <c r="J253" s="2487"/>
      <c r="K253" s="2487"/>
      <c r="L253" s="2488"/>
      <c r="M253" s="1338" t="s">
        <v>919</v>
      </c>
      <c r="O253" s="1339">
        <v>0</v>
      </c>
    </row>
    <row r="254" spans="1:17" ht="17.850000000000001" customHeight="1" x14ac:dyDescent="0.45">
      <c r="A254" s="499" t="s">
        <v>847</v>
      </c>
      <c r="B254" s="345"/>
      <c r="C254" s="356"/>
      <c r="I254" s="438"/>
      <c r="J254" s="2487"/>
      <c r="K254" s="2487"/>
      <c r="L254" s="2488"/>
    </row>
    <row r="255" spans="1:17" ht="17.850000000000001" customHeight="1" x14ac:dyDescent="0.45">
      <c r="A255" s="2670" t="s">
        <v>635</v>
      </c>
      <c r="B255" s="2671"/>
      <c r="C255" s="2672"/>
      <c r="D255" s="714" t="s">
        <v>145</v>
      </c>
      <c r="E255" s="714" t="s">
        <v>146</v>
      </c>
      <c r="F255" s="714" t="s">
        <v>147</v>
      </c>
      <c r="G255" s="714" t="s">
        <v>148</v>
      </c>
      <c r="H255" s="1016" t="s">
        <v>56</v>
      </c>
      <c r="I255" s="438"/>
      <c r="J255" s="2487"/>
      <c r="K255" s="2487"/>
      <c r="L255" s="2488"/>
    </row>
    <row r="256" spans="1:17" ht="17.850000000000001" customHeight="1" x14ac:dyDescent="0.45">
      <c r="A256" s="2951" t="s">
        <v>115</v>
      </c>
      <c r="B256" s="2952"/>
      <c r="C256" s="2953"/>
      <c r="D256" s="1017">
        <f ca="1">Stammdaten!E156</f>
        <v>0.2331</v>
      </c>
      <c r="E256" s="1017">
        <f ca="1">Stammdaten!E157</f>
        <v>0</v>
      </c>
      <c r="F256" s="1017">
        <f ca="1">Stammdaten!E158</f>
        <v>0</v>
      </c>
      <c r="G256" s="1017">
        <f ca="1">Stammdaten!E159</f>
        <v>0.60319999999999996</v>
      </c>
      <c r="H256" s="1018">
        <f ca="1">SUM(D256:G256)</f>
        <v>0.83630000000000004</v>
      </c>
      <c r="I256" s="576"/>
      <c r="J256" s="2295"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295"/>
      <c r="L256" s="2296"/>
    </row>
    <row r="257" spans="1:13" ht="17.850000000000001" customHeight="1" x14ac:dyDescent="0.45">
      <c r="A257" s="1102" t="str">
        <f>F247</f>
        <v>f2: Faktor abgabepfl. E.</v>
      </c>
      <c r="B257" s="1103"/>
      <c r="C257" s="1104"/>
      <c r="D257" s="1019">
        <f ca="1">$H247</f>
        <v>1</v>
      </c>
      <c r="E257" s="1020">
        <f ca="1">D257</f>
        <v>1</v>
      </c>
      <c r="F257" s="1020">
        <f ca="1">E257</f>
        <v>1</v>
      </c>
      <c r="G257" s="1020">
        <f ca="1">F257</f>
        <v>1</v>
      </c>
      <c r="H257" s="1021"/>
      <c r="I257" s="576"/>
      <c r="J257" s="2295"/>
      <c r="K257" s="2295"/>
      <c r="L257" s="2296"/>
    </row>
    <row r="258" spans="1:13" ht="17.850000000000001" customHeight="1" x14ac:dyDescent="0.45">
      <c r="A258" s="2463" t="str">
        <f>F243</f>
        <v xml:space="preserve">f1: Mehrarbeitsfaktor </v>
      </c>
      <c r="B258" s="2437"/>
      <c r="C258" s="2438"/>
      <c r="D258" s="1022"/>
      <c r="E258" s="1020">
        <f ca="1">H243</f>
        <v>0.96250000000000002</v>
      </c>
      <c r="F258" s="1023"/>
      <c r="G258" s="1020">
        <f ca="1">H243</f>
        <v>0.96250000000000002</v>
      </c>
      <c r="H258" s="1024"/>
      <c r="I258" s="438"/>
      <c r="J258" s="2295"/>
      <c r="K258" s="2295"/>
      <c r="L258" s="2296"/>
    </row>
    <row r="259" spans="1:13" ht="17.850000000000001" customHeight="1" x14ac:dyDescent="0.45">
      <c r="A259" s="2636" t="str">
        <f>F252</f>
        <v>f3: Mehrentgeltfaktor</v>
      </c>
      <c r="B259" s="2637"/>
      <c r="C259" s="2638"/>
      <c r="D259" s="1022"/>
      <c r="E259" s="1023"/>
      <c r="F259" s="1020">
        <f ca="1">H252</f>
        <v>0.72019999999999995</v>
      </c>
      <c r="G259" s="1020">
        <f ca="1">F259</f>
        <v>0.72019999999999995</v>
      </c>
      <c r="H259" s="1024"/>
      <c r="I259" s="438"/>
      <c r="J259" s="2295"/>
      <c r="K259" s="2295"/>
      <c r="L259" s="2296"/>
    </row>
    <row r="260" spans="1:13" ht="17.850000000000001" customHeight="1" x14ac:dyDescent="0.45">
      <c r="A260" s="1025"/>
      <c r="B260" s="1026"/>
      <c r="C260" s="1026"/>
      <c r="D260" s="1027">
        <f ca="1">D256*D257</f>
        <v>0.2331</v>
      </c>
      <c r="E260" s="1027">
        <f ca="1">E256*E258*E257</f>
        <v>0</v>
      </c>
      <c r="F260" s="1027">
        <f ca="1">F256*F259*F257</f>
        <v>0</v>
      </c>
      <c r="G260" s="1027">
        <f ca="1">G256*G258*G259*G257</f>
        <v>0.41810000000000003</v>
      </c>
      <c r="H260" s="1028">
        <f ca="1">SUM(D260:G260)</f>
        <v>0.6512</v>
      </c>
      <c r="I260" s="438"/>
      <c r="J260" s="2680" t="str">
        <f ca="1">IFERROR(IF(OR(H265/H236&lt;Report!G11,KALKULATION!H265/KALKULATION!H236&gt;Report!F11),"Hinweis: das Verhältnis von UPNK (F2) zu DPNK (F1) scheint unplausibel; es liegt außerhalb der Richtwerte gem Blatt REPORT.",""),KALKULATION!M286)</f>
        <v/>
      </c>
      <c r="K260" s="2680"/>
      <c r="L260" s="2681"/>
      <c r="M260" s="2048" t="s">
        <v>1018</v>
      </c>
    </row>
    <row r="261" spans="1:13" ht="17.850000000000001" customHeight="1" x14ac:dyDescent="0.45">
      <c r="A261" s="2285" t="s">
        <v>511</v>
      </c>
      <c r="B261" s="2286"/>
      <c r="C261" s="2286"/>
      <c r="D261" s="2286"/>
      <c r="E261" s="2286"/>
      <c r="F261" s="2286"/>
      <c r="G261" s="2286"/>
      <c r="H261" s="609">
        <f ca="1">H260</f>
        <v>0.6512</v>
      </c>
      <c r="I261" s="438"/>
      <c r="J261" s="2680"/>
      <c r="K261" s="2680"/>
      <c r="L261" s="2681"/>
    </row>
    <row r="262" spans="1:13" ht="17.850000000000001" customHeight="1" x14ac:dyDescent="0.45">
      <c r="A262" s="2346" t="s">
        <v>849</v>
      </c>
      <c r="B262" s="2347"/>
      <c r="C262" s="2624"/>
      <c r="E262" s="160"/>
      <c r="F262" s="160"/>
      <c r="H262" s="46"/>
      <c r="I262" s="438"/>
      <c r="J262" s="2680"/>
      <c r="K262" s="2680"/>
      <c r="L262" s="2681"/>
    </row>
    <row r="263" spans="1:13" ht="17.850000000000001" customHeight="1" x14ac:dyDescent="0.45">
      <c r="A263" s="2285" t="s">
        <v>848</v>
      </c>
      <c r="B263" s="2286"/>
      <c r="C263" s="2286"/>
      <c r="D263" s="2286"/>
      <c r="E263" s="2286"/>
      <c r="F263" s="2286"/>
      <c r="G263" s="2286"/>
      <c r="H263" s="1029"/>
      <c r="I263" s="576" t="str">
        <f>IF(H263&lt;&gt;0,"X","")</f>
        <v/>
      </c>
      <c r="J263" s="2680"/>
      <c r="K263" s="2680"/>
      <c r="L263" s="2681"/>
    </row>
    <row r="264" spans="1:13" ht="17.850000000000001" customHeight="1" thickBot="1" x14ac:dyDescent="0.5">
      <c r="A264" s="2568" t="s">
        <v>850</v>
      </c>
      <c r="B264" s="2569"/>
      <c r="C264" s="2569"/>
      <c r="D264" s="2569"/>
      <c r="E264" s="2569"/>
      <c r="F264" s="2570"/>
      <c r="G264" s="1206" t="s">
        <v>1135</v>
      </c>
      <c r="H264" s="579">
        <f ca="1">SUM(H261:H263)</f>
        <v>0.6512</v>
      </c>
      <c r="I264" s="576" t="str">
        <f>IF(G264&lt;&gt;"Nein","X","")</f>
        <v>X</v>
      </c>
      <c r="J264" s="2680"/>
      <c r="K264" s="2680"/>
      <c r="L264" s="2681"/>
    </row>
    <row r="265" spans="1:13" ht="17.850000000000001" customHeight="1" x14ac:dyDescent="0.45">
      <c r="A265" s="2326" t="str">
        <f ca="1">IFERROR("F2) Ergebnis Umgelegte Personalnebenkosten (K3 Zeile 13) "&amp;TEXT(' K3 PP'!O31,"0,00€")&amp;" bzw %",KALKULATION!M286)</f>
        <v>F2) Ergebnis Umgelegte Personalnebenkosten (K3 Zeile 13) 16,65€ bzw %</v>
      </c>
      <c r="B265" s="2327"/>
      <c r="C265" s="2327"/>
      <c r="D265" s="2327"/>
      <c r="E265" s="2327"/>
      <c r="F265" s="2327"/>
      <c r="G265" s="553" t="str">
        <f>IF(G264="Nein","","(gerundet)")</f>
        <v>(gerundet)</v>
      </c>
      <c r="H265" s="578">
        <f ca="1">IFERROR(IF(G264="auf #1,0%",ROUNDUP(H264*100,0)/100,IF(G264="auf #2,5%",ROUNDUP(H264*100/2.5,0)*2.5/100,IF(G264="auf #5,0%",ROUNDUP(H264*100/5,0)*5/100,H264))),"?")</f>
        <v>0.66</v>
      </c>
      <c r="I265" s="438"/>
      <c r="J265" s="2652" t="str">
        <f ca="1">IF(OR(H265&gt;Report!F10,H265&lt;Report!G10),"Hinweis: UPNK (F2) liegen außerhalb der Richtwerte gem Blatt REPORT. "&amp;IF(SUM(G257*2,G258,G259)/4&lt;0.85,"Die hohe Minderung mit den Faktoren kann die plausible Ursache sein. ",""),"")</f>
        <v/>
      </c>
      <c r="K265" s="2652"/>
      <c r="L265" s="2653"/>
    </row>
    <row r="266" spans="1:13" ht="17.850000000000001" customHeight="1" x14ac:dyDescent="0.45">
      <c r="A266" s="2991"/>
      <c r="B266" s="2992"/>
      <c r="C266" s="2992"/>
      <c r="D266" s="2992"/>
      <c r="E266" s="2992"/>
      <c r="F266" s="2992"/>
      <c r="G266" s="2992"/>
      <c r="H266" s="2992"/>
      <c r="I266" s="438"/>
      <c r="J266" s="2652"/>
      <c r="K266" s="2652"/>
      <c r="L266" s="2653"/>
    </row>
    <row r="267" spans="1:13" ht="20" customHeight="1" x14ac:dyDescent="0.45">
      <c r="A267" s="2313" t="s">
        <v>507</v>
      </c>
      <c r="B267" s="2314"/>
      <c r="C267" s="2314"/>
      <c r="D267" s="2314"/>
      <c r="E267" s="2314"/>
      <c r="F267" s="2314"/>
      <c r="G267" s="2314"/>
      <c r="H267" s="2314"/>
      <c r="I267" s="438"/>
      <c r="L267" s="216"/>
    </row>
    <row r="268" spans="1:13" ht="17.649999999999999" customHeight="1" thickBot="1" x14ac:dyDescent="0.5">
      <c r="A268" s="904"/>
      <c r="B268" s="905"/>
      <c r="C268" s="905"/>
      <c r="D268" s="846"/>
      <c r="E268" s="846"/>
      <c r="F268" s="847"/>
      <c r="G268" s="906" t="s">
        <v>696</v>
      </c>
      <c r="H268" s="848">
        <f ca="1">IFERROR(' K3 PP'!O28,0)</f>
        <v>25.23</v>
      </c>
      <c r="I268" s="438"/>
      <c r="L268" s="216"/>
    </row>
    <row r="269" spans="1:13" ht="17.850000000000001" customHeight="1" thickTop="1" x14ac:dyDescent="0.45">
      <c r="A269" s="845" t="s">
        <v>513</v>
      </c>
      <c r="B269" s="2331"/>
      <c r="C269" s="2332"/>
      <c r="D269" s="2332"/>
      <c r="E269" s="2332"/>
      <c r="F269" s="2333"/>
      <c r="G269" s="441"/>
      <c r="H269" s="1000">
        <f ca="1">G269*H268</f>
        <v>0</v>
      </c>
      <c r="I269" s="438"/>
      <c r="J269" s="2334"/>
      <c r="K269" s="2334"/>
      <c r="L269" s="2335"/>
    </row>
    <row r="270" spans="1:13" ht="17.850000000000001" customHeight="1" x14ac:dyDescent="0.45">
      <c r="A270" s="440" t="s">
        <v>512</v>
      </c>
      <c r="B270" s="2299"/>
      <c r="C270" s="2300"/>
      <c r="D270" s="2300"/>
      <c r="E270" s="2300"/>
      <c r="F270" s="2328"/>
      <c r="G270" s="339"/>
      <c r="H270" s="1000">
        <f ca="1">G270*H268</f>
        <v>0</v>
      </c>
      <c r="I270" s="438"/>
      <c r="J270" s="2334"/>
      <c r="K270" s="2334"/>
      <c r="L270" s="2335"/>
    </row>
    <row r="271" spans="1:13" ht="17.850000000000001" customHeight="1" x14ac:dyDescent="0.45">
      <c r="A271" s="2617" t="s">
        <v>514</v>
      </c>
      <c r="B271" s="2618"/>
      <c r="C271" s="2618"/>
      <c r="D271" s="2618"/>
      <c r="E271" s="2618"/>
      <c r="F271" s="2618"/>
      <c r="G271" s="2619"/>
      <c r="H271" s="1001"/>
      <c r="I271" s="438"/>
      <c r="L271" s="216"/>
    </row>
    <row r="272" spans="1:13" ht="17.850000000000001" customHeight="1" x14ac:dyDescent="0.45">
      <c r="A272" s="2632" t="s">
        <v>508</v>
      </c>
      <c r="B272" s="2633"/>
      <c r="C272" s="2299" t="s">
        <v>1040</v>
      </c>
      <c r="D272" s="2300"/>
      <c r="E272" s="2300"/>
      <c r="F272" s="2328"/>
      <c r="G272" s="849"/>
      <c r="H272" s="1000"/>
      <c r="I272" s="438"/>
      <c r="L272" s="216"/>
    </row>
    <row r="273" spans="1:18" ht="17.850000000000001" customHeight="1" thickBot="1" x14ac:dyDescent="0.5">
      <c r="A273" s="2591" t="s">
        <v>509</v>
      </c>
      <c r="B273" s="2592"/>
      <c r="C273" s="2592"/>
      <c r="D273" s="2592"/>
      <c r="E273" s="2593"/>
      <c r="F273" s="965">
        <v>2</v>
      </c>
      <c r="G273" s="1035" t="s">
        <v>682</v>
      </c>
      <c r="H273" s="1002">
        <f ca="1">F273/C95</f>
        <v>0.05</v>
      </c>
      <c r="I273" s="438"/>
      <c r="L273" s="216"/>
    </row>
    <row r="274" spans="1:18" ht="17.850000000000001" customHeight="1" x14ac:dyDescent="0.45">
      <c r="A274" s="2243" t="s">
        <v>510</v>
      </c>
      <c r="B274" s="2336"/>
      <c r="C274" s="2336"/>
      <c r="D274" s="2336"/>
      <c r="E274" s="2336"/>
      <c r="F274" s="2336"/>
      <c r="G274" s="2336"/>
      <c r="H274" s="1126">
        <f ca="1">SUM(H269:H273)</f>
        <v>0.05</v>
      </c>
      <c r="I274" s="438"/>
      <c r="J274" s="2437" t="str">
        <f>IF(OR(COUNTA(B269,G269)=1,COUNTA(B270,G270)=1,COUNTA(C272,F273)=1),"Information: Einige Zeilen bei F3 sind nur rudimentär ausgefüllt.","")</f>
        <v/>
      </c>
      <c r="K274" s="2437"/>
      <c r="L274" s="2438"/>
    </row>
    <row r="275" spans="1:18" ht="17.850000000000001" customHeight="1" x14ac:dyDescent="0.45">
      <c r="A275" s="2285" t="str">
        <f ca="1">"    Zwischenergebnis 1 inkl unproduktiver Zeiten (nach B2: "&amp;TEXT(H63,"0,00")&amp;"/"&amp;TEXT(F63,"0,00")&amp;")"</f>
        <v xml:space="preserve">    Zwischenergebnis 1 inkl unproduktiver Zeiten (nach B2: 0,10/3,90)</v>
      </c>
      <c r="B275" s="2286"/>
      <c r="C275" s="2286"/>
      <c r="D275" s="2286"/>
      <c r="E275" s="2286"/>
      <c r="F275" s="2286"/>
      <c r="G275" s="760">
        <f ca="1">H63/F63</f>
        <v>2.564E-2</v>
      </c>
      <c r="H275" s="1127">
        <f ca="1">H274*(1+G275)</f>
        <v>5.0999999999999997E-2</v>
      </c>
      <c r="I275" s="438"/>
      <c r="L275" s="216"/>
    </row>
    <row r="276" spans="1:18" ht="17.850000000000001" customHeight="1" thickBot="1" x14ac:dyDescent="0.5">
      <c r="A276" s="2247" t="s">
        <v>926</v>
      </c>
      <c r="B276" s="2616"/>
      <c r="C276" s="2616"/>
      <c r="D276" s="2616"/>
      <c r="E276" s="2616"/>
      <c r="F276" s="2248"/>
      <c r="G276" s="566">
        <v>0.3</v>
      </c>
      <c r="H276" s="1036">
        <f ca="1">H275*(1+G276)</f>
        <v>6.6000000000000003E-2</v>
      </c>
      <c r="I276" s="438"/>
      <c r="J276" s="3010" t="str">
        <f>IF(G276&lt;0.25,"Information: IdR fallen Beiträge/Abgaben auch in entgeltpflichtigen Ausfallzeiten an. Eingetragung prüfen (Erwartungswert rd 30%)!","")</f>
        <v/>
      </c>
      <c r="K276" s="3010"/>
      <c r="L276" s="3011"/>
    </row>
    <row r="277" spans="1:18" ht="17.850000000000001" customHeight="1" x14ac:dyDescent="0.45">
      <c r="A277" s="2634" t="str">
        <f ca="1">IFERROR("F3) Ergebnis Weitere Personalnebenkosten (K3 Zeile 14) "&amp;TEXT(' K3 PP'!O32,"0,00€")&amp;" bzw in %",KALKULATION!$M$286)</f>
        <v>F3) Ergebnis Weitere Personalnebenkosten (K3 Zeile 14) 0,07€ bzw in %</v>
      </c>
      <c r="B277" s="2635"/>
      <c r="C277" s="2635"/>
      <c r="D277" s="2635"/>
      <c r="E277" s="2635"/>
      <c r="F277" s="2635"/>
      <c r="G277" s="2635"/>
      <c r="H277" s="92">
        <f ca="1">IFERROR(H276/H268,"")</f>
        <v>2.5999999999999999E-3</v>
      </c>
      <c r="I277" s="438"/>
      <c r="J277" s="3010"/>
      <c r="K277" s="3010"/>
      <c r="L277" s="3011"/>
    </row>
    <row r="278" spans="1:18" ht="20" customHeight="1" x14ac:dyDescent="0.45">
      <c r="A278" s="2355" t="str">
        <f ca="1">A74</f>
        <v>Info: KV &amp; up.Z: 18,17€ | abgabepfl. Pers.ko: 25,23€ | vor Uml: 51,19€ | KOSTEN: 56,83€ | PREIS: 72,74€</v>
      </c>
      <c r="B278" s="2356"/>
      <c r="C278" s="2356"/>
      <c r="D278" s="2356"/>
      <c r="E278" s="2356"/>
      <c r="F278" s="2356"/>
      <c r="G278" s="2356"/>
      <c r="H278" s="2356"/>
      <c r="I278" s="438"/>
      <c r="J278" s="2315" t="str">
        <f ca="1">IFERROR(IF(H277&gt;0.035,"Weitere Personalnebenkosten (E3) erscheinen mit "&amp;H277*100&amp;"% hoch! ",""),"")</f>
        <v/>
      </c>
      <c r="K278" s="2315"/>
      <c r="L278" s="2316"/>
    </row>
    <row r="279" spans="1:18" ht="17.850000000000001" customHeight="1" x14ac:dyDescent="0.45">
      <c r="A279" s="2449"/>
      <c r="B279" s="2450"/>
      <c r="C279" s="2450"/>
      <c r="D279" s="2450"/>
      <c r="E279" s="2450"/>
      <c r="F279" s="2450"/>
      <c r="G279" s="2450"/>
      <c r="H279" s="2450"/>
      <c r="I279" s="2450"/>
      <c r="J279" s="2317"/>
      <c r="K279" s="2315"/>
      <c r="L279" s="2316"/>
    </row>
    <row r="280" spans="1:18" ht="25.05" customHeight="1" x14ac:dyDescent="0.45">
      <c r="A280" s="2372" t="s">
        <v>515</v>
      </c>
      <c r="B280" s="2373"/>
      <c r="C280" s="2373"/>
      <c r="D280" s="2373"/>
      <c r="E280" s="2373"/>
      <c r="F280" s="2373"/>
      <c r="G280" s="2373"/>
      <c r="H280" s="2373"/>
      <c r="I280" s="438"/>
      <c r="L280" s="216"/>
    </row>
    <row r="281" spans="1:18" ht="17.850000000000001" customHeight="1" x14ac:dyDescent="0.45">
      <c r="A281" s="2517" t="s">
        <v>255</v>
      </c>
      <c r="B281" s="2560"/>
      <c r="C281" s="2560"/>
      <c r="D281" s="2518"/>
      <c r="E281" s="2627" t="s">
        <v>591</v>
      </c>
      <c r="F281" s="2628"/>
      <c r="G281" s="2628"/>
      <c r="H281" s="993">
        <f ca="1">IFERROR(' K3 PP'!O33,"UNGÜLTIG")</f>
        <v>51.19</v>
      </c>
      <c r="I281" s="438"/>
      <c r="L281" s="216"/>
      <c r="M281" s="1981" t="s">
        <v>315</v>
      </c>
      <c r="N281" s="1981"/>
      <c r="O281" s="1981"/>
      <c r="P281" s="1981"/>
      <c r="Q281" s="1981"/>
      <c r="R281" s="1981"/>
    </row>
    <row r="282" spans="1:18" ht="17.850000000000001" customHeight="1" x14ac:dyDescent="0.45">
      <c r="A282" s="2620" t="s">
        <v>1015</v>
      </c>
      <c r="B282" s="2621"/>
      <c r="C282" s="2621"/>
      <c r="D282" s="2621"/>
      <c r="E282" s="2621"/>
      <c r="F282" s="2622"/>
      <c r="G282" s="2972" t="s">
        <v>1104</v>
      </c>
      <c r="H282" s="2973"/>
      <c r="I282" s="438"/>
      <c r="J282" s="2295"/>
      <c r="K282" s="2295"/>
      <c r="L282" s="2296"/>
      <c r="M282" s="1981" t="s">
        <v>821</v>
      </c>
    </row>
    <row r="283" spans="1:18" ht="17.850000000000001" customHeight="1" thickBot="1" x14ac:dyDescent="0.5">
      <c r="A283" s="2629" t="s">
        <v>890</v>
      </c>
      <c r="B283" s="2630"/>
      <c r="C283" s="2630"/>
      <c r="D283" s="2631"/>
      <c r="E283" s="713" t="s">
        <v>90</v>
      </c>
      <c r="F283" s="713" t="s">
        <v>110</v>
      </c>
      <c r="G283" s="2974"/>
      <c r="H283" s="2975"/>
      <c r="I283" s="438"/>
      <c r="J283" s="2295"/>
      <c r="K283" s="2295"/>
      <c r="L283" s="2296"/>
      <c r="M283" s="1338" t="s">
        <v>822</v>
      </c>
    </row>
    <row r="284" spans="1:18" ht="17.850000000000001" customHeight="1" thickTop="1" x14ac:dyDescent="0.45">
      <c r="A284" s="2331" t="s">
        <v>1019</v>
      </c>
      <c r="B284" s="2332"/>
      <c r="C284" s="2332"/>
      <c r="D284" s="2333"/>
      <c r="E284" s="340"/>
      <c r="F284" s="1040"/>
      <c r="G284" s="2976"/>
      <c r="H284" s="2977"/>
      <c r="I284" s="438"/>
      <c r="J284" s="2426" t="str">
        <f>IF(AND(H285="Nein",SUM(G289,H289,G300,H300)&lt;&gt;0),"Information zu G3: Rechner ist ausgeblendet, obwohl mit Werten hinterlegt. Die Rechenergebnisse des Hilfsrechners werden den PGK daher nicht zugerechnet.","")</f>
        <v/>
      </c>
      <c r="K284" s="2426"/>
      <c r="L284" s="2427"/>
      <c r="M284" s="1338" t="s">
        <v>372</v>
      </c>
    </row>
    <row r="285" spans="1:18" ht="17.850000000000001" customHeight="1" x14ac:dyDescent="0.45">
      <c r="A285" s="2299" t="s">
        <v>1126</v>
      </c>
      <c r="B285" s="2300"/>
      <c r="C285" s="2300"/>
      <c r="D285" s="2328"/>
      <c r="E285" s="337"/>
      <c r="F285" s="565"/>
      <c r="G285" s="992" t="s">
        <v>829</v>
      </c>
      <c r="H285" s="577" t="s">
        <v>192</v>
      </c>
      <c r="I285" s="438"/>
      <c r="J285" s="2426"/>
      <c r="K285" s="2426"/>
      <c r="L285" s="2427"/>
      <c r="M285" s="1338" t="s">
        <v>373</v>
      </c>
    </row>
    <row r="286" spans="1:18" ht="17.850000000000001" customHeight="1" x14ac:dyDescent="0.45">
      <c r="A286" s="2299" t="s">
        <v>1020</v>
      </c>
      <c r="B286" s="2300"/>
      <c r="C286" s="2300"/>
      <c r="D286" s="2328"/>
      <c r="E286" s="337"/>
      <c r="F286" s="565"/>
      <c r="G286" s="2443" t="s">
        <v>1113</v>
      </c>
      <c r="H286" s="2442"/>
      <c r="I286" s="438"/>
      <c r="J286" s="2426"/>
      <c r="K286" s="2426"/>
      <c r="L286" s="2427"/>
      <c r="M286" s="1338" t="s">
        <v>432</v>
      </c>
    </row>
    <row r="287" spans="1:18" ht="17.850000000000001" customHeight="1" x14ac:dyDescent="0.45">
      <c r="A287" s="2299" t="s">
        <v>1021</v>
      </c>
      <c r="B287" s="2300"/>
      <c r="C287" s="2300"/>
      <c r="D287" s="2328"/>
      <c r="E287" s="337">
        <v>1.2500000000000001E-2</v>
      </c>
      <c r="F287" s="1043"/>
      <c r="G287" s="2443"/>
      <c r="H287" s="2442"/>
      <c r="I287" s="438"/>
      <c r="L287" s="216"/>
      <c r="M287" s="1338" t="s">
        <v>823</v>
      </c>
    </row>
    <row r="288" spans="1:18" ht="17.850000000000001" customHeight="1" x14ac:dyDescent="0.45">
      <c r="A288" s="2299" t="s">
        <v>1022</v>
      </c>
      <c r="B288" s="2300"/>
      <c r="C288" s="2300"/>
      <c r="D288" s="2328"/>
      <c r="E288" s="337">
        <v>0.02</v>
      </c>
      <c r="F288" s="565"/>
      <c r="G288" s="443" t="s">
        <v>1041</v>
      </c>
      <c r="H288" s="502" t="s">
        <v>1042</v>
      </c>
      <c r="I288" s="438"/>
      <c r="L288" s="216"/>
      <c r="M288" s="1338" t="s">
        <v>755</v>
      </c>
    </row>
    <row r="289" spans="1:13" ht="17.850000000000001" customHeight="1" x14ac:dyDescent="0.45">
      <c r="A289" s="2299" t="s">
        <v>1023</v>
      </c>
      <c r="B289" s="2300"/>
      <c r="C289" s="2300"/>
      <c r="D289" s="2328"/>
      <c r="E289" s="337">
        <v>1.4999999999999999E-2</v>
      </c>
      <c r="F289" s="565"/>
      <c r="G289" s="974"/>
      <c r="H289" s="975"/>
      <c r="I289" s="576" t="str">
        <f>IF(AND(H285="Ja",SUM(G289,H289)&lt;&gt;0),"X","")</f>
        <v/>
      </c>
      <c r="L289" s="216"/>
      <c r="M289" s="1338" t="s">
        <v>834</v>
      </c>
    </row>
    <row r="290" spans="1:13" ht="17.850000000000001" customHeight="1" x14ac:dyDescent="0.45">
      <c r="A290" s="2394"/>
      <c r="B290" s="2395"/>
      <c r="C290" s="2395"/>
      <c r="D290" s="2396"/>
      <c r="E290" s="1293"/>
      <c r="F290" s="1043"/>
      <c r="G290" s="598" t="s">
        <v>267</v>
      </c>
      <c r="H290" s="973">
        <f ca="1">IFERROR(H281*C95,"")</f>
        <v>2047.6</v>
      </c>
      <c r="I290" s="438"/>
      <c r="L290" s="216"/>
      <c r="M290" s="1338" t="s">
        <v>851</v>
      </c>
    </row>
    <row r="291" spans="1:13" ht="17.850000000000001" customHeight="1" x14ac:dyDescent="0.45">
      <c r="A291" s="2299"/>
      <c r="B291" s="2300"/>
      <c r="C291" s="2300"/>
      <c r="D291" s="2328"/>
      <c r="E291" s="337"/>
      <c r="F291" s="565"/>
      <c r="G291" s="599">
        <f ca="1">G289/H290</f>
        <v>0</v>
      </c>
      <c r="H291" s="600">
        <f ca="1">H289/H290</f>
        <v>0</v>
      </c>
      <c r="I291" s="438"/>
      <c r="J291" s="2437" t="str">
        <f>IF(OR(COUNTA(E284,F284)=2,COUNTA(E285,F285)=2,COUNTA(E286,F286)=2,COUNTA(E287,F287)=2,COUNTA(E287,F287)=2,COUNTA(E288,F288)=2,COUNTA(E289,F288)=2,COUNTA(E290,F290)=2),"Zu G1) In einzelnen Eingabezeilen bestehen sowohl %- als auch €-Angaben.","")</f>
        <v/>
      </c>
      <c r="K291" s="2437"/>
      <c r="L291" s="2438"/>
      <c r="M291" s="1981" t="s">
        <v>474</v>
      </c>
    </row>
    <row r="292" spans="1:13" ht="17.850000000000001" customHeight="1" thickBot="1" x14ac:dyDescent="0.5">
      <c r="A292" s="2446"/>
      <c r="B292" s="2447"/>
      <c r="C292" s="2447"/>
      <c r="D292" s="2448"/>
      <c r="E292" s="566"/>
      <c r="F292" s="965"/>
      <c r="G292" s="596" t="s">
        <v>268</v>
      </c>
      <c r="H292" s="597">
        <f ca="1">G70</f>
        <v>2.8899999999999999E-2</v>
      </c>
      <c r="I292" s="438"/>
      <c r="L292" s="216"/>
      <c r="M292" s="1338" t="s">
        <v>842</v>
      </c>
    </row>
    <row r="293" spans="1:13" ht="20" customHeight="1" x14ac:dyDescent="0.45">
      <c r="A293" s="1294" t="s">
        <v>516</v>
      </c>
      <c r="B293" s="1295"/>
      <c r="C293" s="1295"/>
      <c r="D293" s="1296"/>
      <c r="E293" s="1297">
        <f>SUM(E284:E292)</f>
        <v>4.7500000000000001E-2</v>
      </c>
      <c r="F293" s="1298">
        <f>SUM(F284:F292)</f>
        <v>0</v>
      </c>
      <c r="G293" s="1041" t="s">
        <v>1024</v>
      </c>
      <c r="H293" s="1948" t="s">
        <v>69</v>
      </c>
      <c r="I293" s="438"/>
      <c r="K293" s="1309"/>
      <c r="L293" s="1310"/>
      <c r="M293" s="1338" t="s">
        <v>604</v>
      </c>
    </row>
    <row r="294" spans="1:13" ht="17.850000000000001" customHeight="1" x14ac:dyDescent="0.45">
      <c r="G294" s="1278" t="str">
        <f>IF(AND($H$285=_Ja,G289&lt;&gt;0),IF(H293="in %",G291*(1+H292),(G291*(1+H292))*H281),"")</f>
        <v/>
      </c>
      <c r="H294" s="501" t="str">
        <f>IF(AND($H$285=_Ja,H289&lt;&gt;0),IF(H293="in %",H291*(1+H292),(H291*(1+H292))*H281),"")</f>
        <v/>
      </c>
      <c r="I294" s="576" t="str">
        <f>IF(B362&lt;&gt;M411,"X","")</f>
        <v/>
      </c>
      <c r="J294" s="1309"/>
      <c r="K294" s="1309"/>
      <c r="L294" s="1310"/>
      <c r="M294" s="1943" t="s">
        <v>1010</v>
      </c>
    </row>
    <row r="295" spans="1:13" ht="17.75" customHeight="1" x14ac:dyDescent="0.45">
      <c r="A295" s="2551" t="s">
        <v>1029</v>
      </c>
      <c r="B295" s="2552"/>
      <c r="C295" s="2552"/>
      <c r="D295" s="2553"/>
      <c r="E295" s="199" t="str">
        <f>IF(OR(F354="Preis",F354="Kosten"),IF(F356&lt;&gt;"als €",F360/100,""),"")</f>
        <v/>
      </c>
      <c r="F295" s="1299" t="str">
        <f>IF(OR(F354="Preis",F354="Kosten"),IF(F356="als €",F360,""),"")</f>
        <v/>
      </c>
      <c r="G295" s="2322" t="s">
        <v>757</v>
      </c>
      <c r="H295" s="2322"/>
      <c r="I295" s="438"/>
      <c r="J295" s="1282" t="str">
        <f>IF(AND(SUM(E295:F295)&lt;&gt;0,SUM(E297:F297)&lt;&gt;0),"Hinweis: Rundung (G2; aus J3) und Zielwert (G3; aus J4) gleichzeitig!","")</f>
        <v/>
      </c>
      <c r="K295" s="1309"/>
      <c r="L295" s="1310"/>
      <c r="M295" s="2049" t="s">
        <v>843</v>
      </c>
    </row>
    <row r="296" spans="1:13" ht="17.850000000000001" customHeight="1" x14ac:dyDescent="0.45">
      <c r="G296" s="2323"/>
      <c r="H296" s="2323"/>
      <c r="I296" s="438"/>
      <c r="J296" s="1309"/>
      <c r="K296" s="1309"/>
      <c r="L296" s="1310"/>
      <c r="M296" s="1338" t="s">
        <v>590</v>
      </c>
    </row>
    <row r="297" spans="1:13" ht="17.850000000000001" customHeight="1" x14ac:dyDescent="0.45">
      <c r="A297" s="2551" t="s">
        <v>1035</v>
      </c>
      <c r="B297" s="2552"/>
      <c r="C297" s="2552"/>
      <c r="D297" s="2553"/>
      <c r="E297" s="199">
        <f>E366</f>
        <v>0</v>
      </c>
      <c r="F297" s="1299">
        <f>F366</f>
        <v>0</v>
      </c>
      <c r="G297" s="2441" t="s">
        <v>1114</v>
      </c>
      <c r="H297" s="2442"/>
      <c r="I297" s="438"/>
      <c r="J297" s="2295" t="str">
        <f ca="1">IF(SUM(G300:H300)&gt;0,"G4.b bezieht sich auf Kosten, die von "&amp;TEXT(E45,"#0,0")&amp;" Personen pro Woche für eine bestimmmte Leistung (zB Fahrtkosten zur Baustelle) verursacht werden.","")</f>
        <v>G4.b bezieht sich auf Kosten, die von 4,0 Personen pro Woche für eine bestimmmte Leistung (zB Fahrtkosten zur Baustelle) verursacht werden.</v>
      </c>
      <c r="K297" s="2295"/>
      <c r="L297" s="2296"/>
      <c r="M297" s="1338" t="s">
        <v>605</v>
      </c>
    </row>
    <row r="298" spans="1:13" ht="17.850000000000001" customHeight="1" x14ac:dyDescent="0.45">
      <c r="G298" s="2443"/>
      <c r="H298" s="2442"/>
      <c r="I298" s="438"/>
      <c r="J298" s="2295"/>
      <c r="K298" s="2295"/>
      <c r="L298" s="2296"/>
    </row>
    <row r="299" spans="1:13" ht="17.850000000000001" customHeight="1" x14ac:dyDescent="0.45">
      <c r="A299" s="2545" t="s">
        <v>1030</v>
      </c>
      <c r="B299" s="2546"/>
      <c r="C299" s="2546"/>
      <c r="D299" s="2546"/>
      <c r="E299" s="2546"/>
      <c r="F299" s="2547"/>
      <c r="G299" s="443" t="s">
        <v>1043</v>
      </c>
      <c r="H299" s="502" t="s">
        <v>1044</v>
      </c>
      <c r="I299" s="576" t="str">
        <f>IF(AND(H285="Ja",SUM(G300,H300)&lt;&gt;0),"P","")</f>
        <v>P</v>
      </c>
      <c r="J299" s="2308" t="str">
        <f>IF(SUM(G300,H300)&lt;&gt;0,"Information: Der ermittelte Umlagebetrag ist von der Anzahl in B1 abhängig.","")</f>
        <v>Information: Der ermittelte Umlagebetrag ist von der Anzahl in B1 abhängig.</v>
      </c>
      <c r="K299" s="2308"/>
      <c r="L299" s="2309"/>
    </row>
    <row r="300" spans="1:13" ht="17.850000000000001" customHeight="1" x14ac:dyDescent="0.45">
      <c r="A300" s="437" t="str">
        <f>"von "&amp;G288</f>
        <v>von G4.a1)</v>
      </c>
      <c r="B300" s="2299"/>
      <c r="C300" s="2300"/>
      <c r="D300" s="2328"/>
      <c r="E300" s="1283" t="str">
        <f>IF(H$293="in %",G294,"")</f>
        <v/>
      </c>
      <c r="F300" s="1285" t="str">
        <f>IF(H293="in €",G294,"")</f>
        <v/>
      </c>
      <c r="G300" s="976">
        <v>500</v>
      </c>
      <c r="H300" s="977"/>
      <c r="I300" s="576" t="str">
        <f>IF(AND(H296="Ja",SUM(G300,H300)&lt;&gt;0),"X","")</f>
        <v/>
      </c>
      <c r="J300" s="271" t="str">
        <f>IFERROR(IF(AND(SUM(E300)&gt;0,B300=""),"Bezugstext für den %-Satz angeben!",""),"")</f>
        <v/>
      </c>
      <c r="L300" s="216"/>
      <c r="M300" s="1981" t="s">
        <v>824</v>
      </c>
    </row>
    <row r="301" spans="1:13" ht="17.649999999999999" customHeight="1" x14ac:dyDescent="0.45">
      <c r="A301" s="437" t="str">
        <f>"von "&amp;H288</f>
        <v>von G4.a2)</v>
      </c>
      <c r="B301" s="2299"/>
      <c r="C301" s="2300"/>
      <c r="D301" s="2328"/>
      <c r="E301" s="1283" t="str">
        <f>IF(H$293="in %",H294,"")</f>
        <v/>
      </c>
      <c r="F301" s="1285" t="str">
        <f>IF(H293="in €",H294,"")</f>
        <v/>
      </c>
      <c r="G301" s="595" t="s">
        <v>256</v>
      </c>
      <c r="H301" s="1042">
        <f ca="1">H290*F63</f>
        <v>7986</v>
      </c>
      <c r="I301" s="576"/>
      <c r="J301" s="271" t="str">
        <f>IFERROR(IF(AND(SUM(E301)&gt;0,B301=""),"Bezugstext für den %-Satz angeben!",""),"")</f>
        <v/>
      </c>
      <c r="L301" s="268"/>
      <c r="M301" s="1338" t="s">
        <v>862</v>
      </c>
    </row>
    <row r="302" spans="1:13" ht="17.850000000000001" customHeight="1" x14ac:dyDescent="0.45">
      <c r="A302" s="437" t="str">
        <f>"von "&amp;G299</f>
        <v>von G4.b1)</v>
      </c>
      <c r="B302" s="2299" t="s">
        <v>1105</v>
      </c>
      <c r="C302" s="2300"/>
      <c r="D302" s="2328"/>
      <c r="E302" s="1283" t="str">
        <f>IF(H302="in %",G303,"")</f>
        <v/>
      </c>
      <c r="F302" s="1285">
        <f ca="1">IF(H302="in €",G303,"")</f>
        <v>3.2050000000000001</v>
      </c>
      <c r="G302" s="1041" t="str">
        <f>G293</f>
        <v xml:space="preserve"> PGK €|% ↓</v>
      </c>
      <c r="H302" s="1948" t="s">
        <v>69</v>
      </c>
      <c r="I302" s="576"/>
      <c r="J302" s="271" t="str">
        <f t="shared" ref="J302:J303" si="32">IF(AND(SUM(E302)&gt;0,B302=""),"Bezugstext für den %-Satz angeben!","")</f>
        <v/>
      </c>
      <c r="L302" s="268"/>
      <c r="M302" s="1338" t="s">
        <v>144</v>
      </c>
    </row>
    <row r="303" spans="1:13" ht="17.850000000000001" customHeight="1" thickBot="1" x14ac:dyDescent="0.5">
      <c r="A303" s="567" t="str">
        <f>"von "&amp;H299</f>
        <v>von G4.b2)</v>
      </c>
      <c r="B303" s="2446"/>
      <c r="C303" s="2447"/>
      <c r="D303" s="2448"/>
      <c r="E303" s="1284" t="str">
        <f>IF(H302="in %",H303,"")</f>
        <v/>
      </c>
      <c r="F303" s="1286" t="str">
        <f>IF(H302="in €",H303,"")</f>
        <v/>
      </c>
      <c r="G303" s="442">
        <f ca="1">IF(AND($H285=_Ja,G300&lt;&gt;0),IF($H302="in %",G300/$H301,G300/$H301*$H281),"")</f>
        <v>3.2049799999999999</v>
      </c>
      <c r="H303" s="501" t="str">
        <f>IF(AND($H285=_Ja,H300&lt;&gt;0),IF($H302="in %",H300/$H301,H300/$H301*$H281),"")</f>
        <v/>
      </c>
      <c r="I303" s="576"/>
      <c r="J303" s="271" t="str">
        <f t="shared" si="32"/>
        <v/>
      </c>
      <c r="L303" s="269"/>
    </row>
    <row r="304" spans="1:13" ht="17.850000000000001" customHeight="1" thickBot="1" x14ac:dyDescent="0.5">
      <c r="A304" s="2243" t="s">
        <v>1093</v>
      </c>
      <c r="B304" s="2336"/>
      <c r="C304" s="2336"/>
      <c r="D304" s="2244"/>
      <c r="E304" s="196">
        <f>SUM(E300:E303)</f>
        <v>0</v>
      </c>
      <c r="F304" s="1039">
        <f ca="1">SUM(F300:F303)</f>
        <v>3.2050000000000001</v>
      </c>
      <c r="G304" s="2451" t="s">
        <v>758</v>
      </c>
      <c r="H304" s="2452"/>
      <c r="I304" s="576"/>
      <c r="J304" s="2437"/>
      <c r="K304" s="2437"/>
      <c r="L304" s="2438"/>
    </row>
    <row r="305" spans="1:13" ht="17.850000000000001" customHeight="1" x14ac:dyDescent="0.45">
      <c r="G305" s="2451"/>
      <c r="H305" s="2452"/>
      <c r="I305" s="576"/>
      <c r="L305" s="269"/>
    </row>
    <row r="306" spans="1:13" ht="17.850000000000001" customHeight="1" x14ac:dyDescent="0.45">
      <c r="A306" s="2517" t="s">
        <v>517</v>
      </c>
      <c r="B306" s="2560"/>
      <c r="C306" s="2560"/>
      <c r="D306" s="2518"/>
      <c r="E306" s="662">
        <f>SUM(E293,E295,E297,E304)</f>
        <v>4.7500000000000001E-2</v>
      </c>
      <c r="F306" s="155"/>
      <c r="G306" s="2451"/>
      <c r="H306" s="2452"/>
      <c r="I306" s="576"/>
      <c r="J306" s="271"/>
      <c r="L306" s="269"/>
    </row>
    <row r="307" spans="1:13" ht="17.850000000000001" customHeight="1" thickBot="1" x14ac:dyDescent="0.5">
      <c r="A307" s="2361" t="s">
        <v>574</v>
      </c>
      <c r="B307" s="2362"/>
      <c r="C307" s="2362"/>
      <c r="D307" s="2363"/>
      <c r="E307" s="1038"/>
      <c r="F307" s="1039">
        <f ca="1">SUM(F293,F295,F297,F304)</f>
        <v>3.2050000000000001</v>
      </c>
      <c r="G307" s="2451"/>
      <c r="H307" s="2452"/>
      <c r="I307" s="576"/>
      <c r="J307" s="2329" t="str">
        <f ca="1">IFERROR(IF(OR(G308&gt;Report!F12,G308&lt;Report!G12),"Hinweis: Der Wert für Personalgemeinkosten liegt über oder unter den Richtwerten gemäß Blatt REPORT!",""),"")</f>
        <v/>
      </c>
      <c r="K307" s="2329"/>
      <c r="L307" s="2330"/>
    </row>
    <row r="308" spans="1:13" ht="17.850000000000001" customHeight="1" thickBot="1" x14ac:dyDescent="0.5">
      <c r="A308" s="2382" t="s">
        <v>257</v>
      </c>
      <c r="B308" s="2383"/>
      <c r="C308" s="2383"/>
      <c r="D308" s="2384"/>
      <c r="E308" s="1037">
        <f ca="1">E306*H281</f>
        <v>2.4319999999999999</v>
      </c>
      <c r="F308" s="1037">
        <f ca="1">F307</f>
        <v>3.2050000000000001</v>
      </c>
      <c r="G308" s="1311">
        <f ca="1">H308/H281</f>
        <v>0.11018</v>
      </c>
      <c r="H308" s="1044">
        <f ca="1">IFERROR(SUM(E308:F308),"")</f>
        <v>5.64</v>
      </c>
      <c r="I308" s="576"/>
      <c r="J308" s="2329"/>
      <c r="K308" s="2329"/>
      <c r="L308" s="2330"/>
    </row>
    <row r="309" spans="1:13" ht="17.850000000000001" customHeight="1" x14ac:dyDescent="0.45">
      <c r="A309" s="2561" t="str">
        <f ca="1">IFERROR("F) Ergebnis Personalgemeinkosten  "&amp;TEXT(E306,"0,00%")&amp;" &amp; "&amp;TEXT(F308,"0,00€")&amp;" | gesamt (K3 Zeile 16) "&amp;TEXT(' K3 PP'!O34,"0,00€"),KALKULATION!$M$286)</f>
        <v>F) Ergebnis Personalgemeinkosten  4,75% &amp; 3,21€ | gesamt (K3 Zeile 16) 5,64€</v>
      </c>
      <c r="B309" s="2562"/>
      <c r="C309" s="2562"/>
      <c r="D309" s="2562"/>
      <c r="E309" s="2562"/>
      <c r="F309" s="2562"/>
      <c r="G309" s="2562"/>
      <c r="H309" s="2562"/>
      <c r="I309" s="438"/>
      <c r="J309" s="2329"/>
      <c r="K309" s="2329"/>
      <c r="L309" s="2330"/>
      <c r="M309" s="1338" t="s">
        <v>17</v>
      </c>
    </row>
    <row r="310" spans="1:13" ht="20" customHeight="1" x14ac:dyDescent="0.45">
      <c r="A310" s="2355" t="str">
        <f ca="1">A$74</f>
        <v>Info: KV &amp; up.Z: 18,17€ | abgabepfl. Pers.ko: 25,23€ | vor Uml: 51,19€ | KOSTEN: 56,83€ | PREIS: 72,74€</v>
      </c>
      <c r="B310" s="2356"/>
      <c r="C310" s="2356"/>
      <c r="D310" s="2356"/>
      <c r="E310" s="2356"/>
      <c r="F310" s="2356"/>
      <c r="G310" s="2356"/>
      <c r="H310" s="2356"/>
      <c r="I310" s="438"/>
      <c r="L310" s="216"/>
      <c r="M310" s="1338" t="s">
        <v>17</v>
      </c>
    </row>
    <row r="311" spans="1:13" ht="17.850000000000001" customHeight="1" x14ac:dyDescent="0.45">
      <c r="A311" s="2449"/>
      <c r="B311" s="2450"/>
      <c r="C311" s="2450"/>
      <c r="D311" s="2450"/>
      <c r="E311" s="2450"/>
      <c r="F311" s="2450"/>
      <c r="G311" s="2450"/>
      <c r="H311" s="2450"/>
      <c r="I311" s="2450"/>
      <c r="L311" s="216"/>
    </row>
    <row r="312" spans="1:13" ht="25.15" customHeight="1" x14ac:dyDescent="0.45">
      <c r="A312" s="2372" t="s">
        <v>832</v>
      </c>
      <c r="B312" s="2373"/>
      <c r="C312" s="2373"/>
      <c r="D312" s="2373"/>
      <c r="E312" s="2373"/>
      <c r="F312" s="2373"/>
      <c r="G312" s="2373"/>
      <c r="H312" s="2373"/>
      <c r="I312" s="438"/>
      <c r="L312" s="216"/>
    </row>
    <row r="313" spans="1:13" ht="20" customHeight="1" x14ac:dyDescent="0.45">
      <c r="A313" s="2934" t="s">
        <v>857</v>
      </c>
      <c r="B313" s="2935"/>
      <c r="C313" s="2935"/>
      <c r="D313" s="2935"/>
      <c r="E313" s="2936"/>
      <c r="G313" s="586"/>
      <c r="H313" s="1118"/>
      <c r="I313" s="438"/>
      <c r="L313" s="216"/>
    </row>
    <row r="314" spans="1:13" ht="17.850000000000001" customHeight="1" x14ac:dyDescent="0.45">
      <c r="A314" s="765"/>
      <c r="B314" s="766"/>
      <c r="C314" s="766"/>
      <c r="D314" s="766"/>
      <c r="E314" s="766"/>
      <c r="F314" s="1115" t="s">
        <v>124</v>
      </c>
      <c r="G314" s="211"/>
      <c r="H314" s="1118"/>
      <c r="I314" s="438"/>
      <c r="L314" s="216"/>
    </row>
    <row r="315" spans="1:13" ht="17.850000000000001" customHeight="1" x14ac:dyDescent="0.45">
      <c r="A315" s="2444" t="s">
        <v>819</v>
      </c>
      <c r="B315" s="2445"/>
      <c r="C315" s="2379"/>
      <c r="D315" s="2380"/>
      <c r="E315" s="2381"/>
      <c r="F315" s="444"/>
      <c r="G315" s="63"/>
      <c r="H315" s="1089"/>
      <c r="I315" s="438"/>
      <c r="J315" s="1003" t="str">
        <f>IF(AND(C315="",F317&gt;0),"Umlagezweck angeben!","")</f>
        <v/>
      </c>
      <c r="L315" s="216"/>
    </row>
    <row r="316" spans="1:13" ht="17.850000000000001" customHeight="1" x14ac:dyDescent="0.45">
      <c r="A316" s="2453" t="s">
        <v>964</v>
      </c>
      <c r="B316" s="2454"/>
      <c r="C316" s="2454"/>
      <c r="D316" s="2461"/>
      <c r="E316" s="2462"/>
      <c r="F316" s="445"/>
      <c r="G316" s="63"/>
      <c r="H316" s="1089"/>
      <c r="I316" s="438"/>
      <c r="L316" s="216"/>
    </row>
    <row r="317" spans="1:13" ht="17.850000000000001" customHeight="1" x14ac:dyDescent="0.45">
      <c r="A317" s="2594" t="s">
        <v>518</v>
      </c>
      <c r="B317" s="2595"/>
      <c r="C317" s="2595"/>
      <c r="D317" s="2370"/>
      <c r="E317" s="2371"/>
      <c r="F317" s="51">
        <f>IFERROR(D316/D317,0)</f>
        <v>0</v>
      </c>
      <c r="G317" s="63"/>
      <c r="I317" s="438"/>
      <c r="L317" s="216"/>
    </row>
    <row r="318" spans="1:13" ht="17.850000000000001" customHeight="1" x14ac:dyDescent="0.45">
      <c r="A318" s="2469"/>
      <c r="B318" s="2470"/>
      <c r="C318" s="2470"/>
      <c r="D318" s="2470"/>
      <c r="E318" s="2470"/>
      <c r="F318" s="2471"/>
      <c r="G318" s="160"/>
      <c r="I318" s="438"/>
      <c r="L318" s="216"/>
    </row>
    <row r="319" spans="1:13" ht="17.850000000000001" customHeight="1" x14ac:dyDescent="0.45">
      <c r="A319" s="2444" t="s">
        <v>820</v>
      </c>
      <c r="B319" s="2445"/>
      <c r="C319" s="2379"/>
      <c r="D319" s="2380"/>
      <c r="E319" s="2381"/>
      <c r="F319" s="444"/>
      <c r="G319" s="63"/>
      <c r="H319" s="581"/>
      <c r="I319" s="438"/>
      <c r="J319" s="1003" t="str">
        <f ca="1">IF(AND(C319="",F321&gt;0),"Umlagezweck angeben!","")</f>
        <v/>
      </c>
      <c r="L319" s="216"/>
    </row>
    <row r="320" spans="1:13" ht="17.850000000000001" customHeight="1" x14ac:dyDescent="0.65">
      <c r="A320" s="2453" t="s">
        <v>888</v>
      </c>
      <c r="B320" s="2454"/>
      <c r="C320" s="2454"/>
      <c r="D320" s="2461"/>
      <c r="E320" s="2462"/>
      <c r="F320" s="445"/>
      <c r="G320" s="63"/>
      <c r="H320" s="581"/>
      <c r="I320" s="2115" t="str">
        <f>IF(D320&lt;&gt;0,"P","")</f>
        <v/>
      </c>
      <c r="J320" s="1282" t="str">
        <f>IF(D320&lt;&gt;0,"Information: Der ermittelte Umlagebetrag ist von der Anzahl in B1 abhängig.","")</f>
        <v/>
      </c>
      <c r="L320" s="216"/>
    </row>
    <row r="321" spans="1:16" ht="17.850000000000001" customHeight="1" x14ac:dyDescent="0.45">
      <c r="A321" s="2453" t="s">
        <v>889</v>
      </c>
      <c r="B321" s="2454"/>
      <c r="C321" s="2454"/>
      <c r="D321" s="2980">
        <f ca="1">F63*C95*4.35*0.85</f>
        <v>577</v>
      </c>
      <c r="E321" s="2981"/>
      <c r="F321" s="93">
        <f ca="1">IFERROR(D320/D321,"-------")</f>
        <v>0</v>
      </c>
      <c r="G321" s="63"/>
      <c r="H321" s="581"/>
      <c r="I321" s="438"/>
      <c r="L321" s="216"/>
      <c r="P321" s="2048" t="s">
        <v>831</v>
      </c>
    </row>
    <row r="322" spans="1:16" ht="17.55" customHeight="1" x14ac:dyDescent="0.45">
      <c r="A322" s="2611"/>
      <c r="B322" s="2612"/>
      <c r="C322" s="2612"/>
      <c r="D322" s="2612"/>
      <c r="E322" s="2612"/>
      <c r="F322" s="2612"/>
      <c r="G322" s="2612"/>
      <c r="H322" s="2612"/>
      <c r="I322" s="438"/>
      <c r="L322" s="216"/>
    </row>
    <row r="323" spans="1:16" ht="20" customHeight="1" thickBot="1" x14ac:dyDescent="0.5">
      <c r="A323" s="2556" t="s">
        <v>858</v>
      </c>
      <c r="B323" s="2557"/>
      <c r="C323" s="2557"/>
      <c r="D323" s="2558"/>
      <c r="E323" s="978">
        <f ca="1">IFERROR(' K3 PP'!O33,"")</f>
        <v>51.19</v>
      </c>
      <c r="F323" s="2583" t="s">
        <v>830</v>
      </c>
      <c r="G323" s="2584"/>
      <c r="H323" s="1111" t="s">
        <v>374</v>
      </c>
      <c r="I323" s="438"/>
      <c r="J323" s="2437" t="str">
        <f>IF(OR(COUNTA(F324,G324)=2,COUNTA(F325,G325)=2,COUNTA(F326,G326)=2),"Hinweis: In einzelnen Eingabezeilen bestehen %- und €-Angaben.","")</f>
        <v/>
      </c>
      <c r="K323" s="2437"/>
      <c r="L323" s="2438"/>
    </row>
    <row r="324" spans="1:16" ht="17.55" customHeight="1" thickTop="1" x14ac:dyDescent="0.45">
      <c r="A324" s="2331"/>
      <c r="B324" s="2332"/>
      <c r="C324" s="2332"/>
      <c r="D324" s="2332"/>
      <c r="E324" s="2333"/>
      <c r="F324" s="805"/>
      <c r="G324" s="340"/>
      <c r="H324" s="582" t="str">
        <f>IF(G324&lt;&gt;0,G324*E$323,"")</f>
        <v/>
      </c>
      <c r="I324" s="438"/>
      <c r="J324" s="2334" t="str">
        <f>IFERROR(IF(AND(SUM(F324:H324)&gt;0,A324=""),"Unvollständig: Umlagezweck angeben / Wert löschen.",IF(AND(A324&lt;&gt;"",SUM(F324,H324)=0),M$290,"")),"")</f>
        <v/>
      </c>
      <c r="K324" s="2334"/>
      <c r="L324" s="2335"/>
    </row>
    <row r="325" spans="1:16" ht="17.55" customHeight="1" x14ac:dyDescent="0.45">
      <c r="A325" s="2299"/>
      <c r="B325" s="2300"/>
      <c r="C325" s="2300"/>
      <c r="D325" s="2300"/>
      <c r="E325" s="2300"/>
      <c r="F325" s="341"/>
      <c r="G325" s="337"/>
      <c r="H325" s="582" t="str">
        <f t="shared" ref="H325:H326" si="33">IF(G325&lt;&gt;0,G325*E$323,"")</f>
        <v/>
      </c>
      <c r="I325" s="438"/>
      <c r="J325" s="2334" t="str">
        <f>IFERROR(IF(AND(SUM(F325:H325)&gt;0,A325=""),"Unvollständig: Umlagezweck angeben / Wert löschen.",IF(AND(A325&lt;&gt;"",SUM(F325,H325)=0),M$290,"")),"")</f>
        <v/>
      </c>
      <c r="K325" s="2334"/>
      <c r="L325" s="2335"/>
    </row>
    <row r="326" spans="1:16" ht="17.55" customHeight="1" x14ac:dyDescent="0.45">
      <c r="A326" s="2299"/>
      <c r="B326" s="2300"/>
      <c r="C326" s="2300"/>
      <c r="D326" s="2300"/>
      <c r="E326" s="2300"/>
      <c r="F326" s="341"/>
      <c r="G326" s="337"/>
      <c r="H326" s="582" t="str">
        <f t="shared" si="33"/>
        <v/>
      </c>
      <c r="I326" s="438"/>
      <c r="J326" s="2334" t="str">
        <f>IFERROR(IF(AND(SUM(F326:H326)&gt;0,A326=""),"Unvollständig: Umlagezweck angeben / Wert löschen.",IF(AND(A326&lt;&gt;"",SUM(F326,H326)=0),M$290,"")),"")</f>
        <v/>
      </c>
      <c r="K326" s="2334"/>
      <c r="L326" s="2335"/>
    </row>
    <row r="327" spans="1:16" ht="17.55" hidden="1" customHeight="1" x14ac:dyDescent="0.45">
      <c r="A327" s="526"/>
      <c r="B327" s="527"/>
      <c r="C327" s="527"/>
      <c r="D327" s="527"/>
      <c r="E327" s="528" t="s">
        <v>439</v>
      </c>
      <c r="F327" s="529"/>
      <c r="G327" s="530">
        <f ca="1">IFERROR(SUM(F317,F321,F324:F326,H324:H326),"")</f>
        <v>0</v>
      </c>
      <c r="H327" s="1183">
        <f ca="1">SUM(F324:G326,F317,F321)</f>
        <v>0</v>
      </c>
      <c r="I327" s="585"/>
      <c r="J327" s="524"/>
      <c r="K327" s="524"/>
      <c r="L327" s="525"/>
    </row>
    <row r="328" spans="1:16" ht="17.55" hidden="1" customHeight="1" x14ac:dyDescent="0.45">
      <c r="A328" s="531" t="s">
        <v>237</v>
      </c>
      <c r="B328" s="533" t="s">
        <v>69</v>
      </c>
      <c r="C328" s="533" t="s">
        <v>90</v>
      </c>
      <c r="D328" s="532"/>
      <c r="E328" s="532"/>
      <c r="H328" s="59"/>
      <c r="I328" s="438"/>
      <c r="L328" s="216"/>
    </row>
    <row r="329" spans="1:16" ht="17.55" hidden="1" customHeight="1" x14ac:dyDescent="0.45">
      <c r="A329" s="534" t="str">
        <f>IF(C315="","",C315)</f>
        <v/>
      </c>
      <c r="B329" s="535" t="str">
        <f>IF(OR(A329="",F317=0),"",F317)</f>
        <v/>
      </c>
      <c r="C329" s="536"/>
      <c r="D329" s="775" t="str">
        <f>IF(OR(A329="",SUM(B329,C329)=0),"",A329)</f>
        <v/>
      </c>
      <c r="E329" s="66" t="str">
        <f>IF(D329="","",ROW())</f>
        <v/>
      </c>
      <c r="F329" s="803" t="str">
        <f ca="1">IFERROR(INDIRECT("D"&amp;(SMALL(E$329:E$333,ROW(D329)-ROW(D$329)+1))),"Umlagen in Pkt H1 anlegen!")</f>
        <v>Umlagen in Pkt H1 anlegen!</v>
      </c>
      <c r="G329" s="668">
        <f ca="1">IF(F329="","",1*ROW())</f>
        <v>329</v>
      </c>
      <c r="H329" s="59"/>
      <c r="I329" s="438"/>
      <c r="L329" s="216"/>
    </row>
    <row r="330" spans="1:16" ht="17.55" hidden="1" customHeight="1" x14ac:dyDescent="0.45">
      <c r="A330" s="534" t="str">
        <f>IF(C319="","",C319)</f>
        <v/>
      </c>
      <c r="B330" s="535" t="str">
        <f ca="1">IF(OR(A330="",F321=0),"",F321)</f>
        <v/>
      </c>
      <c r="C330" s="536"/>
      <c r="D330" s="775" t="str">
        <f ca="1">IF(OR(A330="",SUM(B330,C330)=0),"",A330)</f>
        <v/>
      </c>
      <c r="E330" s="66" t="str">
        <f ca="1">IF(D330="","",ROW())</f>
        <v/>
      </c>
      <c r="F330" s="244" t="str">
        <f ca="1">IFERROR(INDIRECT("D"&amp;(SMALL(E$329:E$333,ROW(D330)-ROW(D$329)+1))),"")</f>
        <v/>
      </c>
      <c r="G330" s="267" t="str">
        <f ca="1">IF(F330="","",1*ROW())</f>
        <v/>
      </c>
      <c r="I330" s="438"/>
      <c r="L330" s="216"/>
    </row>
    <row r="331" spans="1:16" ht="17.55" hidden="1" customHeight="1" x14ac:dyDescent="0.45">
      <c r="A331" s="537" t="str">
        <f>IF(A324="","",A324)</f>
        <v/>
      </c>
      <c r="B331" s="535" t="str">
        <f>IF(OR(A331="",F324=0),"",F324)</f>
        <v/>
      </c>
      <c r="C331" s="552" t="str">
        <f>IF(OR(A331="",G324=0),"",G324)</f>
        <v/>
      </c>
      <c r="D331" s="775" t="str">
        <f t="shared" ref="D331:D333" si="34">IF(OR(A331="",SUM(B331,C331)=0),"",A331)</f>
        <v/>
      </c>
      <c r="E331" s="66" t="str">
        <f t="shared" ref="E331:E333" si="35">IF(D331="","",ROW())</f>
        <v/>
      </c>
      <c r="F331" s="244" t="str">
        <f ca="1">IFERROR(INDIRECT("D"&amp;(SMALL(E$329:E$333,ROW(D331)-ROW(D$329)+1))),"")</f>
        <v/>
      </c>
      <c r="G331" s="267" t="str">
        <f ca="1">IF(F331="","",1*ROW())</f>
        <v/>
      </c>
      <c r="H331" s="42" t="s">
        <v>690</v>
      </c>
      <c r="I331" s="438"/>
      <c r="L331" s="216"/>
    </row>
    <row r="332" spans="1:16" ht="17.55" hidden="1" customHeight="1" x14ac:dyDescent="0.45">
      <c r="A332" s="537" t="str">
        <f>IF(A325="","",A325)</f>
        <v/>
      </c>
      <c r="B332" s="535" t="str">
        <f>IF(OR(A332="",F325=0),"",F325)</f>
        <v/>
      </c>
      <c r="C332" s="552" t="str">
        <f>IF(OR(A332="",G325=0),"",G325)</f>
        <v/>
      </c>
      <c r="D332" s="775" t="str">
        <f t="shared" si="34"/>
        <v/>
      </c>
      <c r="E332" s="66" t="str">
        <f t="shared" si="35"/>
        <v/>
      </c>
      <c r="F332" s="244" t="str">
        <f ca="1">IFERROR(INDIRECT("D"&amp;(SMALL(E$329:E$333,ROW(D332)-ROW(D$329)+1))),"")</f>
        <v/>
      </c>
      <c r="G332" s="267" t="str">
        <f ca="1">IF(F332="","",1*ROW())</f>
        <v/>
      </c>
      <c r="H332" s="267">
        <f ca="1">MIN(G329:G333,ROW(G329))</f>
        <v>329</v>
      </c>
      <c r="I332" s="438"/>
      <c r="L332" s="216"/>
    </row>
    <row r="333" spans="1:16" ht="17.55" hidden="1" customHeight="1" x14ac:dyDescent="0.45">
      <c r="A333" s="537" t="str">
        <f t="shared" ref="A333" si="36">IF(A326="","",A326)</f>
        <v/>
      </c>
      <c r="B333" s="535" t="str">
        <f>IF(OR(A333="",F326=0),"",F326)</f>
        <v/>
      </c>
      <c r="C333" s="552" t="str">
        <f>IF(OR(A333="",G326=0),"",G326)</f>
        <v/>
      </c>
      <c r="D333" s="775" t="str">
        <f t="shared" si="34"/>
        <v/>
      </c>
      <c r="E333" s="777" t="str">
        <f t="shared" si="35"/>
        <v/>
      </c>
      <c r="F333" s="804" t="str">
        <f ca="1">IFERROR(INDIRECT("D"&amp;(SMALL(E$329:E$333,ROW(D333)-ROW(D$329)+1))),"")</f>
        <v/>
      </c>
      <c r="G333" s="719" t="str">
        <f ca="1">IF(F333="","",1*ROW())</f>
        <v/>
      </c>
      <c r="H333" s="719">
        <f ca="1">MAX(G329:G333,ROW(G329))</f>
        <v>329</v>
      </c>
      <c r="I333" s="438"/>
      <c r="L333" s="216"/>
    </row>
    <row r="334" spans="1:16" ht="20" customHeight="1" x14ac:dyDescent="0.45">
      <c r="A334" s="2346" t="str">
        <f ca="1">IF(G327=0,"H3) Zuordnung von Umlagen → es sind keine Umlagen in H1 bzw H2 angelegt!","H3) Zuordnung von in H1 u H2 angelegten Umlagen: "&amp;IF(SUM(F339,H339)=0," → Es sind (noch) keine Umlagen ausgewählt!",""))</f>
        <v>H3) Zuordnung von Umlagen → es sind keine Umlagen in H1 bzw H2 angelegt!</v>
      </c>
      <c r="B334" s="2347"/>
      <c r="C334" s="2347"/>
      <c r="D334" s="2347"/>
      <c r="E334" s="2347"/>
      <c r="F334" s="2347"/>
      <c r="G334" s="2347"/>
      <c r="H334" s="2347"/>
      <c r="I334" s="438"/>
      <c r="L334" s="216"/>
    </row>
    <row r="335" spans="1:16" ht="17.55" customHeight="1" thickBot="1" x14ac:dyDescent="0.5">
      <c r="A335" s="806" t="s">
        <v>636</v>
      </c>
      <c r="B335" s="807"/>
      <c r="C335" s="807"/>
      <c r="D335" s="807"/>
      <c r="E335" s="807"/>
      <c r="F335" s="712" t="s">
        <v>69</v>
      </c>
      <c r="G335" s="712" t="s">
        <v>90</v>
      </c>
      <c r="H335" s="1111" t="s">
        <v>374</v>
      </c>
      <c r="I335" s="438"/>
      <c r="L335" s="216"/>
      <c r="M335" s="1338" t="str">
        <f>A336&amp;A337&amp;A338</f>
        <v/>
      </c>
    </row>
    <row r="336" spans="1:16" ht="17.55" customHeight="1" thickTop="1" x14ac:dyDescent="0.45">
      <c r="A336" s="2337"/>
      <c r="B336" s="2337"/>
      <c r="C336" s="2337"/>
      <c r="D336" s="2337"/>
      <c r="E336" s="2337"/>
      <c r="F336" s="51" t="str">
        <f>IF(A336="","",IFERROR(VLOOKUP(A336,A$329:E$333,2,FALSE),KALKULATION!$M$283))</f>
        <v/>
      </c>
      <c r="G336" s="50" t="str">
        <f>IF(A336="","",IFERROR(VLOOKUP(A336,A$329:E$333,3,FALSE),""))</f>
        <v/>
      </c>
      <c r="H336" s="582" t="str">
        <f ca="1">IFERROR(G336*E$323,"")</f>
        <v/>
      </c>
      <c r="I336" s="438"/>
      <c r="J336" s="2295" t="str">
        <f ca="1">IFERROR(IF(G327&lt;&gt;SUM(F339,H339),"Hinweis: Nicht alle unter H1 bzw H2 angelegten Umlagen sind für die weitere Berechnung ausgewählt! Die weitere Berechnung erfolgt nur mit den ausgewählten Umlagen und in H3 angezeigten Werten.",""),KALKULATION!$M$286)</f>
        <v/>
      </c>
      <c r="K336" s="2295"/>
      <c r="L336" s="2296"/>
      <c r="M336" s="2050">
        <f ca="1">SUM(F339,H339)</f>
        <v>0</v>
      </c>
    </row>
    <row r="337" spans="1:28" ht="17.55" customHeight="1" x14ac:dyDescent="0.45">
      <c r="A337" s="2402"/>
      <c r="B337" s="2402"/>
      <c r="C337" s="2402"/>
      <c r="D337" s="2402"/>
      <c r="E337" s="2402"/>
      <c r="F337" s="48" t="str">
        <f>IF(A337="","",IFERROR(VLOOKUP(A337,A$329:E$333,2,FALSE),KALKULATION!$M$283))</f>
        <v/>
      </c>
      <c r="G337" s="50" t="str">
        <f t="shared" ref="G337:G338" si="37">IF(A337="","",IFERROR(VLOOKUP(A337,A$329:E$333,3,FALSE),""))</f>
        <v/>
      </c>
      <c r="H337" s="583" t="str">
        <f ca="1">IFERROR(G337*E$323,"")</f>
        <v/>
      </c>
      <c r="I337" s="438"/>
      <c r="J337" s="2295"/>
      <c r="K337" s="2295"/>
      <c r="L337" s="2296"/>
    </row>
    <row r="338" spans="1:28" ht="17.55" customHeight="1" thickBot="1" x14ac:dyDescent="0.5">
      <c r="A338" s="2909"/>
      <c r="B338" s="2909"/>
      <c r="C338" s="2909"/>
      <c r="D338" s="2909"/>
      <c r="E338" s="2909"/>
      <c r="F338" s="60" t="str">
        <f>IF(A338="","",IFERROR(VLOOKUP(A338,A$329:E$333,2,FALSE),KALKULATION!$M$283))</f>
        <v/>
      </c>
      <c r="G338" s="171" t="str">
        <f t="shared" si="37"/>
        <v/>
      </c>
      <c r="H338" s="584" t="str">
        <f ca="1">IFERROR(G338*E$323,"")</f>
        <v/>
      </c>
      <c r="I338" s="438"/>
      <c r="J338" s="2295"/>
      <c r="K338" s="2295"/>
      <c r="L338" s="2296"/>
      <c r="O338" s="1338" t="str">
        <f>A336&amp;A337&amp;A338</f>
        <v/>
      </c>
    </row>
    <row r="339" spans="1:28" ht="17.55" customHeight="1" x14ac:dyDescent="0.45">
      <c r="A339" s="2382" t="s">
        <v>321</v>
      </c>
      <c r="B339" s="2383"/>
      <c r="C339" s="2383"/>
      <c r="D339" s="2383"/>
      <c r="E339" s="2384"/>
      <c r="F339" s="73">
        <f>SUM(F336:F338)</f>
        <v>0</v>
      </c>
      <c r="G339" s="50">
        <f>SUM(G336:G338)</f>
        <v>0</v>
      </c>
      <c r="H339" s="73">
        <f ca="1">SUM(H336:H338)</f>
        <v>0</v>
      </c>
      <c r="I339" s="438"/>
      <c r="J339" s="2295"/>
      <c r="K339" s="2295"/>
      <c r="L339" s="2296"/>
    </row>
    <row r="340" spans="1:28" ht="17.55" customHeight="1" x14ac:dyDescent="0.45">
      <c r="A340" s="2517" t="str">
        <f ca="1">IFERROR("H) Ergebnis Zurechnungen (Summe K3 Zeilen 17i): "&amp;TEXT(F339,"0,00€")&amp;" und "&amp;TEXT(G339,"0,00%")&amp;"; gesamt: "&amp;TEXT(F339+H339,"0,00€")&amp;"/Std",KALKULATION!$M$286)</f>
        <v>H) Ergebnis Zurechnungen (Summe K3 Zeilen 17i): 0,00€ und 0,00%; gesamt: 0,00€/Std</v>
      </c>
      <c r="B340" s="2560"/>
      <c r="C340" s="2560"/>
      <c r="D340" s="2560"/>
      <c r="E340" s="2560"/>
      <c r="F340" s="2560"/>
      <c r="G340" s="2560"/>
      <c r="H340" s="2560"/>
      <c r="I340" s="438"/>
      <c r="J340" s="2420" t="str">
        <f ca="1">IF(AND(A336&amp;A337&amp;A338&lt;&gt;"",SUM(F339,H339)=0),"Durch Löschen von Eintragungen in H1/H2 sind Texte in H3 erhalten geblieben. Bereinigen Sie H3 vor dem Löschen von H1/H2.","")</f>
        <v/>
      </c>
      <c r="K340" s="2420"/>
      <c r="L340" s="2421"/>
      <c r="M340" s="2048"/>
    </row>
    <row r="341" spans="1:28" ht="20" customHeight="1" x14ac:dyDescent="0.45">
      <c r="A341" s="2643" t="str">
        <f ca="1">A$74</f>
        <v>Info: KV &amp; up.Z: 18,17€ | abgabepfl. Pers.ko: 25,23€ | vor Uml: 51,19€ | KOSTEN: 56,83€ | PREIS: 72,74€</v>
      </c>
      <c r="B341" s="2644"/>
      <c r="C341" s="2644"/>
      <c r="D341" s="2644"/>
      <c r="E341" s="2644"/>
      <c r="F341" s="2644"/>
      <c r="G341" s="2644"/>
      <c r="H341" s="2644"/>
      <c r="I341" s="438"/>
      <c r="J341" s="2420"/>
      <c r="K341" s="2420"/>
      <c r="L341" s="2421"/>
      <c r="AA341" s="524"/>
      <c r="AB341" s="524"/>
    </row>
    <row r="342" spans="1:28" s="524" customFormat="1" ht="17.850000000000001" customHeight="1" x14ac:dyDescent="0.45">
      <c r="A342" s="2575"/>
      <c r="B342" s="2576"/>
      <c r="C342" s="2576"/>
      <c r="D342" s="2576"/>
      <c r="E342" s="2576"/>
      <c r="F342" s="2576"/>
      <c r="G342" s="2576"/>
      <c r="H342" s="2576"/>
      <c r="I342" s="2576"/>
      <c r="J342" s="45"/>
      <c r="K342" s="42"/>
      <c r="L342" s="216"/>
      <c r="M342" s="1965" t="s">
        <v>606</v>
      </c>
      <c r="N342" s="1965" t="s">
        <v>568</v>
      </c>
      <c r="O342" s="1338"/>
      <c r="P342" s="1338"/>
      <c r="Q342" s="1338"/>
      <c r="R342" s="1338"/>
      <c r="S342" s="1338"/>
      <c r="T342" s="1338"/>
      <c r="U342" s="1338"/>
      <c r="V342" s="1338"/>
      <c r="W342" s="1338"/>
      <c r="X342" s="267"/>
      <c r="Y342" s="267"/>
      <c r="Z342" s="42"/>
      <c r="AA342" s="42"/>
      <c r="AB342" s="42"/>
    </row>
    <row r="343" spans="1:28" ht="25.05" customHeight="1" x14ac:dyDescent="0.45">
      <c r="A343" s="2372" t="s">
        <v>833</v>
      </c>
      <c r="B343" s="2373"/>
      <c r="C343" s="2373"/>
      <c r="D343" s="2373"/>
      <c r="E343" s="2373"/>
      <c r="F343" s="2373"/>
      <c r="G343" s="2373"/>
      <c r="H343" s="2373"/>
      <c r="I343" s="438"/>
      <c r="L343" s="216"/>
      <c r="M343" s="2051" t="str">
        <f>IF('K2 GZ'!C12=0,"",'K2 GZ'!C12)</f>
        <v>Alle Kostenarten</v>
      </c>
      <c r="N343" s="1338">
        <f>IF(M343="","",1*ROW())</f>
        <v>343</v>
      </c>
    </row>
    <row r="344" spans="1:28" ht="17.850000000000001" customHeight="1" x14ac:dyDescent="0.45">
      <c r="A344" s="2982" t="s">
        <v>759</v>
      </c>
      <c r="B344" s="2983"/>
      <c r="C344" s="2983"/>
      <c r="D344" s="2983"/>
      <c r="E344" s="2455" t="s">
        <v>637</v>
      </c>
      <c r="F344" s="2456"/>
      <c r="G344" s="1100" t="s">
        <v>852</v>
      </c>
      <c r="H344" s="1118" t="s">
        <v>853</v>
      </c>
      <c r="I344" s="438"/>
      <c r="L344" s="216"/>
      <c r="M344" s="2051" t="str">
        <f>IF('K2 GZ'!C13=0,"",'K2 GZ'!C13)</f>
        <v/>
      </c>
      <c r="N344" s="1338" t="str">
        <f t="shared" ref="N344:N350" si="38">IF(M344="","",1*ROW())</f>
        <v/>
      </c>
    </row>
    <row r="345" spans="1:28" ht="28.5" customHeight="1" x14ac:dyDescent="0.45">
      <c r="A345" s="2491" t="str">
        <f>IF(G345&lt;&gt;KALKULATION!$M$283,"I1) Ergebnis GZ auf PERSONALKOSTEN (K3 Z 20/B)","GZ auf PERSONALKOSTEN aus K2-Blatt wählen:   ↓")</f>
        <v>I1) Ergebnis GZ auf PERSONALKOSTEN (K3 Z 20/B)</v>
      </c>
      <c r="B345" s="2492"/>
      <c r="C345" s="2492"/>
      <c r="D345" s="2544"/>
      <c r="E345" s="2459" t="s">
        <v>1094</v>
      </c>
      <c r="F345" s="2460"/>
      <c r="G345" s="207">
        <f>IFERROR(VLOOKUP(E345,'K2 GZ'!I$25:M$32,5,FALSE),KALKULATION!$M$283)</f>
        <v>0.28000000000000003</v>
      </c>
      <c r="H345" s="568">
        <f ca="1">IFERROR(' K3 PP'!O43,"")</f>
        <v>15.91</v>
      </c>
      <c r="I345" s="438"/>
      <c r="J345" s="271" t="str">
        <f>IF(G345=KALKULATION!M283,"GZ wählen!!",IF(OR(ISBLANK(E345),G345=KALKULATION!$M$283,G345=0),"GZ?",""))</f>
        <v/>
      </c>
      <c r="K345" s="2614" t="str">
        <f>IF(OR(G345&gt;Report!F13,G345&lt;Report!G13),"Hinweis: GZ auf Personalkosten (K3 Zeile 20/B) außerhalb der Richtwerte gem Blatt REPORT. ","")</f>
        <v/>
      </c>
      <c r="L345" s="2615"/>
      <c r="M345" s="2051" t="str">
        <f>IF('K2 GZ'!C14=0,"",'K2 GZ'!C14)</f>
        <v/>
      </c>
      <c r="N345" s="1338" t="str">
        <f t="shared" si="38"/>
        <v/>
      </c>
    </row>
    <row r="346" spans="1:28" ht="28.5" customHeight="1" x14ac:dyDescent="0.45">
      <c r="A346" s="2517" t="str">
        <f ca="1">IF($H$327=0,"I2) GZ auf Umlage | Keine UMLAGEN vorhanden!",IF(OR(A336&amp;A337&amp;A338="",SUM(F339,H339)=0),"I2) GZ auf Umlagen | keine Umlagen ausgewählt!",IF(J346="","I2) Ergebnis GZ auf UMLAGEN (K3 Z 20/A)","GZ auf UMLAGEN aus K2-Blatt wählen:                ↓")))</f>
        <v>I2) GZ auf Umlage | Keine UMLAGEN vorhanden!</v>
      </c>
      <c r="B346" s="2560"/>
      <c r="C346" s="2560"/>
      <c r="D346" s="2518"/>
      <c r="E346" s="2602" t="s">
        <v>1094</v>
      </c>
      <c r="F346" s="2603"/>
      <c r="G346" s="662"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614"/>
      <c r="L346" s="2615"/>
      <c r="M346" s="2051" t="str">
        <f>IF('K2 GZ'!C15=0,"",'K2 GZ'!C15)</f>
        <v/>
      </c>
      <c r="N346" s="1338" t="str">
        <f t="shared" si="38"/>
        <v/>
      </c>
    </row>
    <row r="347" spans="1:28" ht="20" customHeight="1" x14ac:dyDescent="0.45">
      <c r="A347" s="2643" t="str">
        <f ca="1">A$74</f>
        <v>Info: KV &amp; up.Z: 18,17€ | abgabepfl. Pers.ko: 25,23€ | vor Uml: 51,19€ | KOSTEN: 56,83€ | PREIS: 72,74€</v>
      </c>
      <c r="B347" s="2644"/>
      <c r="C347" s="2644"/>
      <c r="D347" s="2644"/>
      <c r="E347" s="2644"/>
      <c r="F347" s="2644"/>
      <c r="G347" s="2644"/>
      <c r="H347" s="2644"/>
      <c r="I347" s="438"/>
      <c r="J347" s="1003"/>
      <c r="K347" s="2614"/>
      <c r="L347" s="2615"/>
      <c r="M347" s="2051" t="str">
        <f>IF('K2 GZ'!C16=0,"",'K2 GZ'!C16)</f>
        <v/>
      </c>
    </row>
    <row r="348" spans="1:28" ht="17.850000000000001" customHeight="1" x14ac:dyDescent="0.45">
      <c r="A348" s="2478" t="str">
        <f>IF(SUM(E366:F366)&lt;&gt;0,"PGK in Pkt G2 durch Bestimmung eines Zielwerts geändert. ["&amp;A365&amp;"]","")</f>
        <v/>
      </c>
      <c r="B348" s="2516"/>
      <c r="C348" s="2516"/>
      <c r="D348" s="2516"/>
      <c r="E348" s="2516"/>
      <c r="F348" s="2516"/>
      <c r="G348" s="2516"/>
      <c r="H348" s="2516"/>
      <c r="I348" s="2516"/>
      <c r="J348" s="1003"/>
      <c r="K348" s="2614"/>
      <c r="L348" s="2615"/>
      <c r="M348" s="2051" t="str">
        <f>IF('K2 GZ'!C17=0,"",'K2 GZ'!C17)</f>
        <v/>
      </c>
      <c r="N348" s="1338" t="str">
        <f t="shared" si="38"/>
        <v/>
      </c>
    </row>
    <row r="349" spans="1:28" ht="25.05" customHeight="1" x14ac:dyDescent="0.45">
      <c r="A349" s="2439" t="s">
        <v>1026</v>
      </c>
      <c r="B349" s="2440"/>
      <c r="C349" s="2440"/>
      <c r="D349" s="2440"/>
      <c r="E349" s="2440"/>
      <c r="F349" s="2440"/>
      <c r="G349" s="2440"/>
      <c r="H349" s="2440"/>
      <c r="I349" s="2440"/>
      <c r="L349" s="216"/>
      <c r="M349" s="2051" t="str">
        <f>IF('K2 GZ'!C18=0,"",'K2 GZ'!C18)</f>
        <v/>
      </c>
      <c r="N349" s="1338" t="str">
        <f t="shared" si="38"/>
        <v/>
      </c>
    </row>
    <row r="350" spans="1:28" ht="17.850000000000001" customHeight="1" x14ac:dyDescent="0.45">
      <c r="A350" s="2457" t="s">
        <v>835</v>
      </c>
      <c r="B350" s="2458"/>
      <c r="C350" s="1207" t="s">
        <v>731</v>
      </c>
      <c r="D350" s="1099" t="s">
        <v>836</v>
      </c>
      <c r="E350" s="1949">
        <v>182.7</v>
      </c>
      <c r="F350" s="1949"/>
      <c r="G350" s="2563" t="str">
        <f ca="1">IFERROR(IF(ABS(' K3 PP'!X45)&lt;0.02,' K3 PP'!Y48&amp;' K3 PP'!Z48&amp;' K3 PP'!AA48,KALKULATION!M287),$M$289)</f>
        <v>72,74 €/Std | 
1,21 €/Min</v>
      </c>
      <c r="H350" s="2564"/>
      <c r="I350" s="438"/>
      <c r="J350" s="2426" t="str">
        <f ca="1">IFERROR(IF(AND(C350=M358,E350=M361),"Information: Der Standardwert "&amp;TEXT(M361,"0,0")&amp;" Std/Mo ist ausArbeitszeit/Wo x 4,35Wo/Mo errechnet. Wenn unzutreffend, Auswahl auf EIGEN stellen.",IF(AND(C350=M358,E350=M362),O362,"Auswahl aktualisieren!!!")),"Eingaben vervollständigen!")</f>
        <v>Auswahl aktualisieren!!!</v>
      </c>
      <c r="K350" s="2426"/>
      <c r="L350" s="2427"/>
      <c r="M350" s="2051" t="str">
        <f>IF('K2 GZ'!C19=0,"",'K2 GZ'!C19)</f>
        <v/>
      </c>
      <c r="N350" s="1338" t="str">
        <f t="shared" si="38"/>
        <v/>
      </c>
    </row>
    <row r="351" spans="1:28" ht="17.850000000000001" customHeight="1" x14ac:dyDescent="0.45">
      <c r="A351" s="2491" t="s">
        <v>837</v>
      </c>
      <c r="B351" s="2492"/>
      <c r="C351" s="2492"/>
      <c r="D351" s="2492"/>
      <c r="E351" s="2544"/>
      <c r="F351" s="522" t="s">
        <v>192</v>
      </c>
      <c r="G351" s="2565" t="str">
        <f>IF(_Anzeige_Prozent=_Nein,"Ansicht wie ÖNORM-Blatt","zusätzlich u.a. mit %-Angaben")</f>
        <v>zusätzlich u.a. mit %-Angaben</v>
      </c>
      <c r="H351" s="2566"/>
      <c r="I351" s="438"/>
      <c r="J351" s="2426"/>
      <c r="K351" s="2426"/>
      <c r="L351" s="2427"/>
      <c r="M351" s="1338" t="s">
        <v>566</v>
      </c>
      <c r="N351" s="1338">
        <f>MIN(N343:N350,ROW(N343))</f>
        <v>343</v>
      </c>
    </row>
    <row r="352" spans="1:28" ht="17.850000000000001" customHeight="1" x14ac:dyDescent="0.45">
      <c r="A352" s="1182" t="s">
        <v>615</v>
      </c>
      <c r="B352" s="353"/>
      <c r="C352" s="438"/>
      <c r="D352" s="438"/>
      <c r="E352" s="438"/>
      <c r="F352" s="438"/>
      <c r="G352" s="2577" t="s">
        <v>1096</v>
      </c>
      <c r="H352" s="2578"/>
      <c r="I352" s="438"/>
      <c r="J352" s="2426"/>
      <c r="K352" s="2426"/>
      <c r="L352" s="2427"/>
      <c r="M352" s="1338" t="s">
        <v>567</v>
      </c>
      <c r="N352" s="1338">
        <f>MAX(N343:N350,ROW(N343))</f>
        <v>343</v>
      </c>
    </row>
    <row r="353" spans="1:15" ht="17.850000000000001" customHeight="1" x14ac:dyDescent="0.45">
      <c r="A353" s="2522" t="s">
        <v>1039</v>
      </c>
      <c r="B353" s="2586"/>
      <c r="C353" s="2586"/>
      <c r="D353" s="2586"/>
      <c r="E353" s="2586"/>
      <c r="F353" s="355"/>
      <c r="G353" s="2579"/>
      <c r="H353" s="2580"/>
      <c r="I353" s="438"/>
      <c r="J353" s="2426"/>
      <c r="K353" s="2426"/>
      <c r="L353" s="2427"/>
    </row>
    <row r="354" spans="1:15" ht="17.850000000000001" customHeight="1" x14ac:dyDescent="0.45">
      <c r="A354" s="2524"/>
      <c r="B354" s="2587"/>
      <c r="C354" s="2587"/>
      <c r="D354" s="2587"/>
      <c r="E354" s="2587"/>
      <c r="F354" s="522" t="s">
        <v>193</v>
      </c>
      <c r="G354" s="2579"/>
      <c r="H354" s="2580"/>
      <c r="I354" s="576" t="str">
        <f>(IF(F354&lt;&gt;"Nein","X",""))</f>
        <v/>
      </c>
      <c r="J354" s="3007" t="str">
        <f>IF(F354="","Bitte Auswählen!!","")</f>
        <v/>
      </c>
      <c r="K354" s="3007"/>
      <c r="L354" s="3008"/>
      <c r="M354" s="2052" t="s">
        <v>677</v>
      </c>
    </row>
    <row r="355" spans="1:15" ht="17.850000000000001" customHeight="1" x14ac:dyDescent="0.45">
      <c r="A355" s="2285" t="s">
        <v>621</v>
      </c>
      <c r="B355" s="2286"/>
      <c r="C355" s="2286"/>
      <c r="D355" s="2286"/>
      <c r="E355" s="2286"/>
      <c r="F355" s="810" t="s">
        <v>397</v>
      </c>
      <c r="G355" s="2579"/>
      <c r="H355" s="2580"/>
      <c r="I355" s="576"/>
      <c r="J355" s="2422" t="str">
        <f>IF(AND(F354&lt;&gt;"Nein",F355=""),"Bitte Auswählen oder J3.a auf NEIN stellen!","")</f>
        <v/>
      </c>
      <c r="K355" s="2422"/>
      <c r="L355" s="2423"/>
      <c r="M355" s="2053" t="s">
        <v>726</v>
      </c>
    </row>
    <row r="356" spans="1:15" ht="17.850000000000001" customHeight="1" x14ac:dyDescent="0.45">
      <c r="A356" s="435" t="s">
        <v>1033</v>
      </c>
      <c r="B356" s="602"/>
      <c r="C356" s="602"/>
      <c r="D356" s="602"/>
      <c r="E356" s="602"/>
      <c r="F356" s="810" t="s">
        <v>1095</v>
      </c>
      <c r="G356" s="2579"/>
      <c r="H356" s="2580"/>
      <c r="I356" s="576"/>
      <c r="J356" s="2359" t="str">
        <f>IF(AND(F354&lt;&gt;"Nein",F356=""),"Bitte Auswählen oder J3.a auf NEIN stellen!","")</f>
        <v/>
      </c>
      <c r="K356" s="2359"/>
      <c r="L356" s="2360"/>
      <c r="M356" s="2053" t="s">
        <v>731</v>
      </c>
    </row>
    <row r="357" spans="1:15" ht="20" customHeight="1" x14ac:dyDescent="0.45">
      <c r="A357" s="2317" t="str">
        <f ca="1">B371&amp;B372&amp;B373&amp;B374&amp;B375</f>
        <v/>
      </c>
      <c r="B357" s="2315"/>
      <c r="C357" s="2315"/>
      <c r="D357" s="2315"/>
      <c r="E357" s="2315"/>
      <c r="F357" s="603"/>
      <c r="G357" s="2579"/>
      <c r="H357" s="2580"/>
      <c r="I357" s="576"/>
      <c r="J357" s="2303" t="str">
        <f ca="1">B395&amp;B400</f>
        <v/>
      </c>
      <c r="K357" s="2303"/>
      <c r="L357" s="2310"/>
      <c r="M357" s="2053" t="s">
        <v>732</v>
      </c>
    </row>
    <row r="358" spans="1:15" ht="20" customHeight="1" x14ac:dyDescent="0.45">
      <c r="A358" s="2317"/>
      <c r="B358" s="2315"/>
      <c r="C358" s="2315"/>
      <c r="D358" s="2315"/>
      <c r="E358" s="2315"/>
      <c r="F358" s="603"/>
      <c r="G358" s="2579"/>
      <c r="H358" s="2580"/>
      <c r="I358" s="576"/>
      <c r="J358" s="2303"/>
      <c r="K358" s="2303"/>
      <c r="L358" s="2310"/>
      <c r="M358" s="2054" t="s">
        <v>727</v>
      </c>
    </row>
    <row r="359" spans="1:15" ht="17.55" customHeight="1" x14ac:dyDescent="0.45">
      <c r="A359" s="2317"/>
      <c r="B359" s="2315"/>
      <c r="C359" s="2315"/>
      <c r="D359" s="2315"/>
      <c r="E359" s="2315"/>
      <c r="F359" s="881" t="str">
        <f ca="1">IF(AND(D379&gt;0,F360=""),"↓  "&amp;TEXT(E380,"0,000")&amp;"  ↓",IF(J357&lt;&gt;"","↓ löschen ↓",""))</f>
        <v/>
      </c>
      <c r="G359" s="2579"/>
      <c r="H359" s="2580"/>
      <c r="I359" s="438"/>
      <c r="J359" s="2303"/>
      <c r="K359" s="2303"/>
      <c r="L359" s="2310"/>
    </row>
    <row r="360" spans="1:15" ht="17.55" customHeight="1" x14ac:dyDescent="0.45">
      <c r="A360" s="2589"/>
      <c r="B360" s="2590"/>
      <c r="C360" s="2590"/>
      <c r="D360" s="2590"/>
      <c r="E360" s="2590"/>
      <c r="F360" s="811"/>
      <c r="G360" s="2581"/>
      <c r="H360" s="2582"/>
      <c r="I360" s="438"/>
      <c r="J360" s="2303"/>
      <c r="K360" s="2303"/>
      <c r="L360" s="2310"/>
      <c r="M360" s="2055" t="s">
        <v>677</v>
      </c>
      <c r="N360" s="2052"/>
    </row>
    <row r="361" spans="1:15" ht="17.55" customHeight="1" x14ac:dyDescent="0.45">
      <c r="A361" s="2545" t="s">
        <v>1025</v>
      </c>
      <c r="B361" s="2546"/>
      <c r="C361" s="2546"/>
      <c r="D361" s="2546"/>
      <c r="E361" s="2546"/>
      <c r="F361" s="2547"/>
      <c r="I361" s="438"/>
      <c r="J361" s="2303"/>
      <c r="K361" s="2303"/>
      <c r="L361" s="2310"/>
      <c r="M361" s="2056">
        <f ca="1">4.35*C95</f>
        <v>174</v>
      </c>
      <c r="N361" s="2057">
        <f ca="1">M361</f>
        <v>174</v>
      </c>
    </row>
    <row r="362" spans="1:15" ht="17.55" customHeight="1" x14ac:dyDescent="0.45">
      <c r="A362" s="1281" t="s">
        <v>769</v>
      </c>
      <c r="B362" s="2430" t="s">
        <v>1011</v>
      </c>
      <c r="C362" s="2431"/>
      <c r="D362" s="2432"/>
      <c r="E362" s="1858">
        <f>VLOOKUP(B362,M411:O413,3,FALSE)</f>
        <v>0</v>
      </c>
      <c r="F362" s="1859">
        <f>IF(E362&lt;&gt;0,D363,0)</f>
        <v>0</v>
      </c>
      <c r="G362" s="1860">
        <f>IFERROR(-1*(E362-F362),"?")</f>
        <v>0</v>
      </c>
      <c r="I362" s="438"/>
      <c r="J362" s="2303"/>
      <c r="K362" s="2303"/>
      <c r="L362" s="2310"/>
      <c r="M362" s="2058" t="s">
        <v>1108</v>
      </c>
      <c r="N362" s="2059" t="str">
        <f>IF(F350="","",F350)</f>
        <v/>
      </c>
      <c r="O362" s="1338" t="e">
        <f ca="1">IF((ABS(N362-N361)/N361)&gt;0.1,"Hinweis: Der eigene Eingabewert in Hv "&amp;TEXT(N362,"0,0")&amp;" Std/Mo weicht vom Erwartungswert "&amp;TEXT(N361,"0,0")&amp;" Std/Mo um mehr als 10% ab. Bitte prüfen.","")</f>
        <v>#VALUE!</v>
      </c>
    </row>
    <row r="363" spans="1:15" ht="17.55" customHeight="1" x14ac:dyDescent="0.45">
      <c r="A363" s="1279" t="str">
        <f>IFERROR("J4.a) Statt aktuell "&amp;TEXT(VLOOKUP(B362,M411:O413,3,FALSE),"0,00€")&amp;" Zielwert von:",M289)</f>
        <v>J4.a) Statt aktuell 0,00€ Zielwert von:</v>
      </c>
      <c r="B363" s="267"/>
      <c r="C363" s="267"/>
      <c r="D363" s="565"/>
      <c r="E363" s="1890" t="str">
        <f>IFERROR(IF(G362=0,"",IF(AND(D363="",SUM(E365:F365)=0),"← Zielwert eintragen!","  Delta zum Zielwert aktuell "&amp;TEXT(G362,"0,00€")&amp;"; siehe Info rechts!")),"Kalkulation ergibt noch kein Ergebnis!")</f>
        <v/>
      </c>
      <c r="I363" s="438"/>
      <c r="J363" s="2303"/>
      <c r="K363" s="2303"/>
      <c r="L363" s="2310"/>
      <c r="M363" s="2060" t="s">
        <v>728</v>
      </c>
      <c r="N363" s="2061">
        <f ca="1">IF(E350=M362,N362,N361)</f>
        <v>174</v>
      </c>
    </row>
    <row r="364" spans="1:15" ht="20" customHeight="1" x14ac:dyDescent="0.45">
      <c r="A364" s="2554" t="str">
        <f>IF(AND(D363&lt;&gt;"",SUM(E365:F365)=0),M420,M419)</f>
        <v>J4.b) Für (neue) Simulation ggf. J4.c löschen; beachte den dadurch ev. geänderten Wert bei J4.a!</v>
      </c>
      <c r="B364" s="2554"/>
      <c r="C364" s="2554"/>
      <c r="D364" s="2554"/>
      <c r="E364" s="2554"/>
      <c r="F364" s="2554"/>
      <c r="G364" s="2554"/>
      <c r="H364" s="2554"/>
      <c r="I364" s="438"/>
      <c r="J364" s="2303"/>
      <c r="K364" s="2303"/>
      <c r="L364" s="2310"/>
    </row>
    <row r="365" spans="1:15" ht="17.55" customHeight="1" x14ac:dyDescent="0.45">
      <c r="A365" s="2588" t="str">
        <f>IFERROR(IF(G362=0,M426,IF(ABS(G362)=0.01,M425,IF(AND(SUM(E365:F365)&lt;&gt;0,ABS(G362)&gt;0.01),M423,M424))),M289)</f>
        <v>J4.c) Zielwert erreicht!</v>
      </c>
      <c r="B365" s="2588"/>
      <c r="C365" s="2588"/>
      <c r="D365" s="2588"/>
      <c r="E365" s="338"/>
      <c r="F365" s="1891"/>
      <c r="G365" s="1300" t="str">
        <f>IF(A365=M423,"← löschen","")</f>
        <v/>
      </c>
      <c r="H365" s="1287"/>
      <c r="I365" s="438"/>
      <c r="J365" s="2329" t="str">
        <f>IF(B362&lt;&gt;M411,M415,"")</f>
        <v/>
      </c>
      <c r="K365" s="2329"/>
      <c r="L365" s="2330"/>
      <c r="M365" s="2062" t="s">
        <v>1109</v>
      </c>
    </row>
    <row r="366" spans="1:15" ht="17.55" customHeight="1" x14ac:dyDescent="0.45">
      <c r="A366" s="1302" t="s">
        <v>1034</v>
      </c>
      <c r="B366" s="719"/>
      <c r="C366" s="719"/>
      <c r="D366" s="719"/>
      <c r="E366" s="1280">
        <f>IF($B362&lt;&gt;$M411,E365,0)</f>
        <v>0</v>
      </c>
      <c r="F366" s="1308">
        <f>IF($B362&lt;&gt;$M411,F365,0)</f>
        <v>0</v>
      </c>
      <c r="G366" s="2555" t="str">
        <f ca="1">"∑ PGK aktuell "&amp;TEXT(H308,"0,00€")&amp;" | "&amp;TEXT(H308/H281,"0,00%")</f>
        <v>∑ PGK aktuell 5,64€ | 11,02%</v>
      </c>
      <c r="H366" s="2555"/>
      <c r="I366" s="438"/>
      <c r="J366" s="2329"/>
      <c r="K366" s="2329"/>
      <c r="L366" s="2330"/>
    </row>
    <row r="367" spans="1:15" ht="17.55" customHeight="1" x14ac:dyDescent="0.45">
      <c r="A367" s="2355" t="str">
        <f ca="1">A$74</f>
        <v>Info: KV &amp; up.Z: 18,17€ | abgabepfl. Pers.ko: 25,23€ | vor Uml: 51,19€ | KOSTEN: 56,83€ | PREIS: 72,74€</v>
      </c>
      <c r="B367" s="2356"/>
      <c r="C367" s="2356"/>
      <c r="D367" s="2356"/>
      <c r="E367" s="2356"/>
      <c r="F367" s="2356"/>
      <c r="G367" s="2356"/>
      <c r="H367" s="2356"/>
      <c r="I367" s="438"/>
      <c r="J367" s="2329"/>
      <c r="K367" s="2329"/>
      <c r="L367" s="2330"/>
    </row>
    <row r="368" spans="1:15" ht="17.55" customHeight="1" x14ac:dyDescent="0.45">
      <c r="A368" s="2567" t="s">
        <v>1036</v>
      </c>
      <c r="B368" s="2567"/>
      <c r="C368" s="2567"/>
      <c r="D368" s="2567"/>
      <c r="E368" s="2567"/>
      <c r="F368" s="2567"/>
      <c r="G368" s="2567"/>
      <c r="H368" s="2567"/>
      <c r="I368" s="438"/>
      <c r="J368" s="2329"/>
      <c r="K368" s="2329"/>
      <c r="L368" s="2330"/>
    </row>
    <row r="369" spans="1:23" ht="20" customHeight="1" x14ac:dyDescent="0.45">
      <c r="A369" s="2567"/>
      <c r="B369" s="2567"/>
      <c r="C369" s="2567"/>
      <c r="D369" s="2567"/>
      <c r="E369" s="2567"/>
      <c r="F369" s="2567"/>
      <c r="G369" s="2567"/>
      <c r="H369" s="2567"/>
      <c r="I369" s="438"/>
      <c r="J369" s="2329"/>
      <c r="K369" s="2329"/>
      <c r="L369" s="2330"/>
    </row>
    <row r="370" spans="1:23" ht="17.55" customHeight="1" x14ac:dyDescent="0.45">
      <c r="A370" s="2567"/>
      <c r="B370" s="2567"/>
      <c r="C370" s="2567"/>
      <c r="D370" s="2567"/>
      <c r="E370" s="2567"/>
      <c r="F370" s="2567"/>
      <c r="G370" s="2567"/>
      <c r="H370" s="2567"/>
      <c r="I370" s="438"/>
      <c r="J370" s="2329"/>
      <c r="K370" s="2329"/>
      <c r="L370" s="2330"/>
    </row>
    <row r="371" spans="1:23" s="267" customFormat="1" ht="17.55" hidden="1" customHeight="1" x14ac:dyDescent="0.45">
      <c r="A371" s="267" t="s">
        <v>622</v>
      </c>
      <c r="B371" s="1288" t="str">
        <f>IF(J355&amp;J356&lt;&gt;"","J3.d) Es fehlen noch Einstellungen in J3.b oder J3.c!","")</f>
        <v/>
      </c>
      <c r="C371" s="1288"/>
      <c r="D371" s="1288"/>
      <c r="E371" s="1288"/>
      <c r="F371" s="1288"/>
      <c r="G371" s="1288"/>
      <c r="H371" s="1288"/>
      <c r="I371" s="438"/>
      <c r="J371" s="2329"/>
      <c r="K371" s="2329"/>
      <c r="L371" s="2330"/>
      <c r="M371" s="1338"/>
      <c r="N371" s="1338"/>
      <c r="O371" s="1338"/>
      <c r="P371" s="1338"/>
      <c r="Q371" s="1338"/>
      <c r="R371" s="1338"/>
      <c r="S371" s="1338"/>
      <c r="T371" s="1338"/>
      <c r="U371" s="1338"/>
      <c r="V371" s="1338"/>
      <c r="W371" s="1338"/>
    </row>
    <row r="372" spans="1:23" s="267" customFormat="1" ht="17.55" hidden="1" customHeight="1" x14ac:dyDescent="0.45">
      <c r="A372" s="667" t="s">
        <v>623</v>
      </c>
      <c r="B372" s="1288" t="str">
        <f>IF(AND(F354&lt;&gt;"Nein",D379=0,F360=0,B371=""),"J3.d) Um das nach den Einstellungen in J3.a bis .c gewünschte Ergebnis zu erzielen, sind keine weiteren Maßnahmen erforderlich.","")</f>
        <v/>
      </c>
      <c r="C372" s="1288"/>
      <c r="D372" s="1288"/>
      <c r="E372" s="1288"/>
      <c r="F372" s="1288"/>
      <c r="G372" s="1288"/>
      <c r="H372" s="1288"/>
      <c r="I372" s="438"/>
      <c r="J372" s="2329"/>
      <c r="K372" s="2329"/>
      <c r="L372" s="2330"/>
      <c r="M372" s="1338"/>
      <c r="N372" s="1338"/>
      <c r="O372" s="1338"/>
      <c r="P372" s="1338"/>
      <c r="Q372" s="1338"/>
      <c r="R372" s="1338"/>
      <c r="S372" s="1338"/>
      <c r="T372" s="1338"/>
      <c r="U372" s="1338"/>
      <c r="V372" s="1338"/>
      <c r="W372" s="1338"/>
    </row>
    <row r="373" spans="1:23" s="267" customFormat="1" ht="17.55" hidden="1" customHeight="1" x14ac:dyDescent="0.45">
      <c r="A373" s="267" t="s">
        <v>624</v>
      </c>
      <c r="B373" s="1288" t="str">
        <f>IF(AND(F354&lt;&gt;"Nein",D379&gt;0,B371="",B372=""),"J3.d) Um die Rundung vorzunehmen, tragen Sie in das Feld rechts unten die Zahl "&amp;E380&amp;" ein. Ein Ausgleichswert wird unter dem Titel Rundungsausgleich den PGK Pkt G2 hinzugezählt.","")</f>
        <v/>
      </c>
      <c r="C373" s="1288"/>
      <c r="D373" s="1288"/>
      <c r="E373" s="1288"/>
      <c r="F373" s="1288"/>
      <c r="G373" s="1288"/>
      <c r="H373" s="1288"/>
      <c r="I373" s="438"/>
      <c r="J373" s="2329"/>
      <c r="K373" s="2329"/>
      <c r="L373" s="2330"/>
      <c r="M373" s="1338"/>
      <c r="N373" s="1338"/>
      <c r="O373" s="1338"/>
      <c r="P373" s="1338"/>
      <c r="Q373" s="1338"/>
      <c r="R373" s="1338"/>
      <c r="S373" s="1338"/>
      <c r="T373" s="1338"/>
      <c r="U373" s="1338"/>
      <c r="V373" s="1338"/>
      <c r="W373" s="1338"/>
    </row>
    <row r="374" spans="1:23" s="267" customFormat="1" ht="17.55" hidden="1" customHeight="1" x14ac:dyDescent="0.45">
      <c r="A374" s="267" t="s">
        <v>625</v>
      </c>
      <c r="B374" s="1288"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88"/>
      <c r="D374" s="1288"/>
      <c r="E374" s="1288"/>
      <c r="F374" s="1288"/>
      <c r="G374" s="1288"/>
      <c r="H374" s="1288"/>
      <c r="I374" s="438"/>
      <c r="J374" s="2329"/>
      <c r="K374" s="2329"/>
      <c r="L374" s="2330"/>
      <c r="M374" s="1338"/>
      <c r="N374" s="1338"/>
      <c r="O374" s="1338"/>
      <c r="P374" s="1338"/>
      <c r="Q374" s="1338"/>
      <c r="R374" s="1338"/>
      <c r="S374" s="1338"/>
      <c r="T374" s="1338"/>
      <c r="U374" s="1338"/>
      <c r="V374" s="1338"/>
      <c r="W374" s="1338"/>
    </row>
    <row r="375" spans="1:23" s="267" customFormat="1" ht="17.55" hidden="1" customHeight="1" x14ac:dyDescent="0.45">
      <c r="A375" s="267" t="s">
        <v>553</v>
      </c>
      <c r="B375" s="1288" t="str">
        <f ca="1">IF(AND(J357&lt;&gt;"",B371&amp;B372&amp;B373&amp;B374=""),"J3.d) Beachten Sie bitte die WARNUNGEN!","")</f>
        <v/>
      </c>
      <c r="C375" s="1288"/>
      <c r="D375" s="1288"/>
      <c r="E375" s="1288"/>
      <c r="F375" s="1288"/>
      <c r="G375" s="1288"/>
      <c r="H375" s="1288"/>
      <c r="I375" s="438"/>
      <c r="J375" s="2329"/>
      <c r="K375" s="2329"/>
      <c r="L375" s="2330"/>
      <c r="M375" s="1338"/>
      <c r="N375" s="1338"/>
      <c r="O375" s="1338"/>
      <c r="P375" s="1338"/>
      <c r="Q375" s="1338"/>
      <c r="R375" s="1338"/>
      <c r="S375" s="1338"/>
      <c r="T375" s="1338"/>
      <c r="U375" s="1338"/>
      <c r="V375" s="1338"/>
      <c r="W375" s="1338"/>
    </row>
    <row r="376" spans="1:23" s="267" customFormat="1" ht="17.55" hidden="1" customHeight="1" x14ac:dyDescent="0.45">
      <c r="B376" s="667"/>
      <c r="C376" s="667"/>
      <c r="D376" s="667"/>
      <c r="E376" s="667"/>
      <c r="F376" s="667"/>
      <c r="G376" s="667"/>
      <c r="H376" s="667"/>
      <c r="I376" s="438"/>
      <c r="J376" s="2329"/>
      <c r="K376" s="2329"/>
      <c r="L376" s="2330"/>
      <c r="M376" s="1338"/>
      <c r="N376" s="1338"/>
      <c r="O376" s="1338"/>
      <c r="P376" s="1338"/>
      <c r="Q376" s="1338"/>
      <c r="R376" s="1338"/>
      <c r="S376" s="1338"/>
      <c r="T376" s="1338"/>
      <c r="U376" s="1338"/>
      <c r="V376" s="1338"/>
      <c r="W376" s="1338"/>
    </row>
    <row r="377" spans="1:23" s="267" customFormat="1" ht="17.55" hidden="1" customHeight="1" x14ac:dyDescent="0.45">
      <c r="A377" s="745" t="s">
        <v>427</v>
      </c>
      <c r="B377" s="503"/>
      <c r="C377" s="503"/>
      <c r="D377" s="503"/>
      <c r="E377" s="503"/>
      <c r="F377" s="503"/>
      <c r="G377" s="278"/>
      <c r="H377" s="278"/>
      <c r="I377" s="438"/>
      <c r="J377" s="2329"/>
      <c r="K377" s="2329"/>
      <c r="L377" s="2330"/>
      <c r="M377" s="1338"/>
      <c r="N377" s="1338"/>
      <c r="O377" s="1338"/>
      <c r="P377" s="1338"/>
      <c r="Q377" s="1338"/>
      <c r="R377" s="1338"/>
      <c r="S377" s="1338"/>
      <c r="T377" s="1338"/>
      <c r="U377" s="1338"/>
      <c r="V377" s="1338"/>
      <c r="W377" s="1338"/>
    </row>
    <row r="378" spans="1:23" s="267" customFormat="1" ht="17.850000000000001" hidden="1" customHeight="1" x14ac:dyDescent="0.45">
      <c r="A378" s="745" t="s">
        <v>536</v>
      </c>
      <c r="B378" s="503" t="s">
        <v>537</v>
      </c>
      <c r="C378" s="503" t="s">
        <v>538</v>
      </c>
      <c r="D378" s="745" t="s">
        <v>546</v>
      </c>
      <c r="E378" s="503"/>
      <c r="F378" s="503"/>
      <c r="G378" s="278"/>
      <c r="H378" s="278"/>
      <c r="I378" s="438"/>
      <c r="J378" s="2329"/>
      <c r="K378" s="2329"/>
      <c r="L378" s="2330"/>
      <c r="M378" s="1338"/>
      <c r="N378" s="1338"/>
      <c r="O378" s="1338"/>
      <c r="P378" s="1338"/>
      <c r="Q378" s="1338"/>
      <c r="R378" s="1338"/>
      <c r="S378" s="1338"/>
      <c r="T378" s="1338"/>
      <c r="U378" s="1338"/>
      <c r="V378" s="1338"/>
      <c r="W378" s="1338"/>
    </row>
    <row r="379" spans="1:23" s="267" customFormat="1" ht="17.850000000000001" hidden="1" customHeight="1" x14ac:dyDescent="0.45">
      <c r="A379" s="504" t="str">
        <f>IF(F354="Kosten",' K3 PP'!U40,IF(F354="Preis",' K3 PP'!U45,""))</f>
        <v/>
      </c>
      <c r="B379" s="504" t="str">
        <f>IFERROR(IF(F355=H379,ROUNDUP(A379,0),IF(F355=F379,ROUNDUP(A379,1),IF(F355=G379,(ROUNDUP(A379/0.5,0)*0.5),""))),"")</f>
        <v/>
      </c>
      <c r="C379" s="505">
        <f>IFERROR(B379-A379,0)</f>
        <v>0</v>
      </c>
      <c r="D379" s="746">
        <f>IFERROR(C379/(1+C380),0)</f>
        <v>0</v>
      </c>
      <c r="E379" s="506"/>
      <c r="F379" s="507" t="s">
        <v>395</v>
      </c>
      <c r="G379" s="507" t="s">
        <v>396</v>
      </c>
      <c r="H379" s="508" t="s">
        <v>397</v>
      </c>
      <c r="I379" s="438"/>
      <c r="J379" s="2329"/>
      <c r="K379" s="2329"/>
      <c r="L379" s="2330"/>
      <c r="M379" s="1338"/>
      <c r="N379" s="1338"/>
      <c r="O379" s="1338"/>
      <c r="P379" s="1338"/>
      <c r="Q379" s="1338"/>
      <c r="R379" s="1338"/>
      <c r="S379" s="1338"/>
      <c r="T379" s="1338"/>
      <c r="U379" s="1338"/>
      <c r="V379" s="1338"/>
      <c r="W379" s="1338"/>
    </row>
    <row r="380" spans="1:23" s="267" customFormat="1" ht="17.850000000000001" hidden="1" customHeight="1" x14ac:dyDescent="0.45">
      <c r="B380" s="503" t="s">
        <v>539</v>
      </c>
      <c r="C380" s="663" t="str">
        <f>IF(F354="Kosten",0,IF(F354="Preis",G345,""))</f>
        <v/>
      </c>
      <c r="D380" s="747">
        <f ca="1">D379/' K3 PP'!O33</f>
        <v>0</v>
      </c>
      <c r="E380" s="748" t="str">
        <f ca="1">IF(F356="als €",TEXT(D379,"0,000"),TEXT(D380*100,"0,000"))</f>
        <v>0,000</v>
      </c>
      <c r="F380" s="507"/>
      <c r="G380" s="507"/>
      <c r="H380" s="508"/>
      <c r="I380" s="438"/>
      <c r="J380" s="2329"/>
      <c r="K380" s="2329"/>
      <c r="L380" s="2330"/>
      <c r="M380" s="1338"/>
      <c r="N380" s="1338"/>
      <c r="O380" s="1338"/>
      <c r="P380" s="1338"/>
      <c r="Q380" s="1338"/>
      <c r="R380" s="1338"/>
      <c r="S380" s="1338"/>
      <c r="T380" s="1338"/>
      <c r="U380" s="1338"/>
      <c r="V380" s="1338"/>
      <c r="W380" s="1338"/>
    </row>
    <row r="381" spans="1:23" s="267" customFormat="1" ht="17.850000000000001" hidden="1" customHeight="1" x14ac:dyDescent="0.45">
      <c r="A381" s="510" t="s">
        <v>608</v>
      </c>
      <c r="B381" s="510"/>
      <c r="C381" s="511"/>
      <c r="E381" s="506"/>
      <c r="F381" s="507"/>
      <c r="G381" s="507"/>
      <c r="H381" s="508"/>
      <c r="I381" s="438"/>
      <c r="J381" s="2329"/>
      <c r="K381" s="2329"/>
      <c r="L381" s="2330"/>
      <c r="M381" s="1338"/>
      <c r="N381" s="1338"/>
      <c r="O381" s="1338"/>
      <c r="P381" s="1338"/>
      <c r="Q381" s="1338"/>
      <c r="R381" s="1338"/>
      <c r="S381" s="1338"/>
      <c r="T381" s="1338"/>
      <c r="U381" s="1338"/>
      <c r="V381" s="1338"/>
      <c r="W381" s="1338"/>
    </row>
    <row r="382" spans="1:23" s="267" customFormat="1" ht="17.850000000000001" hidden="1" customHeight="1" x14ac:dyDescent="0.45">
      <c r="A382" s="510" t="s">
        <v>540</v>
      </c>
      <c r="D382" s="510">
        <f ca="1">' K3 PP'!O33</f>
        <v>51.19</v>
      </c>
      <c r="E382" s="506"/>
      <c r="F382" s="507"/>
      <c r="G382" s="507"/>
      <c r="H382" s="508"/>
      <c r="I382" s="438"/>
      <c r="J382" s="2329"/>
      <c r="K382" s="2329"/>
      <c r="L382" s="2330"/>
      <c r="M382" s="1338"/>
      <c r="N382" s="1338"/>
      <c r="O382" s="1338"/>
      <c r="P382" s="1338"/>
      <c r="Q382" s="1338"/>
      <c r="R382" s="1338"/>
      <c r="S382" s="1338"/>
      <c r="T382" s="1338"/>
      <c r="U382" s="1338"/>
      <c r="V382" s="1338"/>
      <c r="W382" s="1338"/>
    </row>
    <row r="383" spans="1:23" s="267" customFormat="1" ht="17.850000000000001" hidden="1" customHeight="1" x14ac:dyDescent="0.45">
      <c r="A383" s="512" t="s">
        <v>541</v>
      </c>
      <c r="B383" s="510">
        <f ca="1">' K3 PP'!O34</f>
        <v>5.64</v>
      </c>
      <c r="C383" s="505">
        <f>IF(AND(F360&lt;&gt;"",F354&lt;&gt;"Nein"),IF(F356="als €",ROUND(-F360,3),ROUND(-F360*H281/100,3)),0)</f>
        <v>0</v>
      </c>
      <c r="D383" s="510">
        <f ca="1">B383+C383</f>
        <v>5.64</v>
      </c>
      <c r="E383" s="506" t="s">
        <v>76</v>
      </c>
      <c r="F383" s="507"/>
      <c r="H383" s="507" t="s">
        <v>609</v>
      </c>
      <c r="I383" s="438"/>
      <c r="J383" s="2329"/>
      <c r="K383" s="2329"/>
      <c r="L383" s="2330"/>
      <c r="M383" s="1338"/>
      <c r="N383" s="1338"/>
      <c r="O383" s="1338"/>
      <c r="P383" s="1338"/>
      <c r="Q383" s="1338"/>
      <c r="R383" s="1338"/>
      <c r="S383" s="1338"/>
      <c r="T383" s="1338"/>
      <c r="U383" s="1338"/>
      <c r="V383" s="1338"/>
      <c r="W383" s="1338"/>
    </row>
    <row r="384" spans="1:23" s="267" customFormat="1" ht="17.850000000000001" hidden="1" customHeight="1" x14ac:dyDescent="0.45">
      <c r="A384" s="512" t="s">
        <v>542</v>
      </c>
      <c r="B384" s="510"/>
      <c r="C384" s="511"/>
      <c r="D384" s="510">
        <f ca="1">D382+D383</f>
        <v>56.83</v>
      </c>
      <c r="E384" s="510" t="str">
        <f>' K3 PP'!M39</f>
        <v/>
      </c>
      <c r="F384" s="510">
        <f ca="1">SUM(D384,E384)</f>
        <v>56.83</v>
      </c>
      <c r="G384" s="749" t="str">
        <f>IF(F354="Kosten",IF(F355=H379,ROUNDUP(F384,0),IF(F355=F379,ROUNDUP(F384,1),IF(F355=G379,(ROUNDUP(F384/0.5,0)*0.5),""))),"")</f>
        <v/>
      </c>
      <c r="H384" s="664" t="str">
        <f>IF(F360="","",IF(F354="Kosten",G384-E384,""))</f>
        <v/>
      </c>
      <c r="I384" s="438"/>
      <c r="J384" s="2329"/>
      <c r="K384" s="2329"/>
      <c r="L384" s="2330"/>
      <c r="M384" s="1338"/>
      <c r="N384" s="1338"/>
      <c r="O384" s="1338"/>
      <c r="P384" s="1338"/>
      <c r="Q384" s="1338"/>
      <c r="R384" s="1338"/>
      <c r="S384" s="1338"/>
      <c r="T384" s="1338"/>
      <c r="U384" s="1338"/>
      <c r="V384" s="1338"/>
      <c r="W384" s="1338"/>
    </row>
    <row r="385" spans="1:23" s="267" customFormat="1" ht="17.850000000000001" hidden="1" customHeight="1" x14ac:dyDescent="0.45">
      <c r="A385" s="512" t="s">
        <v>416</v>
      </c>
      <c r="B385" s="510"/>
      <c r="C385" s="663">
        <f>' K3 PP'!K43</f>
        <v>0.28000000000000003</v>
      </c>
      <c r="D385" s="510">
        <f ca="1">C385*D384</f>
        <v>15.91</v>
      </c>
      <c r="E385" s="510" t="str">
        <f ca="1">' K3 PP'!M43</f>
        <v/>
      </c>
      <c r="F385" s="510">
        <f ca="1">SUM(D385,E385)</f>
        <v>15.91</v>
      </c>
      <c r="G385" s="507"/>
      <c r="H385" s="508"/>
      <c r="I385" s="438"/>
      <c r="J385" s="2329"/>
      <c r="K385" s="2329"/>
      <c r="L385" s="2330"/>
      <c r="M385" s="1338"/>
      <c r="N385" s="1338"/>
      <c r="O385" s="1338"/>
      <c r="P385" s="1338"/>
      <c r="Q385" s="1338"/>
      <c r="R385" s="1338"/>
      <c r="S385" s="1338"/>
      <c r="T385" s="1338"/>
      <c r="U385" s="1338"/>
      <c r="V385" s="1338"/>
      <c r="W385" s="1338"/>
    </row>
    <row r="386" spans="1:23" s="267" customFormat="1" ht="17.850000000000001" hidden="1" customHeight="1" x14ac:dyDescent="0.45">
      <c r="A386" s="512" t="s">
        <v>542</v>
      </c>
      <c r="B386" s="510"/>
      <c r="C386" s="511"/>
      <c r="D386" s="510">
        <f ca="1">SUM(D384:D385)</f>
        <v>72.739999999999995</v>
      </c>
      <c r="E386" s="510">
        <f ca="1">SUM(E384,E385)</f>
        <v>0</v>
      </c>
      <c r="F386" s="510">
        <f ca="1">D386+E386</f>
        <v>72.739999999999995</v>
      </c>
      <c r="G386" s="749" t="str">
        <f>IF(F354="Preis",IF(F355=H379,ROUNDUP(F386,0),IF(F355=F379,ROUNDUP(F386,1),IF(F355=G379,(ROUNDUP(F386/0.5,0)*0.5),""))),"")</f>
        <v/>
      </c>
      <c r="H386" s="664" t="str">
        <f>IF(F360="","",IF(F354="Preis",G386-E386,""))</f>
        <v/>
      </c>
      <c r="I386" s="438"/>
      <c r="J386" s="2329"/>
      <c r="K386" s="2329"/>
      <c r="L386" s="2330"/>
      <c r="M386" s="1338"/>
      <c r="N386" s="1338"/>
      <c r="O386" s="1338"/>
      <c r="P386" s="1338"/>
      <c r="Q386" s="1338"/>
      <c r="R386" s="1338"/>
      <c r="S386" s="1338"/>
      <c r="T386" s="1338"/>
      <c r="U386" s="1338"/>
      <c r="V386" s="1338"/>
      <c r="W386" s="1338"/>
    </row>
    <row r="387" spans="1:23" s="267" customFormat="1" ht="17.850000000000001" hidden="1" customHeight="1" x14ac:dyDescent="0.45">
      <c r="A387" s="512"/>
      <c r="B387" s="510"/>
      <c r="C387" s="511"/>
      <c r="D387" s="510"/>
      <c r="E387" s="510"/>
      <c r="F387" s="510"/>
      <c r="G387" s="507" t="s">
        <v>610</v>
      </c>
      <c r="H387" s="665">
        <f>' K3 PP'!X45</f>
        <v>0</v>
      </c>
      <c r="I387" s="438"/>
      <c r="J387" s="2329"/>
      <c r="K387" s="2329"/>
      <c r="L387" s="2330"/>
      <c r="M387" s="1338"/>
      <c r="N387" s="1338"/>
      <c r="O387" s="1338"/>
      <c r="P387" s="1338"/>
      <c r="Q387" s="1338"/>
      <c r="R387" s="1338"/>
      <c r="S387" s="1338"/>
      <c r="T387" s="1338"/>
      <c r="U387" s="1338"/>
      <c r="V387" s="1338"/>
      <c r="W387" s="1338"/>
    </row>
    <row r="388" spans="1:23" s="267" customFormat="1" ht="17.850000000000001" hidden="1" customHeight="1" x14ac:dyDescent="0.45">
      <c r="A388" s="512"/>
      <c r="B388" s="510" t="s">
        <v>538</v>
      </c>
      <c r="C388" s="750" t="s">
        <v>547</v>
      </c>
      <c r="D388" s="510"/>
      <c r="E388" s="506" t="s">
        <v>551</v>
      </c>
      <c r="F388" s="512" t="s">
        <v>550</v>
      </c>
      <c r="G388" s="751"/>
      <c r="H388" s="508"/>
      <c r="I388" s="438"/>
      <c r="J388" s="2329"/>
      <c r="K388" s="2329"/>
      <c r="L388" s="2330"/>
      <c r="M388" s="1338"/>
      <c r="N388" s="1338"/>
      <c r="O388" s="1338"/>
      <c r="P388" s="1338"/>
      <c r="Q388" s="1338"/>
      <c r="R388" s="1338"/>
      <c r="S388" s="1338"/>
      <c r="T388" s="1338"/>
      <c r="U388" s="1338"/>
      <c r="V388" s="1338"/>
      <c r="W388" s="1338"/>
    </row>
    <row r="389" spans="1:23" s="267" customFormat="1" ht="17.850000000000001" hidden="1" customHeight="1" x14ac:dyDescent="0.45">
      <c r="A389" s="504" t="str">
        <f>IF(F354="Kosten",F384,IF(F354="Preis",F386,""))</f>
        <v/>
      </c>
      <c r="B389" s="504" t="e">
        <f>IF(F355=H379,ROUNDUP(A389,0),IF(F355=F379,ROUNDUP(A389,1),IF(F355=G379,(ROUNDUP(A389/0.5,0)*0.5),"")))</f>
        <v>#VALUE!</v>
      </c>
      <c r="C389" s="504" t="str">
        <f>IF(F354="Kosten",' K3 PP'!U40,IF(F354="Preis",' K3 PP'!U45,""))</f>
        <v/>
      </c>
      <c r="D389" s="513"/>
      <c r="F389" s="752" t="str">
        <f>IF(F$354="Kosten","Kosten",IF(F$354="Preis","Preis","Keine Auswahl"))</f>
        <v>Keine Auswahl</v>
      </c>
      <c r="G389" s="752"/>
      <c r="H389" s="508"/>
      <c r="I389" s="438"/>
      <c r="J389" s="2329"/>
      <c r="K389" s="2329"/>
      <c r="L389" s="2330"/>
      <c r="M389" s="1338"/>
      <c r="N389" s="1338"/>
      <c r="O389" s="1338"/>
      <c r="P389" s="1338"/>
      <c r="Q389" s="1338"/>
      <c r="R389" s="1338"/>
      <c r="S389" s="1338"/>
      <c r="T389" s="1338"/>
      <c r="U389" s="1338"/>
      <c r="V389" s="1338"/>
      <c r="W389" s="1338"/>
    </row>
    <row r="390" spans="1:23" s="267" customFormat="1" ht="17.850000000000001" hidden="1" customHeight="1" x14ac:dyDescent="0.45">
      <c r="A390" s="510" t="s">
        <v>544</v>
      </c>
      <c r="B390" s="504" t="str">
        <f>IF(F354="Kosten",B389-SUM(' K3 PP'!M39),IF(F354="Preis",B389-SUM(' K3 PP'!M44),""))</f>
        <v/>
      </c>
      <c r="C390" s="511"/>
      <c r="D390" s="509"/>
      <c r="E390" s="506"/>
      <c r="F390" s="752">
        <f ca="1">IF(F$354="Kosten",' K3 PP'!X39,IF(F$354="Preis",' K3 PP'!X43,SUM(' K3 PP'!X39,' K3 PP'!X44)))</f>
        <v>0</v>
      </c>
      <c r="G390" s="753"/>
      <c r="H390" s="508"/>
      <c r="I390" s="438"/>
      <c r="J390" s="2329"/>
      <c r="K390" s="2329"/>
      <c r="L390" s="2330"/>
      <c r="M390" s="1338"/>
      <c r="N390" s="1338"/>
      <c r="O390" s="1338"/>
      <c r="P390" s="1338"/>
      <c r="Q390" s="1338"/>
      <c r="R390" s="1338"/>
      <c r="S390" s="1338"/>
      <c r="T390" s="1338"/>
      <c r="U390" s="1338"/>
      <c r="V390" s="1338"/>
      <c r="W390" s="1338"/>
    </row>
    <row r="391" spans="1:23" s="267" customFormat="1" ht="17.850000000000001" hidden="1" customHeight="1" x14ac:dyDescent="0.45">
      <c r="A391" s="515"/>
      <c r="C391" s="514"/>
      <c r="D391" s="515"/>
      <c r="E391" s="503"/>
      <c r="F391" s="503"/>
      <c r="G391" s="278"/>
      <c r="H391" s="278"/>
      <c r="I391" s="438"/>
      <c r="J391" s="2329"/>
      <c r="K391" s="2329"/>
      <c r="L391" s="2330"/>
      <c r="M391" s="1338"/>
      <c r="N391" s="1338"/>
      <c r="O391" s="1338"/>
      <c r="P391" s="1338"/>
      <c r="Q391" s="1338"/>
      <c r="R391" s="1338"/>
      <c r="S391" s="1338"/>
      <c r="T391" s="1338"/>
      <c r="U391" s="1338"/>
      <c r="V391" s="1338"/>
      <c r="W391" s="1338"/>
    </row>
    <row r="392" spans="1:23" s="267" customFormat="1" ht="17.850000000000001" hidden="1" customHeight="1" x14ac:dyDescent="0.45">
      <c r="A392" s="503" t="s">
        <v>543</v>
      </c>
      <c r="B392" s="503"/>
      <c r="C392" s="515" t="str">
        <f>IF(AND(F354="Kosten",F360&lt;&gt;""),B390,"")</f>
        <v/>
      </c>
      <c r="D392" s="503"/>
      <c r="E392" s="503"/>
      <c r="F392" s="503"/>
      <c r="G392" s="278"/>
      <c r="H392" s="278"/>
      <c r="I392" s="438"/>
      <c r="J392" s="2329"/>
      <c r="K392" s="2329"/>
      <c r="L392" s="2330"/>
      <c r="M392" s="1338"/>
      <c r="N392" s="1338"/>
      <c r="O392" s="1338"/>
      <c r="P392" s="1338"/>
      <c r="Q392" s="1338"/>
      <c r="R392" s="1338"/>
      <c r="S392" s="1338"/>
      <c r="T392" s="1338"/>
      <c r="U392" s="1338"/>
      <c r="V392" s="1338"/>
      <c r="W392" s="1338"/>
    </row>
    <row r="393" spans="1:23" s="267" customFormat="1" ht="17.850000000000001" hidden="1" customHeight="1" x14ac:dyDescent="0.45">
      <c r="A393" s="503" t="s">
        <v>545</v>
      </c>
      <c r="B393" s="503"/>
      <c r="C393" s="515" t="str">
        <f>IF(AND(F354="Preis",F360&lt;&gt;""),B390,"")</f>
        <v/>
      </c>
      <c r="D393" s="503">
        <f ca="1">' K3 PP'!O39</f>
        <v>56.83</v>
      </c>
      <c r="E393" s="754" t="str">
        <f ca="1">IFERROR(C393-D393,"")</f>
        <v/>
      </c>
      <c r="F393" s="503"/>
      <c r="G393" s="503"/>
      <c r="H393" s="503"/>
      <c r="I393" s="438"/>
      <c r="J393" s="2329"/>
      <c r="K393" s="2329"/>
      <c r="L393" s="2330"/>
      <c r="M393" s="1338"/>
      <c r="N393" s="1338"/>
      <c r="O393" s="1338"/>
      <c r="P393" s="1338"/>
      <c r="Q393" s="1338"/>
      <c r="R393" s="1338"/>
      <c r="S393" s="1338"/>
      <c r="T393" s="1338"/>
      <c r="U393" s="1338"/>
      <c r="V393" s="1338"/>
      <c r="W393" s="1338"/>
    </row>
    <row r="394" spans="1:23" s="267" customFormat="1" ht="17.850000000000001" hidden="1" customHeight="1" x14ac:dyDescent="0.45">
      <c r="A394" s="516"/>
      <c r="B394" s="516"/>
      <c r="C394" s="516"/>
      <c r="D394" s="516"/>
      <c r="E394" s="516"/>
      <c r="F394" s="516"/>
      <c r="G394" s="517" t="s">
        <v>397</v>
      </c>
      <c r="H394" s="516"/>
      <c r="I394" s="438"/>
      <c r="J394" s="2329"/>
      <c r="K394" s="2329"/>
      <c r="L394" s="2330"/>
      <c r="M394" s="2063"/>
      <c r="N394" s="1338"/>
      <c r="O394" s="1338"/>
      <c r="P394" s="1338"/>
      <c r="Q394" s="1338"/>
      <c r="R394" s="1338"/>
      <c r="S394" s="1338"/>
      <c r="T394" s="1338"/>
      <c r="U394" s="1338"/>
      <c r="V394" s="1338"/>
      <c r="W394" s="1338"/>
    </row>
    <row r="395" spans="1:23" s="267" customFormat="1" ht="17.850000000000001" hidden="1" customHeight="1" x14ac:dyDescent="0.45">
      <c r="A395" s="267" t="s">
        <v>552</v>
      </c>
      <c r="B395" s="1289" t="str">
        <f ca="1">IFERROR(IF(E408&gt;1,"Die  Eingabe unter J3.d ist höher gewählt, als zum Rundungssausgleich erforderlich wäre! Löschen Sie die Eingabe in J3.d und tragen Sie den angezeigten Wert erneut ein! ",""),KALKULATION!$M$288)</f>
        <v/>
      </c>
      <c r="C395" s="1289"/>
      <c r="D395" s="1289"/>
      <c r="E395" s="1289"/>
      <c r="F395" s="1289"/>
      <c r="G395" s="1289"/>
      <c r="H395" s="1289"/>
      <c r="I395" s="438"/>
      <c r="J395" s="2329"/>
      <c r="K395" s="2329"/>
      <c r="L395" s="2330"/>
      <c r="M395" s="2063"/>
      <c r="N395" s="1338"/>
      <c r="O395" s="1338"/>
      <c r="P395" s="1338"/>
      <c r="Q395" s="1338"/>
      <c r="R395" s="1338"/>
      <c r="S395" s="1338"/>
      <c r="T395" s="1338"/>
      <c r="U395" s="1338"/>
      <c r="V395" s="1338"/>
      <c r="W395" s="1338"/>
    </row>
    <row r="396" spans="1:23" s="267" customFormat="1" ht="17.850000000000001" hidden="1" customHeight="1" x14ac:dyDescent="0.45">
      <c r="B396" s="1289"/>
      <c r="C396" s="1289"/>
      <c r="D396" s="1289"/>
      <c r="E396" s="1289"/>
      <c r="F396" s="1289"/>
      <c r="G396" s="1289"/>
      <c r="H396" s="1289"/>
      <c r="I396" s="438"/>
      <c r="J396" s="2329"/>
      <c r="K396" s="2329"/>
      <c r="L396" s="2330"/>
      <c r="M396" s="1338"/>
      <c r="N396" s="1338"/>
      <c r="O396" s="1338"/>
      <c r="P396" s="1338"/>
      <c r="Q396" s="1338"/>
      <c r="R396" s="1338"/>
      <c r="S396" s="1338"/>
      <c r="T396" s="1338"/>
      <c r="U396" s="1338"/>
      <c r="V396" s="1338"/>
      <c r="W396" s="1338"/>
    </row>
    <row r="397" spans="1:23" s="267" customFormat="1" ht="17.850000000000001" hidden="1" customHeight="1" x14ac:dyDescent="0.45">
      <c r="B397" s="1289"/>
      <c r="C397" s="1289"/>
      <c r="D397" s="1289"/>
      <c r="E397" s="1289"/>
      <c r="F397" s="1289"/>
      <c r="G397" s="1289"/>
      <c r="H397" s="1289"/>
      <c r="I397" s="438"/>
      <c r="J397" s="2329"/>
      <c r="K397" s="2329"/>
      <c r="L397" s="2330"/>
      <c r="M397" s="1338"/>
      <c r="N397" s="1338"/>
      <c r="O397" s="1338"/>
      <c r="P397" s="1338"/>
      <c r="Q397" s="1338"/>
      <c r="R397" s="1338"/>
      <c r="S397" s="1338"/>
      <c r="T397" s="1338"/>
      <c r="U397" s="1338"/>
      <c r="V397" s="1338"/>
      <c r="W397" s="1338"/>
    </row>
    <row r="398" spans="1:23" s="267" customFormat="1" ht="17.850000000000001" hidden="1" customHeight="1" x14ac:dyDescent="0.45">
      <c r="B398" s="1289"/>
      <c r="C398" s="1289"/>
      <c r="D398" s="1289"/>
      <c r="E398" s="1289"/>
      <c r="F398" s="1289"/>
      <c r="G398" s="1289"/>
      <c r="H398" s="1289"/>
      <c r="I398" s="438"/>
      <c r="J398" s="2329"/>
      <c r="K398" s="2329"/>
      <c r="L398" s="2330"/>
      <c r="M398" s="1338"/>
      <c r="N398" s="1338"/>
      <c r="O398" s="1338"/>
      <c r="P398" s="1338"/>
      <c r="Q398" s="1338"/>
      <c r="R398" s="1338"/>
      <c r="S398" s="1338"/>
      <c r="T398" s="1338"/>
      <c r="U398" s="1338"/>
      <c r="V398" s="1338"/>
      <c r="W398" s="1338"/>
    </row>
    <row r="399" spans="1:23" s="267" customFormat="1" ht="17.850000000000001" hidden="1" customHeight="1" x14ac:dyDescent="0.45">
      <c r="B399" s="1289"/>
      <c r="C399" s="1289"/>
      <c r="D399" s="1289"/>
      <c r="E399" s="1289"/>
      <c r="F399" s="1289"/>
      <c r="G399" s="1289"/>
      <c r="H399" s="1289"/>
      <c r="I399" s="438"/>
      <c r="J399" s="2329"/>
      <c r="K399" s="2329"/>
      <c r="L399" s="2330"/>
      <c r="M399" s="1338"/>
      <c r="N399" s="1338"/>
      <c r="O399" s="1338"/>
      <c r="P399" s="1338"/>
      <c r="Q399" s="1338"/>
      <c r="R399" s="1338"/>
      <c r="S399" s="1338"/>
      <c r="T399" s="1338"/>
      <c r="U399" s="1338"/>
      <c r="V399" s="1338"/>
      <c r="W399" s="1338"/>
    </row>
    <row r="400" spans="1:23" s="267" customFormat="1" ht="17.850000000000001" hidden="1" customHeight="1" x14ac:dyDescent="0.45">
      <c r="A400" s="516" t="s">
        <v>553</v>
      </c>
      <c r="B400" s="1289"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89"/>
      <c r="D400" s="1289"/>
      <c r="E400" s="1289"/>
      <c r="F400" s="1289"/>
      <c r="G400" s="1289"/>
      <c r="H400" s="1289"/>
      <c r="I400" s="438"/>
      <c r="J400" s="2329"/>
      <c r="K400" s="2329"/>
      <c r="L400" s="2330"/>
      <c r="M400" s="1338"/>
      <c r="N400" s="1338"/>
      <c r="O400" s="1338"/>
      <c r="P400" s="1338"/>
      <c r="Q400" s="1338"/>
      <c r="R400" s="1338"/>
      <c r="S400" s="1338"/>
      <c r="T400" s="1338"/>
      <c r="U400" s="1338"/>
      <c r="V400" s="1338"/>
      <c r="W400" s="1338"/>
    </row>
    <row r="401" spans="1:23" s="267" customFormat="1" ht="17.850000000000001" hidden="1" customHeight="1" x14ac:dyDescent="0.45">
      <c r="B401" s="1289"/>
      <c r="C401" s="1289"/>
      <c r="D401" s="1289"/>
      <c r="E401" s="1289"/>
      <c r="F401" s="1289"/>
      <c r="G401" s="1289"/>
      <c r="H401" s="1289"/>
      <c r="I401" s="438"/>
      <c r="J401" s="2329"/>
      <c r="K401" s="2329"/>
      <c r="L401" s="2330"/>
      <c r="M401" s="1338"/>
      <c r="N401" s="1338"/>
      <c r="O401" s="1338"/>
      <c r="P401" s="1338"/>
      <c r="Q401" s="1338"/>
      <c r="R401" s="1338"/>
      <c r="S401" s="1338"/>
      <c r="T401" s="1338"/>
      <c r="U401" s="1338"/>
      <c r="V401" s="1338"/>
      <c r="W401" s="1338"/>
    </row>
    <row r="402" spans="1:23" s="267" customFormat="1" ht="17.850000000000001" hidden="1" customHeight="1" x14ac:dyDescent="0.45">
      <c r="B402" s="1289"/>
      <c r="C402" s="1289"/>
      <c r="D402" s="1289"/>
      <c r="E402" s="1289"/>
      <c r="F402" s="1289"/>
      <c r="G402" s="1289"/>
      <c r="H402" s="1289"/>
      <c r="I402" s="438"/>
      <c r="J402" s="2329"/>
      <c r="K402" s="2329"/>
      <c r="L402" s="2330"/>
      <c r="M402" s="1338"/>
      <c r="N402" s="1338"/>
      <c r="O402" s="1338"/>
      <c r="P402" s="1338"/>
      <c r="Q402" s="1338"/>
      <c r="R402" s="1338"/>
      <c r="S402" s="1338"/>
      <c r="T402" s="1338"/>
      <c r="U402" s="1338"/>
      <c r="V402" s="1338"/>
      <c r="W402" s="1338"/>
    </row>
    <row r="403" spans="1:23" s="267" customFormat="1" ht="17.850000000000001" hidden="1" customHeight="1" x14ac:dyDescent="0.45">
      <c r="B403" s="1289"/>
      <c r="C403" s="1289"/>
      <c r="D403" s="1289"/>
      <c r="E403" s="1289"/>
      <c r="F403" s="1289"/>
      <c r="G403" s="1289"/>
      <c r="H403" s="1289"/>
      <c r="I403" s="438"/>
      <c r="J403" s="2329"/>
      <c r="K403" s="2329"/>
      <c r="L403" s="2330"/>
      <c r="M403" s="1338"/>
      <c r="N403" s="1338"/>
      <c r="O403" s="1338"/>
      <c r="P403" s="1338"/>
      <c r="Q403" s="1338"/>
      <c r="R403" s="1338"/>
      <c r="S403" s="1338"/>
      <c r="T403" s="1338"/>
      <c r="U403" s="1338"/>
      <c r="V403" s="1338"/>
      <c r="W403" s="1338"/>
    </row>
    <row r="404" spans="1:23" s="267" customFormat="1" ht="17.850000000000001" hidden="1" customHeight="1" x14ac:dyDescent="0.45">
      <c r="C404" s="516"/>
      <c r="D404" s="516"/>
      <c r="E404" s="516"/>
      <c r="F404" s="503"/>
      <c r="G404" s="278"/>
      <c r="H404" s="278"/>
      <c r="I404" s="438"/>
      <c r="J404" s="2329"/>
      <c r="K404" s="2329"/>
      <c r="L404" s="2330"/>
      <c r="M404" s="1338"/>
      <c r="N404" s="2048" t="s">
        <v>379</v>
      </c>
      <c r="O404" s="1338"/>
      <c r="P404" s="1338"/>
      <c r="Q404" s="1338"/>
      <c r="R404" s="1338"/>
      <c r="S404" s="1338"/>
      <c r="T404" s="1338"/>
      <c r="U404" s="1338"/>
      <c r="V404" s="1338"/>
      <c r="W404" s="1338"/>
    </row>
    <row r="405" spans="1:23" s="267" customFormat="1" ht="17.850000000000001" hidden="1" customHeight="1" x14ac:dyDescent="0.45">
      <c r="A405" s="1290">
        <f ca="1">IF(F356="als €",F360,F360*H281/100)</f>
        <v>0</v>
      </c>
      <c r="B405" s="516">
        <f ca="1">IF(AND($A405&gt;0.1,$F$354="Kosten"),1,0)</f>
        <v>0</v>
      </c>
      <c r="C405" s="516">
        <f ca="1">IF(AND($A405&gt;0.5,$F$354="Kosten"),1,0)</f>
        <v>0</v>
      </c>
      <c r="D405" s="516">
        <f ca="1">IF(AND($A405&gt;1,$F$354="Kosten"),1,0)</f>
        <v>0</v>
      </c>
      <c r="E405" s="516"/>
      <c r="F405" s="516"/>
      <c r="G405" s="516"/>
      <c r="H405" s="516"/>
      <c r="I405" s="438"/>
      <c r="J405" s="2329"/>
      <c r="K405" s="2329"/>
      <c r="L405" s="2330"/>
      <c r="M405" s="1338"/>
      <c r="N405" s="1338"/>
      <c r="O405" s="1338"/>
      <c r="P405" s="1338"/>
      <c r="Q405" s="1338"/>
      <c r="R405" s="1338"/>
      <c r="S405" s="1338"/>
      <c r="T405" s="1338"/>
      <c r="U405" s="1338"/>
      <c r="V405" s="1338"/>
      <c r="W405" s="1338"/>
    </row>
    <row r="406" spans="1:23" s="267" customFormat="1" ht="17.850000000000001" hidden="1" customHeight="1" x14ac:dyDescent="0.45">
      <c r="A406" s="1291">
        <f ca="1">A405*(1+G345)</f>
        <v>0</v>
      </c>
      <c r="B406" s="516">
        <f ca="1">IF(AND($A406&gt;0.1,$F$354="Preis"),1,0)</f>
        <v>0</v>
      </c>
      <c r="C406" s="516">
        <f ca="1">IF(AND($A406&gt;0.5,$F$354="Preis"),1,0)</f>
        <v>0</v>
      </c>
      <c r="D406" s="516">
        <f ca="1">IF(AND($A406&gt;1,$F$354="Preis"),1,0)</f>
        <v>0</v>
      </c>
      <c r="E406" s="516"/>
      <c r="F406" s="516"/>
      <c r="G406" s="516"/>
      <c r="H406" s="516"/>
      <c r="I406" s="438"/>
      <c r="J406" s="2329"/>
      <c r="K406" s="2329"/>
      <c r="L406" s="2330"/>
      <c r="M406" s="1338"/>
      <c r="N406" s="1338"/>
      <c r="O406" s="1338"/>
      <c r="P406" s="1338"/>
      <c r="Q406" s="1338"/>
      <c r="R406" s="1338"/>
      <c r="S406" s="1338"/>
      <c r="T406" s="1338"/>
      <c r="U406" s="1338"/>
      <c r="V406" s="1338"/>
      <c r="W406" s="1338"/>
    </row>
    <row r="407" spans="1:23" s="267" customFormat="1" ht="17.850000000000001" hidden="1" customHeight="1" x14ac:dyDescent="0.45">
      <c r="A407" s="516"/>
      <c r="B407" s="516">
        <f>IF($F$355=F379,1,0)</f>
        <v>0</v>
      </c>
      <c r="C407" s="516">
        <f>IF($F$355=G379,1,0)</f>
        <v>0</v>
      </c>
      <c r="D407" s="516">
        <f>IF($F$355=H379,1,0)</f>
        <v>1</v>
      </c>
      <c r="E407" s="516"/>
      <c r="F407" s="516"/>
      <c r="G407" s="516"/>
      <c r="H407" s="516"/>
      <c r="I407" s="438"/>
      <c r="J407" s="2329"/>
      <c r="K407" s="2329"/>
      <c r="L407" s="2330"/>
      <c r="M407" s="1338"/>
      <c r="N407" s="1338"/>
      <c r="O407" s="1338"/>
      <c r="P407" s="1338"/>
      <c r="Q407" s="1338"/>
      <c r="R407" s="1338"/>
      <c r="S407" s="1338"/>
      <c r="T407" s="1338"/>
      <c r="U407" s="1338"/>
      <c r="V407" s="1338"/>
      <c r="W407" s="1338"/>
    </row>
    <row r="408" spans="1:23" s="267" customFormat="1" ht="17.850000000000001" hidden="1" customHeight="1" thickBot="1" x14ac:dyDescent="0.5">
      <c r="A408" s="1301" t="s">
        <v>375</v>
      </c>
      <c r="B408" s="1301">
        <f ca="1">SUM(B405:B407)</f>
        <v>0</v>
      </c>
      <c r="C408" s="1301">
        <f t="shared" ref="C408:D408" ca="1" si="39">SUM(C405:C407)</f>
        <v>0</v>
      </c>
      <c r="D408" s="1301">
        <f t="shared" ca="1" si="39"/>
        <v>1</v>
      </c>
      <c r="E408" s="1301">
        <f ca="1">MAX(B408:D408)</f>
        <v>1</v>
      </c>
      <c r="F408" s="1301"/>
      <c r="G408" s="1301"/>
      <c r="H408" s="1301"/>
      <c r="I408" s="438"/>
      <c r="J408" s="2329"/>
      <c r="K408" s="2329"/>
      <c r="L408" s="2330"/>
      <c r="M408" s="1338"/>
      <c r="N408" s="1338"/>
      <c r="O408" s="1338"/>
      <c r="P408" s="1338"/>
      <c r="Q408" s="1338"/>
      <c r="R408" s="1338"/>
      <c r="S408" s="1338"/>
      <c r="T408" s="1338"/>
      <c r="U408" s="1338"/>
      <c r="V408" s="1338"/>
      <c r="W408" s="1338"/>
    </row>
    <row r="409" spans="1:23" ht="17.850000000000001" customHeight="1" x14ac:dyDescent="0.45">
      <c r="A409" s="217" t="str">
        <f>' K3 PP'!B40</f>
        <v>Mittellohnkosten</v>
      </c>
      <c r="B409" s="385"/>
      <c r="C409" s="385"/>
      <c r="D409" s="385"/>
      <c r="E409" s="2600" t="str">
        <f ca="1">IFERROR(' K3 PP'!N40,KALKULATION!$M$288)</f>
        <v>56,83 €/Std
0,95 €/Min</v>
      </c>
      <c r="F409" s="2600"/>
      <c r="G409" s="2600"/>
      <c r="H409" s="2600"/>
      <c r="I409" s="438"/>
      <c r="J409" s="2329"/>
      <c r="K409" s="2329"/>
      <c r="L409" s="2330"/>
      <c r="M409" s="2064" t="s">
        <v>1037</v>
      </c>
    </row>
    <row r="410" spans="1:23" ht="17.850000000000001" customHeight="1" x14ac:dyDescent="0.45">
      <c r="A410" s="386" t="str">
        <f>' K3 PP'!B45</f>
        <v>Mittellohnpreis</v>
      </c>
      <c r="B410" s="387"/>
      <c r="C410" s="387"/>
      <c r="D410" s="387"/>
      <c r="E410" s="2585" t="str">
        <f ca="1">IFERROR(' K3 PP'!N45,KALKULATION!$M$288)</f>
        <v>72,74 €/Std
1,21 €/Min</v>
      </c>
      <c r="F410" s="2585"/>
      <c r="G410" s="2585"/>
      <c r="H410" s="2585"/>
      <c r="I410" s="438"/>
      <c r="L410" s="216"/>
      <c r="M410" s="2065" t="s">
        <v>1012</v>
      </c>
      <c r="O410" s="1338" t="s">
        <v>1013</v>
      </c>
      <c r="P410" s="1338" t="s">
        <v>1014</v>
      </c>
    </row>
    <row r="411" spans="1:23" ht="17.850000000000001" customHeight="1" x14ac:dyDescent="0.45">
      <c r="A411" s="1292" t="s">
        <v>1002</v>
      </c>
      <c r="B411" s="1141"/>
      <c r="C411" s="2604">
        <f ca="1">H6</f>
        <v>46</v>
      </c>
      <c r="D411" s="2604"/>
      <c r="E411" s="2601" t="str">
        <f ca="1">IF(C411&lt;30,"Lizenzverlängerung www.bauwesen.at/k3","")</f>
        <v/>
      </c>
      <c r="F411" s="2601"/>
      <c r="G411" s="2601"/>
      <c r="H411" s="2601"/>
      <c r="I411" s="438"/>
      <c r="L411" s="216"/>
      <c r="M411" s="2065" t="s">
        <v>1011</v>
      </c>
    </row>
    <row r="412" spans="1:23" ht="17.850000000000001" customHeight="1" x14ac:dyDescent="0.45">
      <c r="A412" s="2910"/>
      <c r="B412" s="2910"/>
      <c r="C412" s="2910"/>
      <c r="D412" s="2910"/>
      <c r="E412" s="2910"/>
      <c r="F412" s="2910"/>
      <c r="G412" s="2910"/>
      <c r="H412" s="2910"/>
      <c r="I412" s="2910"/>
      <c r="L412" s="216"/>
      <c r="M412" s="1338" t="s">
        <v>1016</v>
      </c>
      <c r="O412" s="1338">
        <f ca="1">IFERROR(SUM(' K3 PP'!M39,' K3 PP'!O39),"?")</f>
        <v>56.83</v>
      </c>
      <c r="P412" s="1339">
        <f>D$363</f>
        <v>0</v>
      </c>
      <c r="Q412" s="2066">
        <f ca="1">IFERROR(P412-O412,"?")</f>
        <v>-56.83</v>
      </c>
    </row>
    <row r="413" spans="1:23" ht="17.850000000000001" customHeight="1" x14ac:dyDescent="0.55000000000000004">
      <c r="A413" s="1892" t="str">
        <f>IF($C$28=$M$31,"Regielohnpreis","Regiegehaltspreis")</f>
        <v>Regielohnpreis</v>
      </c>
      <c r="B413" s="59"/>
      <c r="C413" s="2599" t="str">
        <f>A413&amp;"kalkulation"</f>
        <v>Regielohnpreiskalkulation</v>
      </c>
      <c r="D413" s="2599"/>
      <c r="E413" s="2599"/>
      <c r="F413" s="2599"/>
      <c r="G413" s="59"/>
      <c r="H413" s="59"/>
      <c r="I413" s="1893"/>
      <c r="L413" s="216"/>
      <c r="M413" s="1338" t="s">
        <v>1017</v>
      </c>
      <c r="O413" s="2010">
        <f ca="1">IFERROR(SUM(' K3 PP'!M44,' K3 PP'!O44),"?")</f>
        <v>72.739999999999995</v>
      </c>
      <c r="P413" s="1339">
        <f>D$363</f>
        <v>0</v>
      </c>
      <c r="Q413" s="2067">
        <f ca="1">IFERROR((P413-O413)/(1+G345),"?")</f>
        <v>-56.828099999999999</v>
      </c>
    </row>
    <row r="414" spans="1:23" ht="17.850000000000001" customHeight="1" x14ac:dyDescent="0.45">
      <c r="A414" s="2277" t="s">
        <v>1097</v>
      </c>
      <c r="B414" s="2278"/>
      <c r="C414" s="2278"/>
      <c r="D414" s="2278"/>
      <c r="E414" s="2278"/>
      <c r="F414" s="2278"/>
      <c r="G414" s="2278"/>
      <c r="H414" s="2278"/>
      <c r="I414" s="2279"/>
      <c r="L414" s="216"/>
    </row>
    <row r="415" spans="1:23" ht="17.850000000000001" customHeight="1" x14ac:dyDescent="0.45">
      <c r="A415" s="2280"/>
      <c r="B415" s="2281"/>
      <c r="C415" s="2281"/>
      <c r="D415" s="2281"/>
      <c r="E415" s="2281"/>
      <c r="F415" s="2281"/>
      <c r="G415" s="2281"/>
      <c r="H415" s="2281"/>
      <c r="I415" s="2282"/>
      <c r="L415" s="216"/>
      <c r="M415" s="2597" t="s">
        <v>1101</v>
      </c>
      <c r="N415" s="2598"/>
      <c r="O415" s="2598"/>
      <c r="P415" s="2598"/>
      <c r="Q415" s="2598"/>
      <c r="R415" s="2598"/>
      <c r="S415" s="2598"/>
      <c r="T415" s="2598"/>
      <c r="U415" s="2598"/>
    </row>
    <row r="416" spans="1:23" ht="17.850000000000001" customHeight="1" x14ac:dyDescent="0.45">
      <c r="A416" s="2609"/>
      <c r="B416" s="2610"/>
      <c r="C416" s="2610"/>
      <c r="D416" s="2610"/>
      <c r="E416" s="2610"/>
      <c r="F416" s="2610"/>
      <c r="G416" s="2610"/>
      <c r="H416" s="2610"/>
      <c r="I416" s="2610"/>
      <c r="L416" s="216"/>
      <c r="M416" s="2597"/>
      <c r="N416" s="2598"/>
      <c r="O416" s="2598"/>
      <c r="P416" s="2598"/>
      <c r="Q416" s="2598"/>
      <c r="R416" s="2598"/>
      <c r="S416" s="2598"/>
      <c r="T416" s="2598"/>
      <c r="U416" s="2598"/>
    </row>
    <row r="417" spans="1:21" ht="25.05" customHeight="1" x14ac:dyDescent="0.45">
      <c r="A417" s="3049" t="str">
        <f ca="1">$A$413&amp;" 1"&amp;IF(A421=""," [keine Beschäftigungsgruppe ausgewählt]",IF(D421=KALKULATION!$M$283," - [nicht vorhandene Beschäftigungsgruppe]"," - kalkuliert für ["&amp;LEFT(A421,40)&amp;"]"))</f>
        <v>Regielohnpreis 1 - kalkuliert für [LG 2 Qualifizierter Facharbeiter]</v>
      </c>
      <c r="B417" s="3050"/>
      <c r="C417" s="3050"/>
      <c r="D417" s="3050"/>
      <c r="E417" s="3050"/>
      <c r="F417" s="3050"/>
      <c r="G417" s="3050"/>
      <c r="H417" s="3050"/>
      <c r="I417" s="1184"/>
      <c r="J417" s="59"/>
      <c r="K417" s="59"/>
      <c r="L417" s="590"/>
      <c r="M417" s="2597"/>
      <c r="N417" s="2598"/>
      <c r="O417" s="2598"/>
      <c r="P417" s="2598"/>
      <c r="Q417" s="2598"/>
      <c r="R417" s="2598"/>
      <c r="S417" s="2598"/>
      <c r="T417" s="2598"/>
      <c r="U417" s="2598"/>
    </row>
    <row r="418" spans="1:21" ht="17.850000000000001" customHeight="1" x14ac:dyDescent="0.45">
      <c r="A418" s="2416" t="s">
        <v>531</v>
      </c>
      <c r="B418" s="2573"/>
      <c r="C418" s="2574"/>
      <c r="D418" s="2778" t="s">
        <v>1127</v>
      </c>
      <c r="E418" s="2529"/>
      <c r="F418" s="2529"/>
      <c r="G418" s="2529"/>
      <c r="H418" s="2529"/>
      <c r="I418" s="638"/>
      <c r="L418" s="216"/>
      <c r="M418" s="2597"/>
      <c r="N418" s="2598"/>
      <c r="O418" s="2598"/>
      <c r="P418" s="2598"/>
      <c r="Q418" s="2598"/>
      <c r="R418" s="2598"/>
      <c r="S418" s="2598"/>
      <c r="T418" s="2598"/>
      <c r="U418" s="2598"/>
    </row>
    <row r="419" spans="1:21" ht="17.850000000000001" customHeight="1" x14ac:dyDescent="0.45">
      <c r="A419" s="2503"/>
      <c r="B419" s="2504"/>
      <c r="C419" s="2505"/>
      <c r="D419" s="2508"/>
      <c r="E419" s="2509"/>
      <c r="F419" s="2509"/>
      <c r="G419" s="2509"/>
      <c r="H419" s="2509"/>
      <c r="I419" s="638"/>
      <c r="L419" s="216"/>
      <c r="M419" s="1338" t="s">
        <v>1038</v>
      </c>
    </row>
    <row r="420" spans="1:21" ht="17.850000000000001" customHeight="1" thickBot="1" x14ac:dyDescent="0.5">
      <c r="A420" s="2511" t="s">
        <v>378</v>
      </c>
      <c r="B420" s="2511"/>
      <c r="C420" s="2511"/>
      <c r="D420" s="2559"/>
      <c r="E420" s="1113" t="s">
        <v>18</v>
      </c>
      <c r="F420" s="1113" t="s">
        <v>68</v>
      </c>
      <c r="G420" s="979" t="s">
        <v>72</v>
      </c>
      <c r="H420" s="980" t="s">
        <v>73</v>
      </c>
      <c r="I420" s="638"/>
      <c r="L420" s="216"/>
      <c r="M420" s="1338"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5">
      <c r="A421" s="2931" t="s">
        <v>1121</v>
      </c>
      <c r="B421" s="2932"/>
      <c r="C421" s="2933"/>
      <c r="D421" s="51">
        <f ca="1">IFERROR(VLOOKUP(A421,Stammdaten!A$7:D$33,4,FALSE),KALKULATION!$M$283)</f>
        <v>19.91</v>
      </c>
      <c r="E421" s="518">
        <v>1</v>
      </c>
      <c r="F421" s="519">
        <v>1</v>
      </c>
      <c r="G421" s="349">
        <f ca="1">IFERROR(VLOOKUP(A421,Stammdaten!A$7:F$33,4,FALSE)*F421,"")</f>
        <v>19.91</v>
      </c>
      <c r="H421" s="520">
        <f ca="1">IFERROR(VLOOKUP(A421,Stammdaten!A$7:F$33,6,FALSE)*F421,"")</f>
        <v>2.99</v>
      </c>
      <c r="I421" s="638"/>
      <c r="J421" s="2306" t="str">
        <f ca="1">IF(D421=KALKULATION!$M$283,"Auswahl erneut vornehmen (ungültiger Verweis)!","")</f>
        <v/>
      </c>
      <c r="K421" s="2306"/>
      <c r="L421" s="2307"/>
      <c r="M421" s="1137"/>
    </row>
    <row r="422" spans="1:21" ht="17.850000000000001" customHeight="1" x14ac:dyDescent="0.45">
      <c r="A422" s="2548" t="s">
        <v>92</v>
      </c>
      <c r="B422" s="2549"/>
      <c r="C422" s="2549"/>
      <c r="D422" s="2550"/>
      <c r="E422" s="49">
        <f>SUM(E421:E421)</f>
        <v>1</v>
      </c>
      <c r="F422" s="50">
        <v>1</v>
      </c>
      <c r="G422" s="151">
        <f ca="1">IF(AND(_OK?="OK!",_OK_KV?="OK_KV!"),SUM(G421),ROUNDUP(G421,0))</f>
        <v>19.91</v>
      </c>
      <c r="H422" s="84">
        <f ca="1">SUM(H421:H421)</f>
        <v>2.99</v>
      </c>
      <c r="I422" s="366" t="str">
        <f ca="1">IF(OR(_OK?&lt;&gt;"OK!",_OK_KV?&lt;&gt;"OK_KV!"),"X","")</f>
        <v/>
      </c>
      <c r="J422" s="1109"/>
      <c r="K422" s="1109"/>
      <c r="L422" s="270"/>
      <c r="M422" s="1137"/>
    </row>
    <row r="423" spans="1:21" ht="17.850000000000001" customHeight="1" x14ac:dyDescent="0.45">
      <c r="A423" s="2491" t="s">
        <v>891</v>
      </c>
      <c r="B423" s="2492"/>
      <c r="C423" s="2492"/>
      <c r="D423" s="2492"/>
      <c r="E423" s="2492"/>
      <c r="F423" s="2492"/>
      <c r="G423" s="2492"/>
      <c r="H423" s="2492"/>
      <c r="I423" s="638"/>
      <c r="J423" s="1109"/>
      <c r="K423" s="1109"/>
      <c r="L423" s="216"/>
      <c r="M423" s="1338" t="s">
        <v>1031</v>
      </c>
    </row>
    <row r="424" spans="1:21" ht="17.850000000000001" customHeight="1" thickBot="1" x14ac:dyDescent="0.5">
      <c r="A424" s="2446"/>
      <c r="B424" s="2447"/>
      <c r="C424" s="2448"/>
      <c r="D424" s="60">
        <f ca="1">IFERROR(VLOOKUP(A424,Stammdaten!A$7:D$33,4,FALSE),KALKULATION!$M$283)</f>
        <v>0</v>
      </c>
      <c r="E424" s="359"/>
      <c r="F424" s="53" t="str">
        <f>IFERROR(IF(A424&lt;&gt;"",E424/E425,""),"")</f>
        <v/>
      </c>
      <c r="G424" s="60" t="str">
        <f ca="1">IFERROR(VLOOKUP(A424,Stammdaten!A$7:F$33,4,FALSE)*F424,"")</f>
        <v/>
      </c>
      <c r="H424" s="569" t="str">
        <f ca="1">IFERROR(VLOOKUP(A424,Stammdaten!A$7:F$33,6,FALSE)*F424,"")</f>
        <v/>
      </c>
      <c r="I424" s="638"/>
      <c r="J424" s="2306" t="str">
        <f ca="1">IF(OR(COUNTA(A424,E424)=2,COUNTA(A424,E424)=0),IF(D424=KALKULATION!$M$283,"Auswahl erneut vornehmen (ungültiger Verweis)!",""),"Eingabe unvollständig (ergänzen oder löschen)!")</f>
        <v/>
      </c>
      <c r="K424" s="2306"/>
      <c r="L424" s="2307"/>
      <c r="M424" s="1338" t="s">
        <v>1032</v>
      </c>
    </row>
    <row r="425" spans="1:21" ht="17.850000000000001" customHeight="1" x14ac:dyDescent="0.45">
      <c r="A425" s="392" t="s">
        <v>92</v>
      </c>
      <c r="B425" s="373"/>
      <c r="C425" s="373"/>
      <c r="D425" s="212"/>
      <c r="E425" s="64">
        <f>SUM(E424:E424)</f>
        <v>0</v>
      </c>
      <c r="F425" s="50">
        <f>SUM(F424:F424)</f>
        <v>0</v>
      </c>
      <c r="G425" s="51">
        <f ca="1">SUM(G424:G424)</f>
        <v>0</v>
      </c>
      <c r="H425" s="84">
        <f ca="1">SUM(H424:H424)</f>
        <v>0</v>
      </c>
      <c r="I425" s="638"/>
      <c r="J425" s="2306" t="str">
        <f ca="1">IF(E425&gt;=E422,"Unzulässige Umlage (R2 größer/gleich R1)!!!",IF(AND(E425&lt;&gt;0,G422=0),"Beschäftigungsgruppe in R1 wählen!",""))</f>
        <v/>
      </c>
      <c r="K425" s="2306"/>
      <c r="L425" s="2307"/>
      <c r="M425" s="1338" t="s">
        <v>1028</v>
      </c>
    </row>
    <row r="426" spans="1:21" ht="17.850000000000001" customHeight="1" x14ac:dyDescent="0.45">
      <c r="A426" s="2285" t="s">
        <v>697</v>
      </c>
      <c r="B426" s="2286"/>
      <c r="C426" s="2286"/>
      <c r="D426" s="2286"/>
      <c r="E426" s="2286"/>
      <c r="F426" s="2286"/>
      <c r="G426" s="2286"/>
      <c r="H426" s="570">
        <v>0</v>
      </c>
      <c r="I426" s="639"/>
      <c r="J426" s="2334" t="str">
        <f>IF(AND(ISBLANK(H426),E425&lt;&gt;0),"Kennzeichen eingeben! Es sind unprod. Zeiten kalkuliert.","")</f>
        <v/>
      </c>
      <c r="K426" s="2334"/>
      <c r="L426" s="2335"/>
      <c r="M426" s="1338" t="s">
        <v>1027</v>
      </c>
    </row>
    <row r="427" spans="1:21" ht="17.850000000000001" customHeight="1" x14ac:dyDescent="0.45">
      <c r="A427" s="2482"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483"/>
      <c r="C427" s="2483"/>
      <c r="D427" s="2483"/>
      <c r="E427" s="2483"/>
      <c r="F427" s="2483"/>
      <c r="G427" s="367">
        <f>IF(H426=1,E422,E422-E425)</f>
        <v>1</v>
      </c>
      <c r="H427" s="367">
        <f>E425</f>
        <v>0</v>
      </c>
      <c r="I427" s="638"/>
      <c r="J427" s="2308" t="str">
        <f>IFERROR(IF(H427/G427&gt;Report!$F$7,"Hinweis: Unproduktiver Anteil erscheint hoch!",""),"Der unprod. Anteil löst eine Division mit 0 aus!")</f>
        <v/>
      </c>
      <c r="K427" s="2308"/>
      <c r="L427" s="2309"/>
    </row>
    <row r="428" spans="1:21" ht="17.850000000000001" customHeight="1" x14ac:dyDescent="0.45">
      <c r="A428" s="2489"/>
      <c r="B428" s="2490"/>
      <c r="C428" s="2490"/>
      <c r="D428" s="2490"/>
      <c r="E428" s="2490"/>
      <c r="F428" s="2490"/>
      <c r="G428" s="2490"/>
      <c r="H428" s="2490"/>
      <c r="I428" s="638"/>
      <c r="L428" s="216"/>
    </row>
    <row r="429" spans="1:21" ht="17.850000000000001" customHeight="1" thickBot="1" x14ac:dyDescent="0.5">
      <c r="A429" s="2925" t="s">
        <v>380</v>
      </c>
      <c r="B429" s="2926"/>
      <c r="C429" s="2927"/>
      <c r="D429" s="852" t="s">
        <v>72</v>
      </c>
      <c r="E429" s="853" t="s">
        <v>73</v>
      </c>
      <c r="F429" s="854" t="s">
        <v>118</v>
      </c>
      <c r="G429" s="852" t="s">
        <v>85</v>
      </c>
      <c r="H429" s="855" t="s">
        <v>73</v>
      </c>
      <c r="I429" s="638"/>
      <c r="L429" s="216"/>
      <c r="M429" s="1137"/>
    </row>
    <row r="430" spans="1:21" ht="17.850000000000001" customHeight="1" thickTop="1" x14ac:dyDescent="0.45">
      <c r="A430" s="676" t="s">
        <v>74</v>
      </c>
      <c r="B430" s="677"/>
      <c r="C430" s="678"/>
      <c r="D430" s="679">
        <f ca="1">G422*G427</f>
        <v>19.91</v>
      </c>
      <c r="E430" s="680">
        <f ca="1">G427*H422</f>
        <v>2.99</v>
      </c>
      <c r="F430" s="681" t="s">
        <v>59</v>
      </c>
      <c r="G430" s="682">
        <f ca="1">D430</f>
        <v>19.91</v>
      </c>
      <c r="H430" s="683" t="str">
        <f>IF(D433=_Ja,"",D432)</f>
        <v/>
      </c>
      <c r="I430" s="638"/>
      <c r="L430" s="216"/>
    </row>
    <row r="431" spans="1:21" ht="17.850000000000001" customHeight="1" thickBot="1" x14ac:dyDescent="0.5">
      <c r="A431" s="684" t="s">
        <v>75</v>
      </c>
      <c r="B431" s="685"/>
      <c r="C431" s="686"/>
      <c r="D431" s="687">
        <f ca="1">H427*G425</f>
        <v>0</v>
      </c>
      <c r="E431" s="688">
        <f ca="1">H427*H425</f>
        <v>0</v>
      </c>
      <c r="F431" s="689" t="s">
        <v>203</v>
      </c>
      <c r="G431" s="690">
        <f ca="1">D431</f>
        <v>0</v>
      </c>
      <c r="H431" s="691" t="str">
        <f>IF(D433=_Ja,"",E432)</f>
        <v/>
      </c>
      <c r="I431" s="638"/>
      <c r="L431" s="216"/>
    </row>
    <row r="432" spans="1:21" ht="17.850000000000001" customHeight="1" thickBot="1" x14ac:dyDescent="0.5">
      <c r="A432" s="692"/>
      <c r="B432" s="693"/>
      <c r="C432" s="694" t="s">
        <v>56</v>
      </c>
      <c r="D432" s="695">
        <f ca="1">SUM(D430:D431)</f>
        <v>19.91</v>
      </c>
      <c r="E432" s="696">
        <f ca="1">SUM(E430:E431)</f>
        <v>2.99</v>
      </c>
      <c r="F432" s="697" t="s">
        <v>86</v>
      </c>
      <c r="G432" s="698">
        <f ca="1">G431/G430</f>
        <v>0</v>
      </c>
      <c r="H432" s="699">
        <f ca="1">IF(D433=_Ja,$H$73,H431/H430)</f>
        <v>0.151</v>
      </c>
      <c r="I432" s="366" t="str">
        <f>IF(D433=_Ja,"X","")</f>
        <v>X</v>
      </c>
      <c r="L432" s="216"/>
    </row>
    <row r="433" spans="1:18" ht="17.850000000000001" customHeight="1" thickBot="1" x14ac:dyDescent="0.5">
      <c r="A433" s="2285" t="str">
        <f ca="1">"Ø AKV gem Pkt B  "&amp;TEXT($H$73,"0,00%")&amp;". Beibehalten?"</f>
        <v>Ø AKV gem Pkt B  15,10%. Beibehalten?</v>
      </c>
      <c r="B433" s="2286"/>
      <c r="C433" s="2287"/>
      <c r="D433" s="823" t="s">
        <v>192</v>
      </c>
      <c r="E433" s="2517" t="s">
        <v>381</v>
      </c>
      <c r="F433" s="2518"/>
      <c r="G433" s="357"/>
      <c r="H433" s="358"/>
      <c r="I433" s="366" t="str">
        <f>IF(OR(G433&lt;&gt;0,H433&lt;&gt;0),"X","")</f>
        <v/>
      </c>
      <c r="L433" s="216"/>
    </row>
    <row r="434" spans="1:18" ht="17.850000000000001" customHeight="1" x14ac:dyDescent="0.45">
      <c r="A434" s="2514"/>
      <c r="B434" s="2515"/>
      <c r="C434" s="2515"/>
      <c r="D434" s="2541"/>
      <c r="E434" s="2527" t="s">
        <v>554</v>
      </c>
      <c r="F434" s="2528"/>
      <c r="G434" s="86">
        <f ca="1">SUM(G432,G433)</f>
        <v>0</v>
      </c>
      <c r="H434" s="154">
        <f ca="1">SUM(H432,H433)</f>
        <v>0.151</v>
      </c>
      <c r="I434" s="638"/>
      <c r="L434" s="216"/>
    </row>
    <row r="435" spans="1:18" ht="17.850000000000001" customHeight="1" x14ac:dyDescent="0.45">
      <c r="A435" s="2478"/>
      <c r="B435" s="2516"/>
      <c r="C435" s="2516"/>
      <c r="D435" s="2479"/>
      <c r="E435" s="87"/>
      <c r="F435" s="641"/>
      <c r="G435" s="368" t="s">
        <v>121</v>
      </c>
      <c r="H435" s="369" t="s">
        <v>122</v>
      </c>
      <c r="I435" s="638"/>
      <c r="L435" s="216"/>
    </row>
    <row r="436" spans="1:18" ht="17.850000000000001" customHeight="1" x14ac:dyDescent="0.45">
      <c r="A436" s="1185" t="s">
        <v>382</v>
      </c>
      <c r="B436" s="841"/>
      <c r="C436" s="841"/>
      <c r="D436" s="2474" t="str">
        <f>IF(A421=0,"Beschäftigungsgruppe wählen!",A421)</f>
        <v>LG 2 Qualifizierter Facharbeiter</v>
      </c>
      <c r="E436" s="2474"/>
      <c r="F436" s="2474"/>
      <c r="G436" s="2474"/>
      <c r="H436" s="843">
        <f ca="1">IFERROR(' K3 Regie1'!N45,"??")</f>
        <v>75.23</v>
      </c>
      <c r="I436" s="638"/>
      <c r="L436" s="216"/>
    </row>
    <row r="437" spans="1:18" ht="17.850000000000001" customHeight="1" x14ac:dyDescent="0.45">
      <c r="A437" s="2410" t="s">
        <v>630</v>
      </c>
      <c r="B437" s="2411"/>
      <c r="C437" s="2411"/>
      <c r="D437" s="2411"/>
      <c r="E437" s="2411"/>
      <c r="F437" s="2411"/>
      <c r="G437" s="2411"/>
      <c r="H437" s="2411"/>
      <c r="I437" s="638"/>
      <c r="J437" s="2426" t="str">
        <f>IF(OR(I438="X",I443="X"),M$301,"")</f>
        <v/>
      </c>
      <c r="K437" s="2426"/>
      <c r="L437" s="2427"/>
      <c r="M437" s="1965" t="s">
        <v>773</v>
      </c>
      <c r="N437" s="1965"/>
    </row>
    <row r="438" spans="1:18" ht="17.850000000000001" customHeight="1" x14ac:dyDescent="0.45">
      <c r="A438" s="2285" t="s">
        <v>702</v>
      </c>
      <c r="B438" s="2286"/>
      <c r="C438" s="2287"/>
      <c r="D438" s="862" t="s">
        <v>700</v>
      </c>
      <c r="E438" s="2299" t="s">
        <v>898</v>
      </c>
      <c r="F438" s="2300"/>
      <c r="G438" s="2328"/>
      <c r="H438" s="995">
        <f>IFERROR(VLOOKUP(E438,M438:N440,2,FALSE),"")</f>
        <v>0</v>
      </c>
      <c r="I438" s="366" t="str">
        <f>IF(E438&lt;&gt;M438,"X","")</f>
        <v/>
      </c>
      <c r="J438" s="2426"/>
      <c r="K438" s="2426"/>
      <c r="L438" s="2427"/>
      <c r="M438" s="2068" t="s">
        <v>898</v>
      </c>
      <c r="N438" s="2009">
        <v>0</v>
      </c>
    </row>
    <row r="439" spans="1:18" ht="17.850000000000001" customHeight="1" thickBot="1" x14ac:dyDescent="0.5">
      <c r="A439" s="669" t="s">
        <v>628</v>
      </c>
      <c r="B439" s="670"/>
      <c r="C439" s="671" t="s">
        <v>627</v>
      </c>
      <c r="D439" s="671" t="s">
        <v>629</v>
      </c>
      <c r="E439" s="671" t="s">
        <v>159</v>
      </c>
      <c r="F439" s="671" t="s">
        <v>8</v>
      </c>
      <c r="G439" s="671" t="s">
        <v>9</v>
      </c>
      <c r="H439" s="672" t="s">
        <v>10</v>
      </c>
      <c r="I439" s="366"/>
      <c r="L439" s="216"/>
      <c r="M439" s="2068" t="s">
        <v>899</v>
      </c>
      <c r="N439" s="2009">
        <f ca="1">$H$167</f>
        <v>0.03</v>
      </c>
    </row>
    <row r="440" spans="1:18" ht="30" customHeight="1" thickTop="1" x14ac:dyDescent="0.45">
      <c r="A440" s="2389"/>
      <c r="B440" s="2390"/>
      <c r="C440" s="763">
        <v>1</v>
      </c>
      <c r="D440" s="868">
        <v>1</v>
      </c>
      <c r="E440" s="869" t="str">
        <f>IF(ISBLANK(A440),"",IF(L$27="",IFERROR(VLOOKUP(A440,Stammdaten!$A$70:$C$96,3,FALSE),KALKULATION!$M$283),"ungültig"))</f>
        <v/>
      </c>
      <c r="F440" s="673" t="str">
        <f>IFERROR(C440*D440*E440,"")</f>
        <v/>
      </c>
      <c r="G440" s="674">
        <f ca="1">IFERROR(VLOOKUP(A440,Stammdaten!$A$70:$C$96,2,FALSE),"")</f>
        <v>0</v>
      </c>
      <c r="H440" s="675">
        <f ca="1">IFERROR(C440*D440*G440,"")</f>
        <v>0</v>
      </c>
      <c r="I440" s="366"/>
      <c r="J440" s="2487" t="str">
        <f>VLOOKUP(E443,M443:Q446,5,FALSE)</f>
        <v>Hinweis zu R4.b - 1.) Wenn der Regiepreis keine Arbeitszeitzuschläge enthalten soll (Regelung gem ÖN B 2110) ist diese Einstellung (1.) zutreffend.</v>
      </c>
      <c r="K440" s="2487"/>
      <c r="L440" s="2488"/>
      <c r="M440" s="2068" t="s">
        <v>900</v>
      </c>
      <c r="N440" s="2009" t="s">
        <v>701</v>
      </c>
    </row>
    <row r="441" spans="1:18" ht="17.850000000000001" customHeight="1" x14ac:dyDescent="0.45">
      <c r="A441" s="863"/>
      <c r="B441" s="864"/>
      <c r="C441" s="864"/>
      <c r="D441" s="871" t="s">
        <v>703</v>
      </c>
      <c r="E441" s="870">
        <f ca="1">' K3 Regie1'!O$21</f>
        <v>19.91</v>
      </c>
      <c r="F441" s="867">
        <f ca="1">IFERROR(F440/E441,0)</f>
        <v>0</v>
      </c>
      <c r="G441" s="865" t="str">
        <f ca="1">IF(G440=0,"",$G$131)</f>
        <v/>
      </c>
      <c r="H441" s="1004">
        <f ca="1">IFERROR(H440*G441,0)</f>
        <v>0</v>
      </c>
      <c r="I441" s="366"/>
      <c r="J441" s="2487"/>
      <c r="K441" s="2487"/>
      <c r="L441" s="2488"/>
    </row>
    <row r="442" spans="1:18" ht="17.850000000000001" customHeight="1" x14ac:dyDescent="0.45">
      <c r="A442" s="2243" t="s">
        <v>766</v>
      </c>
      <c r="B442" s="2336"/>
      <c r="C442" s="2336"/>
      <c r="D442" s="2336"/>
      <c r="E442" s="2336"/>
      <c r="F442" s="497"/>
      <c r="G442" s="346"/>
      <c r="H442" s="92">
        <f>IF(E438=M440,SUM(F441,H441),H438)</f>
        <v>0</v>
      </c>
      <c r="I442" s="366"/>
      <c r="J442" s="2487"/>
      <c r="K442" s="2487"/>
      <c r="L442" s="2488"/>
      <c r="M442" s="1962" t="s">
        <v>774</v>
      </c>
      <c r="N442" s="1962"/>
      <c r="O442" s="2069" t="s">
        <v>864</v>
      </c>
      <c r="P442" s="1955" t="s">
        <v>873</v>
      </c>
      <c r="Q442" s="1955" t="s">
        <v>874</v>
      </c>
      <c r="R442" s="1964" t="s">
        <v>876</v>
      </c>
    </row>
    <row r="443" spans="1:18" ht="17.850000000000001" customHeight="1" x14ac:dyDescent="0.45">
      <c r="A443" s="2491" t="s">
        <v>765</v>
      </c>
      <c r="B443" s="2492"/>
      <c r="C443" s="2492"/>
      <c r="D443" s="921" t="s">
        <v>767</v>
      </c>
      <c r="E443" s="2299" t="s">
        <v>879</v>
      </c>
      <c r="F443" s="2300"/>
      <c r="G443" s="2300"/>
      <c r="H443" s="1030">
        <f>IFERROR(VLOOKUP(E443,M443:N446,2,FALSE),"")</f>
        <v>0</v>
      </c>
      <c r="I443" s="366" t="str">
        <f>IF(E443&lt;&gt;M443,"X","")</f>
        <v/>
      </c>
      <c r="J443" s="2487"/>
      <c r="K443" s="2487"/>
      <c r="L443" s="2488"/>
      <c r="M443" s="2018" t="s">
        <v>879</v>
      </c>
      <c r="N443" s="2003">
        <v>0</v>
      </c>
      <c r="O443" s="2070"/>
      <c r="P443" s="1955" t="s">
        <v>143</v>
      </c>
      <c r="Q443" s="1955" t="s">
        <v>927</v>
      </c>
      <c r="R443" s="1969"/>
    </row>
    <row r="444" spans="1:18" ht="17.850000000000001" customHeight="1" x14ac:dyDescent="0.45">
      <c r="A444" s="2412" t="s">
        <v>561</v>
      </c>
      <c r="B444" s="2413"/>
      <c r="C444" s="2413"/>
      <c r="D444" s="2413"/>
      <c r="E444" s="551" t="s">
        <v>376</v>
      </c>
      <c r="F444" s="522" t="s">
        <v>192</v>
      </c>
      <c r="G444" s="922">
        <v>1</v>
      </c>
      <c r="H444" s="604"/>
      <c r="I444" s="366" t="str">
        <f>IF(AND(E443=M446,F444=_Ja),"X","")</f>
        <v/>
      </c>
      <c r="J444" s="2334" t="str">
        <f>IF(OR(F444=$Q$31,F444=$Q$32),"","Bitte Ja oder Nein wählen!")</f>
        <v/>
      </c>
      <c r="K444" s="2334"/>
      <c r="L444" s="2335"/>
      <c r="M444" s="2018" t="s">
        <v>1110</v>
      </c>
      <c r="N444" s="2003">
        <f ca="1">H$115</f>
        <v>2.5999999999999999E-2</v>
      </c>
      <c r="O444" s="2070"/>
      <c r="P444" s="2071" t="s">
        <v>1111</v>
      </c>
      <c r="Q444" s="1955" t="s">
        <v>881</v>
      </c>
      <c r="R444" s="1969"/>
    </row>
    <row r="445" spans="1:18" ht="17.850000000000001" customHeight="1" x14ac:dyDescent="0.45">
      <c r="A445" s="538" t="s">
        <v>377</v>
      </c>
      <c r="B445" s="2331"/>
      <c r="C445" s="2332"/>
      <c r="D445" s="2333"/>
      <c r="E445" s="540" t="str">
        <f>IF(OR(ISBLANK(B445),F444=_Nein),"",IFERROR(VLOOKUP(B445,Stammdaten!A$39:C$48,3,FALSE),KALKULATION!$M$283))</f>
        <v/>
      </c>
      <c r="F445" s="1098"/>
      <c r="G445" s="542"/>
      <c r="H445" s="605"/>
      <c r="I445" s="640"/>
      <c r="J445" s="2306" t="str">
        <f>IF(F444&lt;&gt;$Q$31,"",IF(AND(E445=KALKULATION!$M$283,F444=$Q$31),"Auswahl erneut vornehmen (ungültiger Verweis)!",IF(OR(AND(F444=$Q$31,B445=""),AND(F444=$Q$32,B445&lt;&gt;"")),"Eingabe unvollständig (ergänzen,  löschen od Nein wählen)!","")))</f>
        <v>Eingabe unvollständig (ergänzen,  löschen od Nein wählen)!</v>
      </c>
      <c r="K445" s="2306"/>
      <c r="L445" s="2307"/>
      <c r="M445" s="2018" t="s">
        <v>880</v>
      </c>
      <c r="N445" s="2003">
        <f ca="1">$Q$113</f>
        <v>0.67330000000000001</v>
      </c>
      <c r="O445" s="2070"/>
      <c r="P445" s="2071" t="s">
        <v>878</v>
      </c>
      <c r="Q445" s="1955" t="s">
        <v>882</v>
      </c>
      <c r="R445" s="1969"/>
    </row>
    <row r="446" spans="1:18" ht="17.850000000000001" customHeight="1" x14ac:dyDescent="0.45">
      <c r="A446" s="2480" t="s">
        <v>135</v>
      </c>
      <c r="B446" s="2481"/>
      <c r="C446" s="2481"/>
      <c r="D446" s="2481"/>
      <c r="E446" s="539">
        <f ca="1">IFERROR(IF(VLOOKUP(B445,Stammdaten!A$39:C$48,2,FALSE)=0,1,(VLOOKUP(B445,Stammdaten!A$39:C$48,2,FALSE))),"")</f>
        <v>1</v>
      </c>
      <c r="F446" s="1098"/>
      <c r="G446" s="543"/>
      <c r="H446" s="606"/>
      <c r="I446" s="640"/>
      <c r="L446" s="216"/>
      <c r="M446" s="2018" t="s">
        <v>875</v>
      </c>
      <c r="N446" s="2003" t="s">
        <v>701</v>
      </c>
      <c r="O446" s="2070"/>
      <c r="P446" s="1955"/>
      <c r="Q446" s="1955" t="s">
        <v>883</v>
      </c>
      <c r="R446" s="1969"/>
    </row>
    <row r="447" spans="1:18" ht="17.850000000000001" customHeight="1" x14ac:dyDescent="0.45">
      <c r="A447" s="2498" t="s">
        <v>558</v>
      </c>
      <c r="B447" s="2499"/>
      <c r="C447" s="2499"/>
      <c r="D447" s="2499"/>
      <c r="E447" s="2500"/>
      <c r="F447" s="351">
        <v>1</v>
      </c>
      <c r="G447" s="544">
        <f>IF(F447=1,1,IF(F447=2,((' K3 Regie1'!O$23+' K3 Regie1'!O$24)/' K3 Regie1'!O$23),IF(F447&gt;2,((' K3 Regie1'!O$23+' K3 Regie1'!O$24+' K3 Regie1'!O$25)/' K3 Regie1'!O$23),"")))</f>
        <v>1</v>
      </c>
      <c r="H447" s="605" t="str">
        <f ca="1">IFERROR(IF(AND(F444=$Q$31,F447&gt;0),(E445*E446*G447),""),"??")</f>
        <v>??</v>
      </c>
      <c r="I447" s="640"/>
      <c r="J447" s="1087" t="str">
        <f>IF(F444&lt;&gt;$Q$31,"",IF(AND(ISBLANK(F447),F444=$Q$31),"Kennzeichen setzen!",""))</f>
        <v/>
      </c>
      <c r="K447" s="1087"/>
      <c r="L447" s="365"/>
      <c r="M447" s="2072" t="s">
        <v>863</v>
      </c>
      <c r="R447" s="1969"/>
    </row>
    <row r="448" spans="1:18" ht="17.850000000000001" customHeight="1" x14ac:dyDescent="0.45">
      <c r="A448" s="2412" t="s">
        <v>563</v>
      </c>
      <c r="B448" s="2413"/>
      <c r="C448" s="2413"/>
      <c r="D448" s="2413"/>
      <c r="E448" s="551" t="s">
        <v>376</v>
      </c>
      <c r="F448" s="522" t="s">
        <v>192</v>
      </c>
      <c r="G448" s="541"/>
      <c r="H448" s="604"/>
      <c r="I448" s="366" t="str">
        <f>IF(AND(E443=M446,F448=_Ja),"X","")</f>
        <v/>
      </c>
      <c r="J448" s="2334"/>
      <c r="K448" s="2334"/>
      <c r="L448" s="2335"/>
      <c r="M448" s="1338" t="s">
        <v>856</v>
      </c>
      <c r="N448" s="2073" t="str">
        <f>IF(E443=M444,P444,IF(E443=M445,P445,IF(AND(E443=M446,F444=_Ja),B445,P443)))</f>
        <v>Regiestunde</v>
      </c>
      <c r="O448" s="2068"/>
      <c r="P448" s="2003" t="str">
        <f>IF(AND(E443=M446,F444=_Ja),TEXT(E445,"0%"),IF(N448=P444,TEXT(N444,"0,00%"),IF(N448=P445,TEXT($P$113,"0%"),"")))</f>
        <v/>
      </c>
      <c r="R448" s="1969"/>
    </row>
    <row r="449" spans="1:28" ht="17.850000000000001" customHeight="1" x14ac:dyDescent="0.45">
      <c r="A449" s="538" t="s">
        <v>377</v>
      </c>
      <c r="B449" s="2331"/>
      <c r="C449" s="2332"/>
      <c r="D449" s="2333"/>
      <c r="E449" s="547" t="str">
        <f>IF(OR(ISBLANK(B449),F448=_Nein),"",IFERROR(VLOOKUP(B449,Stammdaten!A$50:C$54,3,FALSE),KALKULATION!$M$283))</f>
        <v/>
      </c>
      <c r="F449" s="1098"/>
      <c r="G449" s="542"/>
      <c r="H449" s="605"/>
      <c r="I449" s="640"/>
      <c r="J449" s="2306" t="str">
        <f>IF(F448&lt;&gt;$Q$31,"",IF(AND(E449=KALKULATION!$M$283,F448=$Q$31),"Auswahl erneut vornehmen (ungültiger Verweis)!",IF(OR(AND(F448=$Q$31,B449=""),AND(F448=$Q$32,B449&lt;&gt;"")),"Eingabe unvollständig (ergänzen,  löschen od Nein wählen)!","")))</f>
        <v>Eingabe unvollständig (ergänzen,  löschen od Nein wählen)!</v>
      </c>
      <c r="K449" s="2306"/>
      <c r="L449" s="2307"/>
      <c r="M449" s="1338" t="s">
        <v>860</v>
      </c>
      <c r="N449" s="2074" t="str">
        <f>IF(AND(E443=M446,F448=_Ja),B449,"")</f>
        <v/>
      </c>
      <c r="O449" s="2075"/>
      <c r="P449" s="2003" t="str">
        <f>IF(N449="","",E449)</f>
        <v/>
      </c>
      <c r="Q449" s="1943"/>
      <c r="R449" s="2076"/>
      <c r="S449" s="1943"/>
      <c r="T449" s="1943"/>
      <c r="U449" s="1943"/>
    </row>
    <row r="450" spans="1:28" ht="17.850000000000001" customHeight="1" x14ac:dyDescent="0.45">
      <c r="A450" s="2403" t="s">
        <v>198</v>
      </c>
      <c r="B450" s="2404"/>
      <c r="C450" s="2404"/>
      <c r="D450" s="2404"/>
      <c r="E450" s="539">
        <f ca="1">IFERROR(IF(VLOOKUP(B449,Stammdaten!A$50:C$54,2,FALSE)=0,1,(VLOOKUP(B449,Stammdaten!A$50:C$54,2,FALSE))),"")</f>
        <v>1</v>
      </c>
      <c r="F450" s="1098"/>
      <c r="G450" s="543"/>
      <c r="H450" s="606"/>
      <c r="I450" s="640"/>
      <c r="L450" s="216"/>
      <c r="M450" s="1338" t="s">
        <v>861</v>
      </c>
      <c r="N450" s="2074" t="str">
        <f>IF(AND(E443=M446,F452=_Ja),B453,"")</f>
        <v/>
      </c>
      <c r="O450" s="2018"/>
      <c r="P450" s="2077" t="str">
        <f>IF(N450="","",E453)</f>
        <v/>
      </c>
      <c r="Q450" s="1943"/>
      <c r="R450" s="2076"/>
      <c r="S450" s="1943"/>
      <c r="T450" s="1943"/>
      <c r="U450" s="1943"/>
    </row>
    <row r="451" spans="1:28" ht="17.850000000000001" customHeight="1" x14ac:dyDescent="0.45">
      <c r="A451" s="2498" t="str">
        <f>A447</f>
        <v xml:space="preserve">  Basis für die Aufzahlung in % (siehe Pkt C0; KZ = 1, 2, 3 od. 4):  ↓</v>
      </c>
      <c r="B451" s="2499"/>
      <c r="C451" s="2499"/>
      <c r="D451" s="2499"/>
      <c r="E451" s="2500"/>
      <c r="F451" s="351">
        <v>1</v>
      </c>
      <c r="G451" s="544">
        <f>IF(F451=1,1,IF(F451=2,((' K3 Regie1'!O$23+' K3 Regie1'!O$24)/' K3 Regie1'!O$23),IF(F451&gt;2,((' K3 Regie1'!O$23+' K3 Regie1'!O$24+' K3 Regie1'!O$25)/' K3 Regie1'!O$23),"")))</f>
        <v>1</v>
      </c>
      <c r="H451" s="605" t="str">
        <f ca="1">IFERROR(IF(F448=$Q$31,(E449*E450*G451),""),"??")</f>
        <v>??</v>
      </c>
      <c r="I451" s="640"/>
      <c r="J451" s="2334" t="str">
        <f>IF(F448&lt;&gt;$Q$31,"",IF(AND(ISBLANK(F451),F448=$Q$31),"Kennzeichen setzen!",""))</f>
        <v/>
      </c>
      <c r="K451" s="2334"/>
      <c r="L451" s="360"/>
      <c r="M451" s="1338" t="s">
        <v>865</v>
      </c>
      <c r="N451" s="1338">
        <f>IF(AND(N449&lt;&gt;"",N450&lt;&gt;""),2,IF(N449&amp;N450="",0,1))</f>
        <v>0</v>
      </c>
      <c r="R451" s="1969"/>
    </row>
    <row r="452" spans="1:28" ht="17.850000000000001" customHeight="1" x14ac:dyDescent="0.45">
      <c r="A452" s="2412" t="s">
        <v>564</v>
      </c>
      <c r="B452" s="2413"/>
      <c r="C452" s="2413"/>
      <c r="D452" s="2413"/>
      <c r="E452" s="551" t="s">
        <v>376</v>
      </c>
      <c r="F452" s="522" t="s">
        <v>192</v>
      </c>
      <c r="G452" s="545"/>
      <c r="H452" s="607"/>
      <c r="I452" s="366" t="str">
        <f>IF(AND(E443=M446,F452=_Ja),"X","")</f>
        <v/>
      </c>
      <c r="J452" s="2334"/>
      <c r="K452" s="2334"/>
      <c r="L452" s="2335"/>
      <c r="M452" s="1971"/>
      <c r="N452" s="2078" t="str">
        <f>IF(N451=2," "&amp;N449&amp;" "&amp;", "&amp;N450,IF(N451=1," "&amp;N449&amp;N450,""))</f>
        <v/>
      </c>
      <c r="O452" s="2078"/>
      <c r="P452" s="1971"/>
      <c r="Q452" s="1971"/>
      <c r="R452" s="1978"/>
    </row>
    <row r="453" spans="1:28" ht="17.850000000000001" customHeight="1" x14ac:dyDescent="0.45">
      <c r="A453" s="550" t="s">
        <v>377</v>
      </c>
      <c r="B453" s="2332"/>
      <c r="C453" s="2332"/>
      <c r="D453" s="2332"/>
      <c r="E453" s="548" t="str">
        <f>IF(OR(ISBLANK(B453),F452=_Nein),"",IFERROR(VLOOKUP(B453,Stammdaten!A$57:C$61,2,FALSE),KALKULATION!$M$283))</f>
        <v/>
      </c>
      <c r="F453" s="755" t="s">
        <v>197</v>
      </c>
      <c r="G453" s="756">
        <f ca="1">' K3 Regie1'!$O$21</f>
        <v>19.91</v>
      </c>
      <c r="H453" s="757" t="str">
        <f ca="1">IFERROR(IF(F452=$Q$31,E453/G453,""),"??")</f>
        <v>??</v>
      </c>
      <c r="I453" s="640"/>
      <c r="J453" s="271" t="str">
        <f>IF(AND(F452=$Q$31,B453=""),"Eingabe unvollständig (ergänzen od Nein wählen)!","")</f>
        <v>Eingabe unvollständig (ergänzen od Nein wählen)!</v>
      </c>
      <c r="L453" s="216"/>
    </row>
    <row r="454" spans="1:28" ht="17.850000000000001" customHeight="1" x14ac:dyDescent="0.45">
      <c r="A454" s="2285" t="s">
        <v>389</v>
      </c>
      <c r="B454" s="2286"/>
      <c r="C454" s="2286"/>
      <c r="D454" s="2286"/>
      <c r="E454" s="67"/>
      <c r="F454" s="998"/>
      <c r="G454" s="377" t="str">
        <f ca="1">IF(F448=$Q$31,TEXT(H451,"0%"),IF(F452=$Q$31,TEXT(G453,"0,00€"),""))</f>
        <v>??</v>
      </c>
      <c r="H454" s="609">
        <f>IF(E443=M446,SUM(H444:H453),H443)</f>
        <v>0</v>
      </c>
      <c r="I454" s="640"/>
      <c r="L454" s="216"/>
    </row>
    <row r="455" spans="1:28" ht="17.850000000000001" customHeight="1" x14ac:dyDescent="0.45">
      <c r="A455" s="2891" t="s">
        <v>854</v>
      </c>
      <c r="B455" s="2892"/>
      <c r="C455" s="2892"/>
      <c r="D455" s="2893"/>
      <c r="E455" s="2399" t="s">
        <v>772</v>
      </c>
      <c r="F455" s="2399"/>
      <c r="G455" s="2399" t="s">
        <v>770</v>
      </c>
      <c r="H455" s="2493" t="s">
        <v>760</v>
      </c>
      <c r="I455" s="640"/>
      <c r="L455" s="216"/>
    </row>
    <row r="456" spans="1:28" ht="17.850000000000001" customHeight="1" x14ac:dyDescent="0.45">
      <c r="A456" s="2894"/>
      <c r="B456" s="2895"/>
      <c r="C456" s="2895"/>
      <c r="D456" s="2896"/>
      <c r="E456" s="2400"/>
      <c r="F456" s="2400"/>
      <c r="G456" s="2400"/>
      <c r="H456" s="2494"/>
      <c r="I456" s="640"/>
      <c r="L456" s="216"/>
    </row>
    <row r="457" spans="1:28" ht="17.850000000000001" customHeight="1" thickBot="1" x14ac:dyDescent="0.5">
      <c r="A457" s="2897"/>
      <c r="B457" s="2898"/>
      <c r="C457" s="2898"/>
      <c r="D457" s="2899"/>
      <c r="E457" s="2401"/>
      <c r="F457" s="2401"/>
      <c r="G457" s="2401"/>
      <c r="H457" s="2495"/>
      <c r="I457" s="640"/>
      <c r="L457" s="216"/>
    </row>
    <row r="458" spans="1:28" ht="17.850000000000001" customHeight="1" thickTop="1" x14ac:dyDescent="0.45">
      <c r="A458" s="2243" t="s">
        <v>384</v>
      </c>
      <c r="B458" s="2336"/>
      <c r="C458" s="2336"/>
      <c r="D458" s="2244"/>
      <c r="E458" s="51">
        <f ca="1">$H$228</f>
        <v>3.3</v>
      </c>
      <c r="F458" s="1883">
        <f>H427/G427</f>
        <v>0</v>
      </c>
      <c r="G458" s="565"/>
      <c r="H458" s="361">
        <f ca="1">IF(ISBLANK(G458),E458*(1+F458),G458)</f>
        <v>3.3</v>
      </c>
      <c r="I458" s="366" t="str">
        <f>IF(ISBLANK(G458),"","X")</f>
        <v/>
      </c>
      <c r="L458" s="216"/>
      <c r="V458" s="1943"/>
      <c r="W458" s="1943"/>
      <c r="X458" s="1951"/>
      <c r="Y458" s="1951"/>
      <c r="Z458" s="66"/>
      <c r="AA458" s="66"/>
      <c r="AB458" s="66"/>
    </row>
    <row r="459" spans="1:28" s="66" customFormat="1" ht="17.850000000000001" customHeight="1" x14ac:dyDescent="0.45">
      <c r="A459" s="2285" t="s">
        <v>385</v>
      </c>
      <c r="B459" s="2286"/>
      <c r="C459" s="2286"/>
      <c r="D459" s="2287"/>
      <c r="E459" s="48">
        <f ca="1">IF(E438=M439,$G$227,$G$229)</f>
        <v>1.5</v>
      </c>
      <c r="F459" s="1884">
        <f>H427/G427</f>
        <v>0</v>
      </c>
      <c r="G459" s="565"/>
      <c r="H459" s="362">
        <f ca="1">IF(ISBLANK(G459),E459*(1+F459),G459)</f>
        <v>1.5</v>
      </c>
      <c r="I459" s="366" t="str">
        <f>IF(ISBLANK(G459),"","X")</f>
        <v/>
      </c>
      <c r="J459" s="42"/>
      <c r="K459" s="42"/>
      <c r="L459" s="216"/>
      <c r="M459" s="1338"/>
      <c r="N459" s="1338"/>
      <c r="O459" s="1338"/>
      <c r="P459" s="1338"/>
      <c r="Q459" s="1338"/>
      <c r="R459" s="1338"/>
      <c r="S459" s="1338"/>
      <c r="T459" s="1338"/>
      <c r="U459" s="1338"/>
      <c r="V459" s="1943"/>
      <c r="W459" s="1943"/>
      <c r="X459" s="1951"/>
      <c r="Y459" s="1951"/>
    </row>
    <row r="460" spans="1:28" s="66" customFormat="1" ht="17.850000000000001" customHeight="1" x14ac:dyDescent="0.45">
      <c r="A460" s="2285" t="s">
        <v>386</v>
      </c>
      <c r="B460" s="2286"/>
      <c r="C460" s="2286"/>
      <c r="D460" s="2287"/>
      <c r="E460" s="157">
        <f ca="1">$H$236</f>
        <v>0.30270000000000002</v>
      </c>
      <c r="F460" s="156"/>
      <c r="G460" s="337"/>
      <c r="H460" s="363">
        <f ca="1">IF(ISBLANK(G460),E460,G460)</f>
        <v>0.30270000000000002</v>
      </c>
      <c r="I460" s="366" t="str">
        <f ca="1">IF(OR(G460&lt;&gt;0,E460&lt;&gt;H460),"X","")</f>
        <v/>
      </c>
      <c r="J460" s="2308" t="str">
        <f>IF(G460="","","Hinweis: DPNK lassen sich genau bestimmen/nachrechnen!")</f>
        <v/>
      </c>
      <c r="K460" s="2308"/>
      <c r="L460" s="2309"/>
      <c r="M460" s="1338"/>
      <c r="N460" s="1338"/>
      <c r="O460" s="1338"/>
      <c r="P460" s="1338"/>
      <c r="Q460" s="1338"/>
      <c r="R460" s="1338"/>
      <c r="S460" s="1338"/>
      <c r="T460" s="1338"/>
      <c r="U460" s="1338"/>
      <c r="V460" s="1338"/>
      <c r="W460" s="1338"/>
      <c r="X460" s="267"/>
      <c r="Y460" s="267"/>
      <c r="Z460" s="42"/>
      <c r="AA460" s="42"/>
      <c r="AB460" s="42"/>
    </row>
    <row r="461" spans="1:28" ht="17.850000000000001" customHeight="1" x14ac:dyDescent="0.45">
      <c r="A461" s="2285" t="s">
        <v>387</v>
      </c>
      <c r="B461" s="2286"/>
      <c r="C461" s="2286"/>
      <c r="D461" s="2287"/>
      <c r="E461" s="157">
        <f ca="1">$H$265</f>
        <v>0.66</v>
      </c>
      <c r="F461" s="156"/>
      <c r="G461" s="337"/>
      <c r="H461" s="363">
        <f ca="1">IF(ISBLANK(G461),E461,G461)</f>
        <v>0.66</v>
      </c>
      <c r="I461" s="366" t="str">
        <f ca="1">IF(OR(G461&lt;&gt;0,E461&lt;&gt;H461),"X","")</f>
        <v/>
      </c>
      <c r="L461" s="216"/>
    </row>
    <row r="462" spans="1:28" ht="17.850000000000001" customHeight="1" x14ac:dyDescent="0.45">
      <c r="A462" s="2285" t="s">
        <v>388</v>
      </c>
      <c r="B462" s="2286"/>
      <c r="C462" s="2286"/>
      <c r="D462" s="2287"/>
      <c r="E462" s="48">
        <f ca="1">H$276</f>
        <v>7.0000000000000007E-2</v>
      </c>
      <c r="F462" s="156"/>
      <c r="G462" s="565"/>
      <c r="H462" s="362">
        <f ca="1">IF(ISBLANK(G462),E462,G462)</f>
        <v>7.0000000000000007E-2</v>
      </c>
      <c r="I462" s="366" t="str">
        <f ca="1">IF(OR(G462&lt;&gt;0,E462&lt;&gt;H462),"X","")</f>
        <v/>
      </c>
      <c r="L462" s="216"/>
    </row>
    <row r="463" spans="1:28" ht="17.850000000000001" customHeight="1" x14ac:dyDescent="0.45">
      <c r="A463" s="2285" t="s">
        <v>592</v>
      </c>
      <c r="B463" s="2287"/>
      <c r="C463" s="199">
        <f>$E$306</f>
        <v>4.7500000000000001E-2</v>
      </c>
      <c r="D463" s="54">
        <f ca="1">$F$307</f>
        <v>3.2050000000000001</v>
      </c>
      <c r="E463" s="338"/>
      <c r="F463" s="565"/>
      <c r="G463" s="363">
        <f>IF(ISBLANK(E463),C463,E463)</f>
        <v>4.7500000000000001E-2</v>
      </c>
      <c r="H463" s="361">
        <f ca="1">IF(ISBLANK(F463),D463,F463)</f>
        <v>3.21</v>
      </c>
      <c r="I463" s="366" t="str">
        <f>IF(OR(F463&lt;&gt;0,E463&lt;&gt;0),"X","")</f>
        <v/>
      </c>
      <c r="L463" s="216"/>
    </row>
    <row r="464" spans="1:28" ht="17.850000000000001" customHeight="1" x14ac:dyDescent="0.45">
      <c r="A464" s="2517" t="str">
        <f ca="1">"R5)"&amp;IF($G$327=0," Keine Umlagen unter Pkt H1 bzw H2 angelgt!"," Umlagen (K3 Spalte A)")</f>
        <v>R5) Keine Umlagen unter Pkt H1 bzw H2 angelgt!</v>
      </c>
      <c r="B464" s="2560"/>
      <c r="C464" s="2560"/>
      <c r="D464" s="2560"/>
      <c r="E464" s="2560"/>
      <c r="F464" s="2560"/>
      <c r="G464" s="2560"/>
      <c r="H464" s="2560"/>
      <c r="I464" s="640"/>
      <c r="L464" s="216"/>
      <c r="O464" s="2048" t="s">
        <v>379</v>
      </c>
      <c r="P464" s="2048" t="s">
        <v>390</v>
      </c>
    </row>
    <row r="465" spans="1:20" ht="17.850000000000001" customHeight="1" thickBot="1" x14ac:dyDescent="0.5">
      <c r="A465" s="2338" t="s">
        <v>560</v>
      </c>
      <c r="B465" s="2339"/>
      <c r="C465" s="2339"/>
      <c r="D465" s="3051"/>
      <c r="E465" s="808" t="str">
        <f ca="1">IF(SUM(F466:G468)&lt;&gt;$H$327,"!","")</f>
        <v/>
      </c>
      <c r="F465" s="712" t="s">
        <v>69</v>
      </c>
      <c r="G465" s="744" t="s">
        <v>671</v>
      </c>
      <c r="H465" s="1005">
        <f ca="1">IFERROR(' K3 Regie1'!O33,"")</f>
        <v>53.04</v>
      </c>
      <c r="I465" s="640"/>
      <c r="J465" s="2329" t="str">
        <f ca="1">IF(E465="!","Hinweis: Es sind nicht alle oder andere Umlagen wie unter Pkt H für K3_PP ausgewählt! Berechnung erfolgt mit den hier ausgewählten Umlagen.","")</f>
        <v/>
      </c>
      <c r="K465" s="2329"/>
      <c r="L465" s="2330"/>
    </row>
    <row r="466" spans="1:20" ht="17.850000000000001" customHeight="1" thickTop="1" x14ac:dyDescent="0.45">
      <c r="A466" s="2337"/>
      <c r="B466" s="2337"/>
      <c r="C466" s="2337"/>
      <c r="D466" s="2337"/>
      <c r="E466" s="2337"/>
      <c r="F466" s="85" t="str">
        <f>IF(A466="","",IFERROR(VLOOKUP(A466,A$329:E$333,2,FALSE),KALKULATION!$M$283))</f>
        <v/>
      </c>
      <c r="G466" s="809" t="str">
        <f>IF(A466="","",IFERROR(VLOOKUP(A466,A$329:E$333,3,FALSE),""))</f>
        <v/>
      </c>
      <c r="H466" s="218" t="str">
        <f t="shared" ref="H466" si="40">IF(OR(G466="",G466=0),"",G466*H$465)</f>
        <v/>
      </c>
      <c r="I466" s="640"/>
      <c r="J466" s="2329"/>
      <c r="K466" s="2329"/>
      <c r="L466" s="2330"/>
    </row>
    <row r="467" spans="1:20" ht="17.850000000000001" customHeight="1" x14ac:dyDescent="0.45">
      <c r="A467" s="2402"/>
      <c r="B467" s="2402"/>
      <c r="C467" s="2402"/>
      <c r="D467" s="2402"/>
      <c r="E467" s="2402"/>
      <c r="F467" s="85" t="str">
        <f>IF(A467="","",IFERROR(VLOOKUP(A467,A$329:E$333,2,FALSE),KALKULATION!$M$283))</f>
        <v/>
      </c>
      <c r="G467" s="158" t="str">
        <f t="shared" ref="G467:G468" si="41">IF(A467="","",IFERROR(VLOOKUP(A467,A$329:E$333,3,FALSE),""))</f>
        <v/>
      </c>
      <c r="H467" s="218" t="str">
        <f>IF(OR(G467="",G467=0),"",G467*H$465)</f>
        <v/>
      </c>
      <c r="I467" s="640"/>
      <c r="J467" s="2329"/>
      <c r="K467" s="2329"/>
      <c r="L467" s="2330"/>
      <c r="M467" s="2079" t="s">
        <v>641</v>
      </c>
      <c r="N467" s="2079" t="str">
        <f>$A$413&amp;" gesamt"</f>
        <v>Regielohnpreis gesamt</v>
      </c>
      <c r="O467" s="2079"/>
      <c r="P467" s="2080"/>
    </row>
    <row r="468" spans="1:20" ht="17.850000000000001" customHeight="1" x14ac:dyDescent="0.45">
      <c r="A468" s="2402"/>
      <c r="B468" s="2402"/>
      <c r="C468" s="2402"/>
      <c r="D468" s="2402"/>
      <c r="E468" s="2402"/>
      <c r="F468" s="84" t="str">
        <f>IF(A468="","",IFERROR(VLOOKUP(A468,A$329:E$333,2,FALSE),KALKULATION!$M$283))</f>
        <v/>
      </c>
      <c r="G468" s="50" t="str">
        <f t="shared" si="41"/>
        <v/>
      </c>
      <c r="H468" s="73" t="str">
        <f>IF(OR(G468="",G468=0),"",G468*H$465)</f>
        <v/>
      </c>
      <c r="I468" s="640"/>
      <c r="L468" s="216"/>
      <c r="M468" s="2079" t="s">
        <v>412</v>
      </c>
      <c r="N468" s="2079" t="str">
        <f>IF(A421="","",A421)</f>
        <v>LG 2 Qualifizierter Facharbeiter</v>
      </c>
      <c r="O468" s="2081"/>
      <c r="P468" s="2082"/>
    </row>
    <row r="469" spans="1:20" ht="17.850000000000001" customHeight="1" x14ac:dyDescent="0.45">
      <c r="A469" s="2391" t="str">
        <f>IF(SUM(F466:H468)=0,"R5.b) GZ auf UMLAGEN - keine Umlagen ausgewählt (oder in Pkt H1 angelegt)","R5.b) GZ auf Umlagen")</f>
        <v>R5.b) GZ auf UMLAGEN - keine Umlagen ausgewählt (oder in Pkt H1 angelegt)</v>
      </c>
      <c r="B469" s="2392"/>
      <c r="C469" s="2392"/>
      <c r="D469" s="2392"/>
      <c r="E469" s="2392"/>
      <c r="F469" s="2393"/>
      <c r="G469" s="2393"/>
      <c r="H469" s="2392"/>
      <c r="I469" s="640"/>
      <c r="L469" s="216"/>
      <c r="M469" s="2083" t="s">
        <v>721</v>
      </c>
      <c r="N469" s="2083" t="str">
        <f>IF(C478="","",C478)</f>
        <v/>
      </c>
      <c r="O469" s="2079"/>
      <c r="P469" s="2080"/>
    </row>
    <row r="470" spans="1:20" ht="17.850000000000001" customHeight="1" x14ac:dyDescent="0.45">
      <c r="A470" s="2243" t="s">
        <v>559</v>
      </c>
      <c r="B470" s="2336"/>
      <c r="C470" s="2244"/>
      <c r="D470" s="2299"/>
      <c r="E470" s="2300"/>
      <c r="F470" s="2328"/>
      <c r="G470" s="199" t="str">
        <f>IF(D470="","",IFERROR(VLOOKUP(D470,'K2 GZ'!I$25:M$32,5,FALSE),KALKULATION!$M$283))</f>
        <v/>
      </c>
      <c r="H470" s="1006" t="str">
        <f ca="1">IF($G$327=0,"",IF(G470=KALKULATION!$M$283,"",IF(SUM(F466:H468)=0,"",IF(D470="",$G$346,G470))))</f>
        <v/>
      </c>
      <c r="I470" s="366" t="str">
        <f>IF(AND(D470&lt;&gt;"",SUM(F466:H468)&lt;&gt;0),"X","")</f>
        <v/>
      </c>
      <c r="J470" s="2306" t="str">
        <f ca="1">IF(G470=KALKULATION!$M$283,"Auswahl erneut vornehmen (ungült. Verweis)/Text löschen!",IF(AND(H470="",SUM(F466:G468)&lt;&gt;0),"GZ fehlt oder gleich 0!)",""))</f>
        <v/>
      </c>
      <c r="K470" s="2306"/>
      <c r="L470" s="2307"/>
      <c r="M470" s="2083" t="s">
        <v>722</v>
      </c>
      <c r="N470" s="2083" t="str">
        <f>IF(N469=""," für ["&amp;N468&amp;"]"," für ["&amp;N469&amp;"]")</f>
        <v xml:space="preserve"> für [LG 2 Qualifizierter Facharbeiter]</v>
      </c>
      <c r="O470" s="2083"/>
      <c r="P470" s="2083" t="str">
        <f>IF(N469="",""," für ["&amp;N469&amp;" | "&amp;N468&amp;"]")</f>
        <v/>
      </c>
    </row>
    <row r="471" spans="1:20" ht="17.850000000000001" customHeight="1" x14ac:dyDescent="0.45">
      <c r="A471" s="2311"/>
      <c r="B471" s="2312"/>
      <c r="C471" s="2312"/>
      <c r="D471" s="2312"/>
      <c r="E471" s="2312"/>
      <c r="F471" s="2312"/>
      <c r="G471" s="2312"/>
      <c r="H471" s="2312"/>
      <c r="I471" s="366"/>
      <c r="L471" s="216"/>
      <c r="M471" s="2083" t="s">
        <v>639</v>
      </c>
      <c r="N471" s="2084" t="str">
        <f ca="1">IF(AND(E443=M446,H447&lt;&gt;"")," als ["&amp;B445&amp;TEXT(E445," (0%)")&amp;"]",IF(E443=M444," mit [Ø Zuschlag gem K3 Mittelpersonalpreis Z 8]",IF(E443=M445," mit [Aufzahlung pro Std gem K3 Mittelpersonalpreis]","")))</f>
        <v/>
      </c>
      <c r="O471" s="2083"/>
      <c r="P471" s="2085"/>
    </row>
    <row r="472" spans="1:20" ht="17.850000000000001" customHeight="1" x14ac:dyDescent="0.45">
      <c r="A472" s="2391" t="s">
        <v>644</v>
      </c>
      <c r="B472" s="2392"/>
      <c r="C472" s="2392"/>
      <c r="D472" s="2521"/>
      <c r="E472" s="2521"/>
      <c r="F472" s="2521"/>
      <c r="G472" s="2521"/>
      <c r="H472" s="2521"/>
      <c r="I472" s="638"/>
      <c r="L472" s="216"/>
      <c r="M472" s="2086" t="s">
        <v>640</v>
      </c>
      <c r="N472" s="2087" t="str">
        <f>IF(N452="",""," in ["&amp;N452&amp;"]")</f>
        <v/>
      </c>
      <c r="O472" s="2086"/>
      <c r="P472" s="2088"/>
    </row>
    <row r="473" spans="1:20" ht="17.850000000000001" customHeight="1" x14ac:dyDescent="0.45">
      <c r="A473" s="2243" t="s">
        <v>559</v>
      </c>
      <c r="B473" s="2336"/>
      <c r="C473" s="2336"/>
      <c r="D473" s="2299"/>
      <c r="E473" s="2300"/>
      <c r="F473" s="2328"/>
      <c r="G473" s="196" t="str">
        <f>IF(D473="","",IFERROR(VLOOKUP(D473,'K2 GZ'!I$25:M$32,5,FALSE),KALKULATION!$M$283))</f>
        <v/>
      </c>
      <c r="H473" s="1054">
        <f>IF(G473=KALKULATION!$M$283,"",IF(D473="",$G$345,G473))</f>
        <v>0.28000000000000003</v>
      </c>
      <c r="I473" s="366" t="str">
        <f>IF(D473&lt;&gt;"","X","")</f>
        <v/>
      </c>
      <c r="J473" s="2306" t="str">
        <f>IF(G473=KALKULATION!$M$283,"Auswahl erneut vornehmen (ungültiger Verweis)!",IF(H473=KALKULATION!$M$283,"GZ aus K2-Blatt wählen!",""))</f>
        <v/>
      </c>
      <c r="K473" s="2306"/>
      <c r="L473" s="2307"/>
      <c r="M473" s="2083"/>
      <c r="N473" s="2089"/>
      <c r="O473" s="2083"/>
      <c r="P473" s="2085"/>
    </row>
    <row r="474" spans="1:20" ht="20" customHeight="1" x14ac:dyDescent="0.45">
      <c r="A474" s="1185" t="s">
        <v>391</v>
      </c>
      <c r="B474" s="841"/>
      <c r="C474" s="2474" t="str">
        <f>D436</f>
        <v>LG 2 Qualifizierter Facharbeiter</v>
      </c>
      <c r="D474" s="2474"/>
      <c r="E474" s="2474"/>
      <c r="F474" s="637" t="s">
        <v>259</v>
      </c>
      <c r="G474" s="842">
        <f ca="1">H474/D421-1</f>
        <v>2.7785000000000002</v>
      </c>
      <c r="H474" s="843">
        <f ca="1">IFERROR(' K3 Regie1'!N45,"??")</f>
        <v>75.23</v>
      </c>
      <c r="I474" s="638"/>
      <c r="J474" s="47"/>
      <c r="K474" s="47"/>
      <c r="L474" s="591"/>
      <c r="M474" s="2081"/>
      <c r="N474" s="2090"/>
      <c r="O474" s="2081"/>
      <c r="P474" s="2082"/>
      <c r="R474" s="2596"/>
      <c r="S474" s="2596"/>
      <c r="T474" s="2596"/>
    </row>
    <row r="475" spans="1:20" ht="17.850000000000001" customHeight="1" x14ac:dyDescent="0.45">
      <c r="A475" s="2416" t="s">
        <v>724</v>
      </c>
      <c r="B475" s="2484"/>
      <c r="C475" s="2901" t="str">
        <f>IFERROR(VLOOKUP(A477,M476:N482,2,FALSE),KALKULATION!$M$283)</f>
        <v>Regielohnpreis gesamt für [LG 2 Qualifizierter Facharbeiter]</v>
      </c>
      <c r="D475" s="2902"/>
      <c r="E475" s="2902"/>
      <c r="F475" s="2902"/>
      <c r="G475" s="2902"/>
      <c r="H475" s="2902"/>
      <c r="I475" s="638"/>
      <c r="J475" s="2340" t="str">
        <f ca="1">IF(OR(H473&lt;Report!$G$13,KALKULATION!H473&gt;Report!$F$13,AND(SUM(KALKULATION!F466:H468)&lt;&gt;0,OR(H470&lt;Report!$G$13,KALKULATION!H470&gt;Report!$F$13))),"Hinweis: GZ in R5.b oder R6 liegt außerhalb der empfohlenen Grenzwerte gem Blatt REPORT!","")</f>
        <v/>
      </c>
      <c r="K475" s="2340"/>
      <c r="L475" s="2341"/>
      <c r="M475" s="2091" t="s">
        <v>677</v>
      </c>
      <c r="N475" s="2091"/>
    </row>
    <row r="476" spans="1:20" ht="17.850000000000001" customHeight="1" x14ac:dyDescent="0.45">
      <c r="A476" s="2589"/>
      <c r="B476" s="2724"/>
      <c r="C476" s="2903"/>
      <c r="D476" s="2512"/>
      <c r="E476" s="2512"/>
      <c r="F476" s="2512"/>
      <c r="G476" s="2512"/>
      <c r="H476" s="2512"/>
      <c r="I476" s="638"/>
      <c r="J476" s="2342"/>
      <c r="K476" s="2342"/>
      <c r="L476" s="2343"/>
      <c r="M476" s="2091" t="s">
        <v>715</v>
      </c>
      <c r="N476" s="2091" t="str">
        <f>N467</f>
        <v>Regielohnpreis gesamt</v>
      </c>
    </row>
    <row r="477" spans="1:20" ht="17.850000000000001" customHeight="1" x14ac:dyDescent="0.45">
      <c r="A477" s="2907" t="s">
        <v>716</v>
      </c>
      <c r="B477" s="2908"/>
      <c r="C477" s="2904"/>
      <c r="D477" s="2513"/>
      <c r="E477" s="2513"/>
      <c r="F477" s="2513"/>
      <c r="G477" s="2513"/>
      <c r="H477" s="2513"/>
      <c r="I477" s="638"/>
      <c r="L477" s="216"/>
      <c r="M477" s="2091" t="s">
        <v>716</v>
      </c>
      <c r="N477" s="2091" t="str">
        <f>N467&amp;N470</f>
        <v>Regielohnpreis gesamt für [LG 2 Qualifizierter Facharbeiter]</v>
      </c>
    </row>
    <row r="478" spans="1:20" ht="17.850000000000001" customHeight="1" x14ac:dyDescent="0.45">
      <c r="A478" s="2285" t="s">
        <v>723</v>
      </c>
      <c r="B478" s="2287"/>
      <c r="C478" s="2914"/>
      <c r="D478" s="2915"/>
      <c r="E478" s="2915"/>
      <c r="F478" s="2915"/>
      <c r="G478" s="2915"/>
      <c r="H478" s="2915"/>
      <c r="I478" s="366" t="str">
        <f>IF(B478&lt;&gt;"","X","")</f>
        <v/>
      </c>
      <c r="L478" s="216"/>
      <c r="M478" s="2091" t="s">
        <v>717</v>
      </c>
      <c r="N478" s="2091" t="str">
        <f>N467&amp;P470</f>
        <v>Regielohnpreis gesamt</v>
      </c>
    </row>
    <row r="479" spans="1:20" ht="17.850000000000001" customHeight="1" x14ac:dyDescent="0.45">
      <c r="A479" s="2416" t="s">
        <v>725</v>
      </c>
      <c r="B479" s="2484"/>
      <c r="C479" s="2394"/>
      <c r="D479" s="2395"/>
      <c r="E479" s="2395"/>
      <c r="F479" s="2395"/>
      <c r="G479" s="2395"/>
      <c r="H479" s="2395"/>
      <c r="I479" s="638"/>
      <c r="L479" s="216"/>
      <c r="M479" s="2091" t="s">
        <v>718</v>
      </c>
      <c r="N479" s="2091" t="str">
        <f ca="1">N476&amp;N471&amp;N472</f>
        <v>Regielohnpreis gesamt</v>
      </c>
    </row>
    <row r="480" spans="1:20" ht="17.850000000000001" customHeight="1" x14ac:dyDescent="0.45">
      <c r="A480" s="2317"/>
      <c r="B480" s="2316"/>
      <c r="C480" s="2331"/>
      <c r="D480" s="2332"/>
      <c r="E480" s="2332"/>
      <c r="F480" s="2332"/>
      <c r="G480" s="2332"/>
      <c r="H480" s="2332"/>
      <c r="I480" s="638"/>
      <c r="L480" s="216"/>
      <c r="M480" s="2091" t="s">
        <v>719</v>
      </c>
      <c r="N480" s="2091" t="str">
        <f ca="1">N477&amp;N471&amp;N472</f>
        <v>Regielohnpreis gesamt für [LG 2 Qualifizierter Facharbeiter]</v>
      </c>
    </row>
    <row r="481" spans="1:15" ht="20" customHeight="1" x14ac:dyDescent="0.45">
      <c r="A481" s="2542"/>
      <c r="B481" s="2543"/>
      <c r="C481" s="2543"/>
      <c r="D481" s="2543"/>
      <c r="E481" s="2543"/>
      <c r="F481" s="2543"/>
      <c r="G481" s="2543"/>
      <c r="H481" s="2543"/>
      <c r="I481" s="2543"/>
      <c r="L481" s="216"/>
      <c r="M481" s="2091" t="s">
        <v>720</v>
      </c>
      <c r="N481" s="2091" t="str">
        <f ca="1">N478&amp;N471&amp;N472</f>
        <v>Regielohnpreis gesamt</v>
      </c>
    </row>
    <row r="482" spans="1:15" ht="17.850000000000001" customHeight="1" x14ac:dyDescent="0.45">
      <c r="A482" s="2416" t="s">
        <v>670</v>
      </c>
      <c r="B482" s="2959"/>
      <c r="C482" s="2960"/>
      <c r="D482" s="2960"/>
      <c r="E482" s="2960"/>
      <c r="F482" s="2960"/>
      <c r="G482" s="2960"/>
      <c r="H482" s="2960"/>
      <c r="I482" s="2960"/>
      <c r="L482" s="216"/>
      <c r="M482" s="2091" t="s">
        <v>855</v>
      </c>
      <c r="N482" s="2091" t="str">
        <f>IF(C479="","",C479)</f>
        <v/>
      </c>
    </row>
    <row r="483" spans="1:15" ht="17.850000000000001" customHeight="1" x14ac:dyDescent="0.45">
      <c r="A483" s="2317"/>
      <c r="B483" s="2961"/>
      <c r="C483" s="2472"/>
      <c r="D483" s="2472"/>
      <c r="E483" s="2472"/>
      <c r="F483" s="2472"/>
      <c r="G483" s="2472"/>
      <c r="H483" s="2472"/>
      <c r="I483" s="2472"/>
      <c r="J483" s="47"/>
      <c r="K483" s="47"/>
      <c r="L483" s="591"/>
    </row>
    <row r="484" spans="1:15" ht="17.850000000000001" customHeight="1" x14ac:dyDescent="0.45">
      <c r="A484" s="2613"/>
      <c r="B484" s="2613"/>
      <c r="C484" s="2613"/>
      <c r="D484" s="2613"/>
      <c r="E484" s="2613"/>
      <c r="F484" s="2613"/>
      <c r="G484" s="2613"/>
      <c r="H484" s="2613"/>
      <c r="I484" s="2613"/>
      <c r="L484" s="216"/>
    </row>
    <row r="485" spans="1:15" ht="25.05" customHeight="1" x14ac:dyDescent="0.45">
      <c r="A485" s="2571" t="str">
        <f ca="1">$A$413&amp;" 2"&amp;IF(A489=""," [keine Beschäftigungsgruppe ausgewählt]",IF(D489=KALKULATION!$M$283," - [nicht vorhandene Beschäftigungsgruppe]"," - kalkuliert für ["&amp;LEFT(A489,40)&amp;"]"))</f>
        <v>Regielohnpreis 2 - kalkuliert für [LG 5 Qualifizierter Arbeitnehmer]</v>
      </c>
      <c r="B485" s="2572"/>
      <c r="C485" s="2572"/>
      <c r="D485" s="2572"/>
      <c r="E485" s="2572"/>
      <c r="F485" s="2572"/>
      <c r="G485" s="2572"/>
      <c r="H485" s="2572"/>
      <c r="I485" s="1214"/>
      <c r="J485" s="59"/>
      <c r="K485" s="59"/>
      <c r="L485" s="590"/>
    </row>
    <row r="486" spans="1:15" ht="17.850000000000001" customHeight="1" x14ac:dyDescent="0.45">
      <c r="A486" s="2416" t="s">
        <v>531</v>
      </c>
      <c r="B486" s="2573"/>
      <c r="C486" s="2574"/>
      <c r="D486" s="2778" t="s">
        <v>1128</v>
      </c>
      <c r="E486" s="2529"/>
      <c r="F486" s="2529"/>
      <c r="G486" s="2529"/>
      <c r="H486" s="2529"/>
      <c r="I486" s="634"/>
      <c r="L486" s="216"/>
    </row>
    <row r="487" spans="1:15" ht="17.850000000000001" customHeight="1" x14ac:dyDescent="0.45">
      <c r="A487" s="2503"/>
      <c r="B487" s="2504"/>
      <c r="C487" s="2505"/>
      <c r="D487" s="2508"/>
      <c r="E487" s="2509"/>
      <c r="F487" s="2509"/>
      <c r="G487" s="2509"/>
      <c r="H487" s="2509"/>
      <c r="I487" s="634"/>
      <c r="L487" s="216"/>
    </row>
    <row r="488" spans="1:15" ht="17.850000000000001" customHeight="1" thickBot="1" x14ac:dyDescent="0.5">
      <c r="A488" s="2511" t="s">
        <v>378</v>
      </c>
      <c r="B488" s="2511"/>
      <c r="C488" s="2511"/>
      <c r="D488" s="2511"/>
      <c r="E488" s="712" t="s">
        <v>18</v>
      </c>
      <c r="F488" s="712" t="s">
        <v>68</v>
      </c>
      <c r="G488" s="1008" t="s">
        <v>72</v>
      </c>
      <c r="H488" s="1116" t="s">
        <v>73</v>
      </c>
      <c r="I488" s="634"/>
      <c r="L488" s="216"/>
    </row>
    <row r="489" spans="1:15" ht="17.850000000000001" customHeight="1" thickTop="1" thickBot="1" x14ac:dyDescent="0.5">
      <c r="A489" s="2931" t="s">
        <v>1122</v>
      </c>
      <c r="B489" s="2932"/>
      <c r="C489" s="2933"/>
      <c r="D489" s="51">
        <f ca="1">IFERROR(VLOOKUP(A489,Stammdaten!A$7:D$33,4,FALSE),$M$283)</f>
        <v>15.39</v>
      </c>
      <c r="E489" s="518">
        <v>1</v>
      </c>
      <c r="F489" s="519">
        <v>1</v>
      </c>
      <c r="G489" s="349">
        <f ca="1">IFERROR(VLOOKUP(A489,Stammdaten!A$7:F$33,4,FALSE)*F489,"")</f>
        <v>15.39</v>
      </c>
      <c r="H489" s="520">
        <f ca="1">IFERROR(VLOOKUP(A489,Stammdaten!A$7:F$33,6,FALSE)*F489,"")</f>
        <v>2.31</v>
      </c>
      <c r="I489" s="634"/>
      <c r="J489" s="2306" t="str">
        <f ca="1">IF(D489=KALKULATION!$M$283,"Auswahl erneut vornehmen (ungültiger Verweis)!","")</f>
        <v/>
      </c>
      <c r="K489" s="2306"/>
      <c r="L489" s="2307"/>
      <c r="O489" s="2092"/>
    </row>
    <row r="490" spans="1:15" ht="17.850000000000001" customHeight="1" x14ac:dyDescent="0.45">
      <c r="A490" s="2548" t="s">
        <v>92</v>
      </c>
      <c r="B490" s="2549"/>
      <c r="C490" s="2549"/>
      <c r="D490" s="2550"/>
      <c r="E490" s="49">
        <f>E489</f>
        <v>1</v>
      </c>
      <c r="F490" s="50">
        <v>1</v>
      </c>
      <c r="G490" s="51">
        <f ca="1">IF(AND(_OK?="OK!",_OK_KV?="OK_KV!"),SUM(G489),ROUNDUP(G489,0))</f>
        <v>15.39</v>
      </c>
      <c r="H490" s="84">
        <f ca="1">SUM(H489:H489)</f>
        <v>2.31</v>
      </c>
      <c r="I490" s="372" t="str">
        <f ca="1">IF(OR(_OK?&lt;&gt;"OK!",_OK_KV?&lt;&gt;"OK_KV!"),"X","")</f>
        <v/>
      </c>
      <c r="J490" s="1109"/>
      <c r="K490" s="1109"/>
      <c r="L490" s="270"/>
    </row>
    <row r="491" spans="1:15" ht="17.850000000000001" customHeight="1" x14ac:dyDescent="0.45">
      <c r="A491" s="2491" t="s">
        <v>891</v>
      </c>
      <c r="B491" s="2492"/>
      <c r="C491" s="2492"/>
      <c r="D491" s="2492"/>
      <c r="E491" s="2492"/>
      <c r="F491" s="2492"/>
      <c r="G491" s="2492"/>
      <c r="H491" s="2492"/>
      <c r="I491" s="634"/>
      <c r="J491" s="1109"/>
      <c r="K491" s="1109"/>
      <c r="L491" s="216"/>
    </row>
    <row r="492" spans="1:15" ht="17.850000000000001" customHeight="1" thickBot="1" x14ac:dyDescent="0.5">
      <c r="A492" s="2446"/>
      <c r="B492" s="2447"/>
      <c r="C492" s="2448"/>
      <c r="D492" s="60">
        <f ca="1">IFERROR(VLOOKUP(A492,Stammdaten!A$7:D$33,4,FALSE),$M$283)</f>
        <v>0</v>
      </c>
      <c r="E492" s="359"/>
      <c r="F492" s="53" t="str">
        <f>IFERROR(IF(A492&lt;&gt;"",E492/E493,""),"")</f>
        <v/>
      </c>
      <c r="G492" s="60" t="str">
        <f ca="1">IFERROR(VLOOKUP(A492,Stammdaten!A$7:F$33,4,FALSE)*F492,"")</f>
        <v/>
      </c>
      <c r="H492" s="569" t="str">
        <f ca="1">IFERROR(VLOOKUP(A492,Stammdaten!A$7:F$33,6,FALSE)*F492,"")</f>
        <v/>
      </c>
      <c r="I492" s="634"/>
      <c r="J492" s="2306" t="str">
        <f ca="1">IF(OR(COUNTA(A492,E492)=2,COUNTA(A492,E492)=0),IF(D492=KALKULATION!$M$283,"Auswahl erneut vornehmen (ungültiger Verweis)!",""),"Eingabe unvollständig (ergänzen oder löschen)!")</f>
        <v/>
      </c>
      <c r="K492" s="2306"/>
      <c r="L492" s="2307"/>
    </row>
    <row r="493" spans="1:15" ht="17.850000000000001" customHeight="1" x14ac:dyDescent="0.45">
      <c r="A493" s="392" t="s">
        <v>92</v>
      </c>
      <c r="B493" s="373"/>
      <c r="C493" s="373"/>
      <c r="D493" s="212"/>
      <c r="E493" s="64">
        <f>SUM(E492:E492)</f>
        <v>0</v>
      </c>
      <c r="F493" s="50">
        <f>SUM(F492:F492)</f>
        <v>0</v>
      </c>
      <c r="G493" s="51">
        <f ca="1">SUM(G492)</f>
        <v>0</v>
      </c>
      <c r="H493" s="84">
        <f ca="1">SUM(H492:H492)</f>
        <v>0</v>
      </c>
      <c r="I493" s="634"/>
      <c r="J493" s="2306" t="str">
        <f ca="1">IF(E493&gt;=E490,"Unzulässige Umlage (R2 größer/gleich R1)!!!",IF(AND(E493&lt;&gt;0,G490=0),"Beschäftigungsgruppe in R1 wählen!",""))</f>
        <v/>
      </c>
      <c r="K493" s="2306"/>
      <c r="L493" s="2307"/>
    </row>
    <row r="494" spans="1:15" ht="17.850000000000001" customHeight="1" x14ac:dyDescent="0.45">
      <c r="A494" s="2285" t="s">
        <v>698</v>
      </c>
      <c r="B494" s="2286"/>
      <c r="C494" s="2286"/>
      <c r="D494" s="2286"/>
      <c r="E494" s="2286"/>
      <c r="F494" s="2286"/>
      <c r="G494" s="2286"/>
      <c r="H494" s="570">
        <v>0</v>
      </c>
      <c r="I494" s="635"/>
      <c r="J494" s="2334" t="str">
        <f>IF(AND(ISBLANK(H494),E493&lt;&gt;0),"Kennzeichen eingeben! Es sind unprod. Zeiten kalkuliert.","")</f>
        <v/>
      </c>
      <c r="K494" s="2334"/>
      <c r="L494" s="2335"/>
    </row>
    <row r="495" spans="1:15" ht="17.850000000000001" customHeight="1" x14ac:dyDescent="0.45">
      <c r="A495" s="2482"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483"/>
      <c r="C495" s="2483"/>
      <c r="D495" s="2483"/>
      <c r="E495" s="2483"/>
      <c r="F495" s="2483"/>
      <c r="G495" s="367">
        <f>IF(H494=1,E490,E490-E493)</f>
        <v>1</v>
      </c>
      <c r="H495" s="367">
        <f>E493</f>
        <v>0</v>
      </c>
      <c r="I495" s="634"/>
      <c r="J495" s="2414" t="str">
        <f>IFERROR(IF(H495/G495&gt;Report!$F$7,"Hinweis: Unproduktiver Anteil erscheint hoch!",""),"Der unprod. Anteil löst eine Division mit 0 aus!")</f>
        <v/>
      </c>
      <c r="K495" s="2414"/>
      <c r="L495" s="2415"/>
    </row>
    <row r="496" spans="1:15" ht="17.850000000000001" customHeight="1" thickBot="1" x14ac:dyDescent="0.5">
      <c r="A496" s="2995"/>
      <c r="B496" s="2996"/>
      <c r="C496" s="2996"/>
      <c r="D496" s="2996"/>
      <c r="E496" s="2996"/>
      <c r="F496" s="2996"/>
      <c r="G496" s="2996"/>
      <c r="H496" s="2996"/>
      <c r="I496" s="634"/>
      <c r="L496" s="216"/>
    </row>
    <row r="497" spans="1:17" ht="17.850000000000001" customHeight="1" thickBot="1" x14ac:dyDescent="0.5">
      <c r="A497" s="2491" t="s">
        <v>380</v>
      </c>
      <c r="B497" s="2492"/>
      <c r="C497" s="2544"/>
      <c r="D497" s="714" t="s">
        <v>72</v>
      </c>
      <c r="E497" s="715" t="s">
        <v>73</v>
      </c>
      <c r="F497" s="718" t="s">
        <v>118</v>
      </c>
      <c r="G497" s="716" t="s">
        <v>85</v>
      </c>
      <c r="H497" s="717" t="s">
        <v>73</v>
      </c>
      <c r="I497" s="634"/>
      <c r="L497" s="216"/>
    </row>
    <row r="498" spans="1:17" ht="17.850000000000001" customHeight="1" x14ac:dyDescent="0.45">
      <c r="A498" s="700" t="s">
        <v>704</v>
      </c>
      <c r="B498" s="701"/>
      <c r="C498" s="702"/>
      <c r="D498" s="703">
        <f ca="1">G490*G495</f>
        <v>15.39</v>
      </c>
      <c r="E498" s="704">
        <f ca="1">G495*H490</f>
        <v>2.31</v>
      </c>
      <c r="F498" s="705" t="s">
        <v>204</v>
      </c>
      <c r="G498" s="682">
        <f ca="1">D498</f>
        <v>15.39</v>
      </c>
      <c r="H498" s="683" t="str">
        <f>IF(D501=_Ja,"",D500)</f>
        <v/>
      </c>
      <c r="I498" s="634"/>
      <c r="L498" s="216"/>
    </row>
    <row r="499" spans="1:17" ht="17.850000000000001" customHeight="1" thickBot="1" x14ac:dyDescent="0.5">
      <c r="A499" s="684" t="s">
        <v>705</v>
      </c>
      <c r="B499" s="685"/>
      <c r="C499" s="686"/>
      <c r="D499" s="687">
        <f ca="1">H495*G493</f>
        <v>0</v>
      </c>
      <c r="E499" s="688">
        <f ca="1">H495*H493</f>
        <v>0</v>
      </c>
      <c r="F499" s="706" t="s">
        <v>203</v>
      </c>
      <c r="G499" s="690">
        <f ca="1">D499</f>
        <v>0</v>
      </c>
      <c r="H499" s="691" t="str">
        <f>IF(D501=_Ja,"",E500)</f>
        <v/>
      </c>
      <c r="I499" s="634"/>
      <c r="L499" s="216"/>
    </row>
    <row r="500" spans="1:17" ht="17.850000000000001" customHeight="1" x14ac:dyDescent="0.45">
      <c r="A500" s="692"/>
      <c r="B500" s="693"/>
      <c r="C500" s="694" t="s">
        <v>56</v>
      </c>
      <c r="D500" s="695">
        <f ca="1">SUM(D498:D499)</f>
        <v>15.39</v>
      </c>
      <c r="E500" s="696">
        <f ca="1">SUM(E498:E499)</f>
        <v>2.31</v>
      </c>
      <c r="F500" s="707" t="s">
        <v>86</v>
      </c>
      <c r="G500" s="708">
        <f ca="1">G499/G498</f>
        <v>0</v>
      </c>
      <c r="H500" s="709">
        <f ca="1">IF(D501=_Ja,$H$73,H499/H498)</f>
        <v>0.151</v>
      </c>
      <c r="I500" s="372" t="str">
        <f>IF(D501=_Ja,"X","")</f>
        <v>X</v>
      </c>
      <c r="L500" s="216"/>
    </row>
    <row r="501" spans="1:17" ht="17.850000000000001" customHeight="1" thickBot="1" x14ac:dyDescent="0.5">
      <c r="A501" s="2285" t="str">
        <f ca="1">"Ø AKV gem Pkt B "&amp;TEXT($H$73,"0,00%")&amp;". Beibehalten?"</f>
        <v>Ø AKV gem Pkt B 15,10%. Beibehalten?</v>
      </c>
      <c r="B501" s="2286"/>
      <c r="C501" s="2287"/>
      <c r="D501" s="823" t="s">
        <v>192</v>
      </c>
      <c r="E501" s="2361" t="s">
        <v>381</v>
      </c>
      <c r="F501" s="2363"/>
      <c r="G501" s="378"/>
      <c r="H501" s="379"/>
      <c r="I501" s="372" t="str">
        <f>IF(OR(G501&lt;&gt;0,H501&lt;&gt;0),"X","")</f>
        <v/>
      </c>
      <c r="L501" s="216"/>
    </row>
    <row r="502" spans="1:17" ht="17.850000000000001" customHeight="1" x14ac:dyDescent="0.45">
      <c r="A502" s="2514"/>
      <c r="B502" s="2515"/>
      <c r="C502" s="2515"/>
      <c r="D502" s="2541"/>
      <c r="E502" s="2527" t="s">
        <v>554</v>
      </c>
      <c r="F502" s="2528"/>
      <c r="G502" s="86">
        <f ca="1">SUM(G500,G501)</f>
        <v>0</v>
      </c>
      <c r="H502" s="154">
        <f ca="1">SUM(H500,H501)</f>
        <v>0.151</v>
      </c>
      <c r="I502" s="634"/>
      <c r="L502" s="216"/>
    </row>
    <row r="503" spans="1:17" ht="17.850000000000001" customHeight="1" x14ac:dyDescent="0.45">
      <c r="A503" s="2478"/>
      <c r="B503" s="2516"/>
      <c r="C503" s="2516"/>
      <c r="D503" s="2479"/>
      <c r="E503" s="2478"/>
      <c r="F503" s="2479"/>
      <c r="G503" s="368" t="s">
        <v>121</v>
      </c>
      <c r="H503" s="369" t="s">
        <v>122</v>
      </c>
      <c r="I503" s="634"/>
      <c r="L503" s="216"/>
    </row>
    <row r="504" spans="1:17" ht="17.850000000000001" customHeight="1" x14ac:dyDescent="0.45">
      <c r="A504" s="1186" t="s">
        <v>382</v>
      </c>
      <c r="B504" s="840"/>
      <c r="C504" s="840"/>
      <c r="D504" s="2477" t="str">
        <f>IF(A489=0,"Beschäftigungsgruppe wählen!",A489)</f>
        <v>LG 5 Qualifizierter Arbeitnehmer</v>
      </c>
      <c r="E504" s="2477"/>
      <c r="F504" s="2477"/>
      <c r="G504" s="2477"/>
      <c r="H504" s="839">
        <f ca="1">' K3 Regie2'!N$45</f>
        <v>61.5</v>
      </c>
      <c r="I504" s="634"/>
      <c r="L504" s="216"/>
    </row>
    <row r="505" spans="1:17" ht="20" customHeight="1" x14ac:dyDescent="0.45">
      <c r="A505" s="2410" t="s">
        <v>630</v>
      </c>
      <c r="B505" s="2411"/>
      <c r="C505" s="2411"/>
      <c r="D505" s="2411"/>
      <c r="E505" s="2411"/>
      <c r="F505" s="2411"/>
      <c r="G505" s="2411"/>
      <c r="H505" s="2411"/>
      <c r="I505" s="634"/>
      <c r="J505" s="2487" t="str">
        <f>IF(OR(I506="X",I511="X"),M$301,"")</f>
        <v/>
      </c>
      <c r="K505" s="2487"/>
      <c r="L505" s="2488"/>
    </row>
    <row r="506" spans="1:17" ht="20" customHeight="1" x14ac:dyDescent="0.45">
      <c r="A506" s="2285" t="s">
        <v>702</v>
      </c>
      <c r="B506" s="2286"/>
      <c r="C506" s="2287"/>
      <c r="D506" s="862" t="s">
        <v>700</v>
      </c>
      <c r="E506" s="2299" t="s">
        <v>898</v>
      </c>
      <c r="F506" s="2300"/>
      <c r="G506" s="2328"/>
      <c r="H506" s="1007">
        <f>IFERROR(VLOOKUP(E506,M506:N508,2,FALSE),"")</f>
        <v>0</v>
      </c>
      <c r="I506" s="372" t="str">
        <f>IF(E506&lt;&gt;M506,"X","")</f>
        <v/>
      </c>
      <c r="J506" s="2487"/>
      <c r="K506" s="2487"/>
      <c r="L506" s="2488"/>
      <c r="M506" s="2018" t="str">
        <f>M$438</f>
        <v>1. Standard (ÖN B 2110) ohne Zulagen</v>
      </c>
      <c r="N506" s="2003">
        <f>N$438</f>
        <v>0</v>
      </c>
    </row>
    <row r="507" spans="1:17" ht="20" customHeight="1" thickBot="1" x14ac:dyDescent="0.5">
      <c r="A507" s="669" t="s">
        <v>628</v>
      </c>
      <c r="B507" s="670"/>
      <c r="C507" s="671" t="s">
        <v>627</v>
      </c>
      <c r="D507" s="671" t="s">
        <v>629</v>
      </c>
      <c r="E507" s="671" t="s">
        <v>159</v>
      </c>
      <c r="F507" s="671" t="s">
        <v>8</v>
      </c>
      <c r="G507" s="671" t="s">
        <v>9</v>
      </c>
      <c r="H507" s="672" t="s">
        <v>10</v>
      </c>
      <c r="I507" s="634"/>
      <c r="L507" s="216"/>
      <c r="M507" s="2018" t="str">
        <f>M$439</f>
        <v>2. Wert gem Kalkulation Pkt D (K3_PP)</v>
      </c>
      <c r="N507" s="2003">
        <f ca="1">N$439</f>
        <v>0.03</v>
      </c>
    </row>
    <row r="508" spans="1:17" ht="30" customHeight="1" thickTop="1" x14ac:dyDescent="0.45">
      <c r="A508" s="2389"/>
      <c r="B508" s="2390"/>
      <c r="C508" s="763">
        <v>1</v>
      </c>
      <c r="D508" s="868">
        <v>1</v>
      </c>
      <c r="E508" s="869" t="str">
        <f>IF(ISBLANK(A508),"",IF(L$27="",IFERROR(VLOOKUP(A508,Stammdaten!$A$70:$C$96,3,FALSE),KALKULATION!$M$283),"ungültig"))</f>
        <v/>
      </c>
      <c r="F508" s="673" t="str">
        <f>IFERROR(C508*D508*E508,"")</f>
        <v/>
      </c>
      <c r="G508" s="674">
        <f ca="1">IFERROR(VLOOKUP(A508,Stammdaten!$A$70:$C$96,2,FALSE),"")</f>
        <v>0</v>
      </c>
      <c r="H508" s="675">
        <f ca="1">IFERROR(C508*D508*G508,"")</f>
        <v>0</v>
      </c>
      <c r="I508" s="634"/>
      <c r="J508" s="2487" t="str">
        <f>VLOOKUP(E511,M511:Q514,5,FALSE)</f>
        <v>Hinweis zu R4.b - 1.) Wenn der Regiepreis keine Arbeitszeitzuschläge enthalten soll (Regelung gem ÖN B 2110) ist diese Einstellung (1.) zutreffend.</v>
      </c>
      <c r="K508" s="2487"/>
      <c r="L508" s="2488"/>
      <c r="M508" s="2018" t="str">
        <f>M$440</f>
        <v>3. Eigene Kalkulation für den Regiepreis</v>
      </c>
      <c r="N508" s="2003" t="str">
        <f>N$440</f>
        <v>berechnen:</v>
      </c>
    </row>
    <row r="509" spans="1:17" ht="20" customHeight="1" x14ac:dyDescent="0.45">
      <c r="A509" s="863"/>
      <c r="B509" s="864"/>
      <c r="C509" s="864"/>
      <c r="D509" s="871" t="s">
        <v>703</v>
      </c>
      <c r="E509" s="870">
        <f ca="1">' K3 Regie2'!O$21</f>
        <v>15.39</v>
      </c>
      <c r="F509" s="867">
        <f ca="1">IFERROR(F508/E509,0)</f>
        <v>0</v>
      </c>
      <c r="G509" s="865" t="str">
        <f ca="1">IF(G508=0,"",$G$131)</f>
        <v/>
      </c>
      <c r="H509" s="1004">
        <f ca="1">IFERROR(H508*G509,0)</f>
        <v>0</v>
      </c>
      <c r="I509" s="634"/>
      <c r="J509" s="2487"/>
      <c r="K509" s="2487"/>
      <c r="L509" s="2488"/>
      <c r="N509" s="2021"/>
    </row>
    <row r="510" spans="1:17" ht="20" customHeight="1" x14ac:dyDescent="0.45">
      <c r="A510" s="392" t="s">
        <v>766</v>
      </c>
      <c r="B510" s="67"/>
      <c r="C510" s="346"/>
      <c r="D510" s="346"/>
      <c r="E510" s="346"/>
      <c r="F510" s="497"/>
      <c r="G510" s="346"/>
      <c r="H510" s="92">
        <f>IF(E506=M508,SUM(F509,H509),H506)</f>
        <v>0</v>
      </c>
      <c r="I510" s="634"/>
      <c r="J510" s="2487"/>
      <c r="K510" s="2487"/>
      <c r="L510" s="2488"/>
      <c r="M510" s="1965" t="str">
        <f>M$442</f>
        <v>DD Arbeitszeitzuschläge</v>
      </c>
      <c r="N510" s="1965"/>
      <c r="O510" s="1965"/>
      <c r="P510" s="1965" t="str">
        <f t="shared" ref="P510" si="42">P$442</f>
        <v>Text in K3</v>
      </c>
      <c r="Q510" s="1965" t="str">
        <f>Q$442</f>
        <v>Text in Kalk</v>
      </c>
    </row>
    <row r="511" spans="1:17" ht="20" customHeight="1" x14ac:dyDescent="0.45">
      <c r="A511" s="2491" t="s">
        <v>765</v>
      </c>
      <c r="B511" s="2492"/>
      <c r="C511" s="2492"/>
      <c r="D511" s="920" t="s">
        <v>767</v>
      </c>
      <c r="E511" s="2299" t="s">
        <v>879</v>
      </c>
      <c r="F511" s="2300"/>
      <c r="G511" s="2328"/>
      <c r="H511" s="1007">
        <f>IFERROR(VLOOKUP(E511,M511:N513,2,FALSE),"")</f>
        <v>0</v>
      </c>
      <c r="I511" s="372" t="str">
        <f>IF(E511&lt;&gt;M511,"X","")</f>
        <v/>
      </c>
      <c r="J511" s="2487"/>
      <c r="K511" s="2487"/>
      <c r="L511" s="2488"/>
      <c r="M511" s="2018" t="str">
        <f>M$443</f>
        <v>1. Standard (ÖN B 2110) ohne Zuschlag</v>
      </c>
      <c r="N511" s="2003">
        <f t="shared" ref="N511:Q511" si="43">N$443</f>
        <v>0</v>
      </c>
      <c r="O511" s="1955"/>
      <c r="P511" s="1955" t="str">
        <f t="shared" si="43"/>
        <v>Regiestunde</v>
      </c>
      <c r="Q511" s="1955" t="str">
        <f t="shared" si="43"/>
        <v>Hinweis zu R4.b - 1.) Wenn der Regiepreis keine Arbeitszeitzuschläge enthalten soll (Regelung gem ÖN B 2110) ist diese Einstellung (1.) zutreffend.</v>
      </c>
    </row>
    <row r="512" spans="1:17" ht="17.850000000000001" customHeight="1" x14ac:dyDescent="0.45">
      <c r="A512" s="2412" t="s">
        <v>561</v>
      </c>
      <c r="B512" s="2413"/>
      <c r="C512" s="2413"/>
      <c r="D512" s="2413"/>
      <c r="E512" s="551" t="s">
        <v>376</v>
      </c>
      <c r="F512" s="522" t="s">
        <v>192</v>
      </c>
      <c r="G512" s="923">
        <v>1</v>
      </c>
      <c r="H512" s="604"/>
      <c r="I512" s="372" t="str">
        <f>IF(AND(E511=M514,F512=_Ja),"X","")</f>
        <v/>
      </c>
      <c r="J512" s="2334" t="str">
        <f>IF(OR(F512=$Q$31,F512=$Q$32),"","Bitte Ja oder Nein wählen!")</f>
        <v/>
      </c>
      <c r="K512" s="2334"/>
      <c r="L512" s="2335"/>
      <c r="M512" s="2018" t="str">
        <f>M$444</f>
        <v>2. Regie mit Ø-Zuschlag wie K3 Zeile 8</v>
      </c>
      <c r="N512" s="2003">
        <f t="shared" ref="N512:Q512" ca="1" si="44">N$444</f>
        <v>2.5999999999999999E-2</v>
      </c>
      <c r="O512" s="1955"/>
      <c r="P512" s="1955" t="str">
        <f t="shared" si="44"/>
        <v>Regiestd. (Ø-% wie K3 Z 8)</v>
      </c>
      <c r="Q512" s="1955" t="str">
        <f t="shared" si="4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45">
      <c r="A513" s="538" t="s">
        <v>377</v>
      </c>
      <c r="B513" s="2331" t="s">
        <v>929</v>
      </c>
      <c r="C513" s="2332"/>
      <c r="D513" s="2333"/>
      <c r="E513" s="540">
        <f ca="1">IF(OR(ISBLANK(B513),F512=_Nein),"",IFERROR(VLOOKUP(B513,Stammdaten!A$39:C$48,3,FALSE),KALKULATION!$M$283))</f>
        <v>0.5</v>
      </c>
      <c r="F513" s="1098"/>
      <c r="G513" s="542"/>
      <c r="H513" s="605"/>
      <c r="I513" s="372"/>
      <c r="J513" s="2306" t="str">
        <f ca="1">IF(F512&lt;&gt;$Q$31,"",IF(AND(E513=KALKULATION!$M$283,F512=$Q$31),"Auswahl erneut vornehmen (ungültiger Verweis)!",IF(OR(AND(F512=$Q$31,B513=""),AND(F512=$Q$32,B513&lt;&gt;"")),"Eingabe unvollständig (ergänzen,  löschen od Nein wählen)!","")))</f>
        <v/>
      </c>
      <c r="K513" s="2306"/>
      <c r="L513" s="2307"/>
      <c r="M513" s="2018" t="str">
        <f>M$445</f>
        <v>3. Regie mit Std-Zuschlag wie K3</v>
      </c>
      <c r="N513" s="2003">
        <f t="shared" ref="N513:Q513" ca="1" si="45">N$445</f>
        <v>0.67330000000000001</v>
      </c>
      <c r="O513" s="1955"/>
      <c r="P513" s="1955" t="str">
        <f t="shared" si="45"/>
        <v>Regiestd. (Std-% analog K3)</v>
      </c>
      <c r="Q513" s="1955" t="str">
        <f t="shared" si="4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45">
      <c r="A514" s="2480" t="s">
        <v>135</v>
      </c>
      <c r="B514" s="2481"/>
      <c r="C514" s="2481"/>
      <c r="D514" s="2481"/>
      <c r="E514" s="539">
        <f ca="1">IFERROR(IF(VLOOKUP(B513,Stammdaten!A$39:C$48,2,FALSE)=0,1,(VLOOKUP(B513,Stammdaten!A$39:C$48,2,FALSE))),"")</f>
        <v>1.17</v>
      </c>
      <c r="F514" s="1098"/>
      <c r="G514" s="543"/>
      <c r="H514" s="606"/>
      <c r="I514" s="372"/>
      <c r="L514" s="216"/>
      <c r="M514" s="2018" t="str">
        <f>M$446</f>
        <v>4. Regie berechnen</v>
      </c>
      <c r="N514" s="1955" t="str">
        <f t="shared" ref="N514:Q514" si="46">N$446</f>
        <v>berechnen:</v>
      </c>
      <c r="O514" s="1955"/>
      <c r="P514" s="1955"/>
      <c r="Q514" s="1955" t="str">
        <f t="shared" si="46"/>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45">
      <c r="A515" s="2498" t="s">
        <v>558</v>
      </c>
      <c r="B515" s="2499"/>
      <c r="C515" s="2499"/>
      <c r="D515" s="2499"/>
      <c r="E515" s="2500"/>
      <c r="F515" s="351">
        <v>1</v>
      </c>
      <c r="G515" s="544">
        <f>IF(F515=1,1,IF(F515=2,((' K3 Regie2'!O$23+' K3 Regie2'!O$24)/' K3 Regie2'!O$23),IF(F515&gt;2,((' K3 Regie2'!O$23+' K3 Regie2'!O$24+' K3 Regie2'!O$25)/' K3 Regie2'!O$23),"")))</f>
        <v>1</v>
      </c>
      <c r="H515" s="605">
        <f ca="1">IFERROR(IF(AND(F512=$Q$31,F515&gt;0),(E513*E514*G515),""),"??")</f>
        <v>0.58499999999999996</v>
      </c>
      <c r="I515" s="372"/>
      <c r="J515" s="1087" t="str">
        <f>IF(F512&lt;&gt;$Q$31,"",IF(AND(ISBLANK(F515),F512=$Q$31),"Kennzeichen setzen!",""))</f>
        <v/>
      </c>
      <c r="K515" s="1087"/>
      <c r="L515" s="365"/>
      <c r="M515" s="2072" t="s">
        <v>863</v>
      </c>
      <c r="R515" s="1969"/>
    </row>
    <row r="516" spans="1:18" ht="17.850000000000001" customHeight="1" x14ac:dyDescent="0.45">
      <c r="A516" s="2412" t="s">
        <v>563</v>
      </c>
      <c r="B516" s="2413"/>
      <c r="C516" s="2413"/>
      <c r="D516" s="2413"/>
      <c r="E516" s="551" t="s">
        <v>376</v>
      </c>
      <c r="F516" s="522" t="s">
        <v>193</v>
      </c>
      <c r="G516" s="541"/>
      <c r="H516" s="604"/>
      <c r="I516" s="372" t="str">
        <f>IF(AND(E511=M514,F516=_Ja),"X","")</f>
        <v/>
      </c>
      <c r="J516" s="2334"/>
      <c r="K516" s="2334"/>
      <c r="L516" s="2335"/>
      <c r="M516" s="1338" t="s">
        <v>856</v>
      </c>
      <c r="N516" s="2073" t="str">
        <f>IF(E511=M512,P512,IF(E511=M513,P513,IF(AND(E511=M514,F512=_Ja),B513,P511)))</f>
        <v>Regiestunde</v>
      </c>
      <c r="O516" s="2068"/>
      <c r="P516" s="2003" t="str">
        <f>IF(AND(E511=M514,F512=_Ja),TEXT(E513,"0%"),IF(N516=P512,TEXT(N512,"0,00%"),IF(N516=P513,TEXT($P$113,"0%"),"")))</f>
        <v/>
      </c>
      <c r="R516" s="1969"/>
    </row>
    <row r="517" spans="1:18" ht="17.850000000000001" customHeight="1" x14ac:dyDescent="0.45">
      <c r="A517" s="538" t="s">
        <v>377</v>
      </c>
      <c r="B517" s="2331"/>
      <c r="C517" s="2332"/>
      <c r="D517" s="2333"/>
      <c r="E517" s="547" t="str">
        <f>IF(OR(ISBLANK(B517),F516=_Nein),"",IFERROR(VLOOKUP(B517,Stammdaten!A$50:C$54,3,FALSE),KALKULATION!$M$283))</f>
        <v/>
      </c>
      <c r="F517" s="1098"/>
      <c r="G517" s="542"/>
      <c r="H517" s="605"/>
      <c r="I517" s="372"/>
      <c r="J517" s="2306" t="str">
        <f>IF(F516&lt;&gt;$Q$31,"",IF(AND(E517=KALKULATION!$M$283,F516=$Q$31),"Auswahl erneut vornehmen (ungültiger Verweis)!",IF(OR(AND(F516=$Q$31,B517=""),AND(F516=$Q$32,B517&lt;&gt;"")),"Eingabe unvollständig (ergänzen,  löschen od Nein wählen)!","")))</f>
        <v/>
      </c>
      <c r="K517" s="2306"/>
      <c r="L517" s="2307"/>
      <c r="M517" s="1338" t="s">
        <v>860</v>
      </c>
      <c r="N517" s="2074" t="str">
        <f>IF(AND(E511=M514,F516=_Ja),B517,"")</f>
        <v/>
      </c>
      <c r="O517" s="2075"/>
      <c r="P517" s="2003" t="str">
        <f>IF(N517="","",E517)</f>
        <v/>
      </c>
      <c r="Q517" s="1943"/>
      <c r="R517" s="2076"/>
    </row>
    <row r="518" spans="1:18" ht="17.850000000000001" customHeight="1" x14ac:dyDescent="0.45">
      <c r="A518" s="2403" t="s">
        <v>198</v>
      </c>
      <c r="B518" s="2404"/>
      <c r="C518" s="2404"/>
      <c r="D518" s="2404"/>
      <c r="E518" s="539">
        <f ca="1">IFERROR(IF(VLOOKUP(B517,Stammdaten!A$50:C$54,2,FALSE)=0,1,(VLOOKUP(B517,Stammdaten!A$50:C$54,2,FALSE))),"")</f>
        <v>1</v>
      </c>
      <c r="F518" s="1098"/>
      <c r="G518" s="543"/>
      <c r="H518" s="606"/>
      <c r="I518" s="372"/>
      <c r="L518" s="216"/>
      <c r="M518" s="1338" t="s">
        <v>861</v>
      </c>
      <c r="N518" s="2074" t="str">
        <f>IF(AND(E511=M514,F520=_Ja),B521,"")</f>
        <v/>
      </c>
      <c r="O518" s="2018"/>
      <c r="P518" s="2077" t="str">
        <f>IF(N518="","",E521)</f>
        <v/>
      </c>
      <c r="Q518" s="1943"/>
      <c r="R518" s="2076"/>
    </row>
    <row r="519" spans="1:18" ht="17.850000000000001" customHeight="1" x14ac:dyDescent="0.45">
      <c r="A519" s="2498" t="str">
        <f>A515</f>
        <v xml:space="preserve">  Basis für die Aufzahlung in % (siehe Pkt C0; KZ = 1, 2, 3 od. 4):  ↓</v>
      </c>
      <c r="B519" s="2499"/>
      <c r="C519" s="2499"/>
      <c r="D519" s="2499"/>
      <c r="E519" s="2500"/>
      <c r="F519" s="351">
        <v>1</v>
      </c>
      <c r="G519" s="544">
        <f>IF(F519=1,1,IF(F519=2,((' K3 Regie2'!O$23+' K3 Regie2'!O$24)/' K3 Regie2'!O$23),IF(F519&gt;2,((' K3 Regie2'!O$23+' K3 Regie2'!O$24+' K3 Regie2'!O$25)/' K3 Regie2'!O$23),"")))</f>
        <v>1</v>
      </c>
      <c r="H519" s="605" t="str">
        <f>IFERROR(IF(F516=$Q$31,(E517*E518*G519),""),"??")</f>
        <v/>
      </c>
      <c r="I519" s="372"/>
      <c r="J519" s="2334" t="str">
        <f>IF(F516&lt;&gt;$Q$31,"",IF(AND(ISBLANK(F519),F516=$Q$31),"Kennzeichen setzen!",""))</f>
        <v/>
      </c>
      <c r="K519" s="2334"/>
      <c r="L519" s="360"/>
      <c r="M519" s="1338" t="s">
        <v>865</v>
      </c>
      <c r="N519" s="1338">
        <f>IF(AND(N517&lt;&gt;"",N518&lt;&gt;""),2,IF(N517&amp;N518="",0,1))</f>
        <v>0</v>
      </c>
      <c r="R519" s="1969"/>
    </row>
    <row r="520" spans="1:18" ht="17.850000000000001" customHeight="1" x14ac:dyDescent="0.45">
      <c r="A520" s="2412" t="s">
        <v>564</v>
      </c>
      <c r="B520" s="2413"/>
      <c r="C520" s="2413"/>
      <c r="D520" s="2413"/>
      <c r="E520" s="551" t="s">
        <v>376</v>
      </c>
      <c r="F520" s="522" t="s">
        <v>193</v>
      </c>
      <c r="G520" s="545"/>
      <c r="H520" s="607"/>
      <c r="I520" s="372" t="str">
        <f>IF(AND(E511=M514,F520=_Ja),"X","")</f>
        <v/>
      </c>
      <c r="J520" s="2334"/>
      <c r="K520" s="2334"/>
      <c r="L520" s="2335"/>
      <c r="M520" s="1971"/>
      <c r="N520" s="2078" t="str">
        <f>IF(N519=2," "&amp;N517&amp;" "&amp;", "&amp;N518,IF(N519=1," "&amp;N517&amp;N518,""))</f>
        <v/>
      </c>
      <c r="O520" s="2078"/>
      <c r="P520" s="1971"/>
      <c r="Q520" s="1971"/>
      <c r="R520" s="1978"/>
    </row>
    <row r="521" spans="1:18" ht="17.850000000000001" customHeight="1" x14ac:dyDescent="0.45">
      <c r="A521" s="550" t="s">
        <v>377</v>
      </c>
      <c r="B521" s="2332"/>
      <c r="C521" s="2332"/>
      <c r="D521" s="2332"/>
      <c r="E521" s="548" t="str">
        <f>IF(OR(ISBLANK(B521),F520=_Nein),"",IFERROR(VLOOKUP(B521,Stammdaten!A$57:C$61,2,FALSE),KALKULATION!$M$283))</f>
        <v/>
      </c>
      <c r="F521" s="549" t="s">
        <v>197</v>
      </c>
      <c r="G521" s="546">
        <f ca="1">' K3 Regie2'!$O$21</f>
        <v>15.39</v>
      </c>
      <c r="H521" s="608" t="str">
        <f>IFERROR(IF(F520=$Q$31,E521/G521,""),"??")</f>
        <v/>
      </c>
      <c r="I521" s="372"/>
      <c r="J521" s="271" t="str">
        <f>IF(AND(F520=$Q$31,B521=""),"Eingabe unvollständig (ergänzen od Nein wählen)!","")</f>
        <v/>
      </c>
      <c r="L521" s="216"/>
    </row>
    <row r="522" spans="1:18" ht="17.850000000000001" customHeight="1" x14ac:dyDescent="0.45">
      <c r="A522" s="2243" t="s">
        <v>389</v>
      </c>
      <c r="B522" s="2336"/>
      <c r="C522" s="2336"/>
      <c r="D522" s="2336"/>
      <c r="E522" s="373"/>
      <c r="F522" s="377" t="str">
        <f>IF(F516=$Q$31,B517,IF(F520=$Q$31,B521,""))</f>
        <v/>
      </c>
      <c r="G522" s="377" t="str">
        <f>IF(F516=$Q$31,TEXT(H519,"0%"),IF(F520=$Q$31,TEXT(G521,"0,00€"),""))</f>
        <v/>
      </c>
      <c r="H522" s="609">
        <f>IF(E511=M514,SUM(H512:H521),H511)</f>
        <v>0</v>
      </c>
      <c r="I522" s="636"/>
      <c r="L522" s="216"/>
    </row>
    <row r="523" spans="1:18" ht="17.850000000000001" customHeight="1" x14ac:dyDescent="0.45">
      <c r="A523" s="2891" t="str">
        <f>A$455</f>
        <v>Standardmäßig sind die Werte aus der Mittelpersonal-preiskalkulation (Blatt K3_PP) übernommen; sie sind überschreibbar.</v>
      </c>
      <c r="B523" s="2892"/>
      <c r="C523" s="2892"/>
      <c r="D523" s="2893"/>
      <c r="E523" s="2399" t="str">
        <f>E$455</f>
        <v xml:space="preserve">Standard-werte sind
</v>
      </c>
      <c r="F523" s="2399"/>
      <c r="G523" s="2399" t="str">
        <f>G$455</f>
        <v>Optional überschrei-ben mit:</v>
      </c>
      <c r="H523" s="2493" t="str">
        <f>H$455</f>
        <v>Übertrag in K3 Regie</v>
      </c>
      <c r="I523" s="636"/>
      <c r="L523" s="216"/>
    </row>
    <row r="524" spans="1:18" ht="17.850000000000001" customHeight="1" x14ac:dyDescent="0.45">
      <c r="A524" s="2894"/>
      <c r="B524" s="2895"/>
      <c r="C524" s="2895"/>
      <c r="D524" s="2896"/>
      <c r="E524" s="2400"/>
      <c r="F524" s="2400"/>
      <c r="G524" s="2400"/>
      <c r="H524" s="2494"/>
      <c r="I524" s="636"/>
      <c r="L524" s="216"/>
    </row>
    <row r="525" spans="1:18" ht="17.850000000000001" customHeight="1" thickBot="1" x14ac:dyDescent="0.5">
      <c r="A525" s="2897"/>
      <c r="B525" s="2898"/>
      <c r="C525" s="2898"/>
      <c r="D525" s="2899"/>
      <c r="E525" s="2401"/>
      <c r="F525" s="2401"/>
      <c r="G525" s="2401"/>
      <c r="H525" s="2495"/>
      <c r="I525" s="636"/>
      <c r="L525" s="216"/>
    </row>
    <row r="526" spans="1:18" ht="17.850000000000001" customHeight="1" thickTop="1" x14ac:dyDescent="0.45">
      <c r="A526" s="2243" t="s">
        <v>384</v>
      </c>
      <c r="B526" s="2336"/>
      <c r="C526" s="2336"/>
      <c r="D526" s="2244"/>
      <c r="E526" s="51">
        <f ca="1">$H$228</f>
        <v>3.3</v>
      </c>
      <c r="F526" s="1883">
        <f>H495/G495</f>
        <v>0</v>
      </c>
      <c r="G526" s="364"/>
      <c r="H526" s="361">
        <f ca="1">IF(ISBLANK(G526),E526*(1+F526),G526)</f>
        <v>3.3</v>
      </c>
      <c r="I526" s="372" t="str">
        <f>IF(ISBLANK(G526),"","X")</f>
        <v/>
      </c>
      <c r="L526" s="216"/>
    </row>
    <row r="527" spans="1:18" ht="17.850000000000001" customHeight="1" x14ac:dyDescent="0.45">
      <c r="A527" s="2285" t="s">
        <v>385</v>
      </c>
      <c r="B527" s="2286"/>
      <c r="C527" s="2286"/>
      <c r="D527" s="2287"/>
      <c r="E527" s="48">
        <f ca="1">IF(E506=M507,$G$227,$G$229)</f>
        <v>1.5</v>
      </c>
      <c r="F527" s="1884">
        <f>H495/G495</f>
        <v>0</v>
      </c>
      <c r="G527" s="341"/>
      <c r="H527" s="362">
        <f ca="1">IF(ISBLANK(G527),E527*(1+F527),G527)</f>
        <v>1.5</v>
      </c>
      <c r="I527" s="372" t="str">
        <f>IF(ISBLANK(G527),"","X")</f>
        <v/>
      </c>
      <c r="L527" s="216"/>
    </row>
    <row r="528" spans="1:18" ht="17.850000000000001" customHeight="1" x14ac:dyDescent="0.45">
      <c r="A528" s="2285" t="s">
        <v>386</v>
      </c>
      <c r="B528" s="2286"/>
      <c r="C528" s="2286"/>
      <c r="D528" s="2287"/>
      <c r="E528" s="157">
        <f ca="1">$H$236</f>
        <v>0.30270000000000002</v>
      </c>
      <c r="F528" s="156"/>
      <c r="G528" s="337"/>
      <c r="H528" s="363">
        <f ca="1">IF(ISBLANK(G528),E528,G528)</f>
        <v>0.30270000000000002</v>
      </c>
      <c r="I528" s="372" t="str">
        <f ca="1">IF(OR(G528&lt;&gt;0,E528&lt;&gt;H528),"X","")</f>
        <v/>
      </c>
      <c r="J528" s="2308" t="str">
        <f>IF(G528="","","Hinweis: DPNK lassen sich genau bestimmen/nachrechnen!")</f>
        <v/>
      </c>
      <c r="K528" s="2308"/>
      <c r="L528" s="2309"/>
    </row>
    <row r="529" spans="1:20" ht="17.850000000000001" customHeight="1" x14ac:dyDescent="0.45">
      <c r="A529" s="2285" t="s">
        <v>387</v>
      </c>
      <c r="B529" s="2286"/>
      <c r="C529" s="2286"/>
      <c r="D529" s="2287"/>
      <c r="E529" s="157">
        <f ca="1">$H$265</f>
        <v>0.66</v>
      </c>
      <c r="F529" s="156"/>
      <c r="G529" s="337"/>
      <c r="H529" s="363">
        <f ca="1">IF(ISBLANK(G529),E529,G529)</f>
        <v>0.66</v>
      </c>
      <c r="I529" s="372" t="str">
        <f ca="1">IF(OR(G529&lt;&gt;0,E529&lt;&gt;H529),"X","")</f>
        <v/>
      </c>
      <c r="L529" s="216"/>
    </row>
    <row r="530" spans="1:20" ht="17.850000000000001" customHeight="1" x14ac:dyDescent="0.45">
      <c r="A530" s="2285" t="s">
        <v>388</v>
      </c>
      <c r="B530" s="2286"/>
      <c r="C530" s="2286"/>
      <c r="D530" s="2287"/>
      <c r="E530" s="48">
        <f ca="1">H$276</f>
        <v>7.0000000000000007E-2</v>
      </c>
      <c r="F530" s="156"/>
      <c r="G530" s="565"/>
      <c r="H530" s="362">
        <f ca="1">IF(ISBLANK(G530),E530,G530)</f>
        <v>7.0000000000000007E-2</v>
      </c>
      <c r="I530" s="372" t="str">
        <f ca="1">IF(OR(G530&lt;&gt;0,E530&lt;&gt;H530),"X","")</f>
        <v/>
      </c>
      <c r="L530" s="216"/>
    </row>
    <row r="531" spans="1:20" ht="17.850000000000001" customHeight="1" x14ac:dyDescent="0.45">
      <c r="A531" s="2285" t="s">
        <v>771</v>
      </c>
      <c r="B531" s="2287"/>
      <c r="C531" s="199">
        <f>$E$306</f>
        <v>4.7500000000000001E-2</v>
      </c>
      <c r="D531" s="48">
        <f ca="1">$F$307</f>
        <v>3.21</v>
      </c>
      <c r="E531" s="338"/>
      <c r="F531" s="364"/>
      <c r="G531" s="363">
        <f>IF(ISBLANK(E531),C531,E531)</f>
        <v>4.7500000000000001E-2</v>
      </c>
      <c r="H531" s="361">
        <f ca="1">IF(ISBLANK(F531),D531,F531)</f>
        <v>3.21</v>
      </c>
      <c r="I531" s="372" t="str">
        <f>IF(OR(F531&lt;&gt;0,E531&lt;&gt;0),"X","")</f>
        <v/>
      </c>
      <c r="L531" s="216"/>
    </row>
    <row r="532" spans="1:20" ht="17.850000000000001" customHeight="1" x14ac:dyDescent="0.45">
      <c r="A532" s="2491" t="str">
        <f ca="1">"R5)"&amp;IF($G$327=0," Keine Umlagen unter Pkt H1 bzw H2 angelgt!"," Umlagen (K3 Spalte A)")</f>
        <v>R5) Keine Umlagen unter Pkt H1 bzw H2 angelgt!</v>
      </c>
      <c r="B532" s="2492"/>
      <c r="C532" s="2492"/>
      <c r="D532" s="2492"/>
      <c r="E532" s="2492"/>
      <c r="F532" s="2492"/>
      <c r="G532" s="2492"/>
      <c r="H532" s="2492"/>
      <c r="I532" s="636"/>
      <c r="L532" s="216"/>
    </row>
    <row r="533" spans="1:20" ht="17.850000000000001" customHeight="1" thickBot="1" x14ac:dyDescent="0.5">
      <c r="A533" s="2338" t="s">
        <v>560</v>
      </c>
      <c r="B533" s="2339"/>
      <c r="C533" s="2339"/>
      <c r="D533" s="2339"/>
      <c r="E533" s="521" t="str">
        <f ca="1">IF(SUM(F534:G536)&lt;&gt;$H$327,"!","")</f>
        <v/>
      </c>
      <c r="F533" s="712" t="s">
        <v>69</v>
      </c>
      <c r="G533" s="744" t="s">
        <v>671</v>
      </c>
      <c r="H533" s="1005">
        <f ca="1">' K3 Regie2'!O33</f>
        <v>42.81</v>
      </c>
      <c r="I533" s="636"/>
      <c r="J533" s="2329" t="str">
        <f ca="1">IF(E533="!","Hinweis: Es sind nicht alle oder andere Umlagen wie oben (Pkt H) für K3 ausgewählt! Berechnung erfolgt mit den hier ausgewählten Umlagen.","")</f>
        <v/>
      </c>
      <c r="K533" s="2329"/>
      <c r="L533" s="2330"/>
    </row>
    <row r="534" spans="1:20" ht="17.850000000000001" customHeight="1" thickTop="1" x14ac:dyDescent="0.45">
      <c r="A534" s="2337"/>
      <c r="B534" s="2337"/>
      <c r="C534" s="2337"/>
      <c r="D534" s="2337"/>
      <c r="E534" s="2337"/>
      <c r="F534" s="85" t="str">
        <f>IF(A534="","",IFERROR(VLOOKUP(A534,A$329:E$333,2,FALSE),KALKULATION!$M$283))</f>
        <v/>
      </c>
      <c r="G534" s="158" t="str">
        <f>IF(A534="","",IFERROR(VLOOKUP(A534,A$329:E$333,3,FALSE),""))</f>
        <v/>
      </c>
      <c r="H534" s="85" t="str">
        <f>IF(OR(G534="",G534=0),"",G534*H$533)</f>
        <v/>
      </c>
      <c r="I534" s="636"/>
      <c r="J534" s="2329"/>
      <c r="K534" s="2329"/>
      <c r="L534" s="2330"/>
    </row>
    <row r="535" spans="1:20" ht="17.850000000000001" customHeight="1" x14ac:dyDescent="0.45">
      <c r="A535" s="2402"/>
      <c r="B535" s="2402"/>
      <c r="C535" s="2402"/>
      <c r="D535" s="2402"/>
      <c r="E535" s="2402"/>
      <c r="F535" s="85" t="str">
        <f>IF(A535="","",IFERROR(VLOOKUP(A535,A$329:E$333,2,FALSE),KALKULATION!$M$283))</f>
        <v/>
      </c>
      <c r="G535" s="158" t="str">
        <f t="shared" ref="G535:G536" si="47">IF(A535="","",IFERROR(VLOOKUP(A535,A$329:E$333,3,FALSE),""))</f>
        <v/>
      </c>
      <c r="H535" s="85" t="str">
        <f t="shared" ref="H535:H536" si="48">IF(OR(G535="",G535=0),"",G535*H$533)</f>
        <v/>
      </c>
      <c r="I535" s="636"/>
      <c r="J535" s="2329"/>
      <c r="K535" s="2329"/>
      <c r="L535" s="2330"/>
      <c r="M535" s="2079" t="s">
        <v>641</v>
      </c>
      <c r="N535" s="2079" t="str">
        <f>$A$413&amp;" gesamt"</f>
        <v>Regielohnpreis gesamt</v>
      </c>
      <c r="O535" s="2079"/>
      <c r="P535" s="2080"/>
    </row>
    <row r="536" spans="1:20" ht="17.850000000000001" customHeight="1" x14ac:dyDescent="0.45">
      <c r="A536" s="2402"/>
      <c r="B536" s="2402"/>
      <c r="C536" s="2402"/>
      <c r="D536" s="2402"/>
      <c r="E536" s="2402"/>
      <c r="F536" s="84" t="str">
        <f>IF(A536="","",IFERROR(VLOOKUP(A536,A$329:E$333,2,FALSE),KALKULATION!$M$283))</f>
        <v/>
      </c>
      <c r="G536" s="50" t="str">
        <f t="shared" si="47"/>
        <v/>
      </c>
      <c r="H536" s="84" t="str">
        <f t="shared" si="48"/>
        <v/>
      </c>
      <c r="I536" s="636"/>
      <c r="L536" s="216"/>
      <c r="M536" s="2079" t="s">
        <v>412</v>
      </c>
      <c r="N536" s="2079" t="str">
        <f>IF(A489="","",A489)</f>
        <v>LG 5 Qualifizierter Arbeitnehmer</v>
      </c>
      <c r="O536" s="2081"/>
      <c r="P536" s="2082"/>
    </row>
    <row r="537" spans="1:20" ht="17.850000000000001" customHeight="1" x14ac:dyDescent="0.45">
      <c r="A537" s="2391" t="str">
        <f>IF(SUM(F534:H536)=0,"R5.b) GZ auf UMLAGEN - keine Umlagen ausgewählt (oder in Pkt H1 angelegt)","R5.b) GZ auf UMLAGEN")</f>
        <v>R5.b) GZ auf UMLAGEN - keine Umlagen ausgewählt (oder in Pkt H1 angelegt)</v>
      </c>
      <c r="B537" s="2392"/>
      <c r="C537" s="2392"/>
      <c r="D537" s="2392"/>
      <c r="E537" s="2392"/>
      <c r="F537" s="2393"/>
      <c r="G537" s="2393"/>
      <c r="H537" s="2392"/>
      <c r="I537" s="636"/>
      <c r="L537" s="216"/>
      <c r="M537" s="2083" t="s">
        <v>721</v>
      </c>
      <c r="N537" s="2083" t="str">
        <f>IF(C546="","",C546)</f>
        <v/>
      </c>
      <c r="O537" s="2079"/>
      <c r="P537" s="2080"/>
    </row>
    <row r="538" spans="1:20" ht="17.850000000000001" customHeight="1" x14ac:dyDescent="0.45">
      <c r="A538" s="392" t="s">
        <v>559</v>
      </c>
      <c r="B538" s="373"/>
      <c r="C538" s="373"/>
      <c r="D538" s="2299"/>
      <c r="E538" s="2300"/>
      <c r="F538" s="2328"/>
      <c r="G538" s="199" t="str">
        <f>IF(D538="","",IFERROR(VLOOKUP(D538,'K2 GZ'!I$25:M$32,5,FALSE),KALKULATION!$M$283))</f>
        <v/>
      </c>
      <c r="H538" s="1006" t="str">
        <f ca="1">IF($G$327=0,"",IF(G538=KALKULATION!$M$283,"",IF(SUM(F534:H536)=0,"",IF(D538="",$G$346,G538))))</f>
        <v/>
      </c>
      <c r="I538" s="372" t="str">
        <f>IF(AND(D538&lt;&gt;"",SUM(F534:H536)&lt;&gt;0),"X","")</f>
        <v/>
      </c>
      <c r="J538" s="2306" t="str">
        <f ca="1">IF(G538=KALKULATION!$M$283,"Auswahl erneut vornehmen (ungült. Verweis)/Text löschen!",IF(AND(H538="",SUM(F534:G536)&lt;&gt;0),"GZ fehlt oder gleich 0!)",""))</f>
        <v/>
      </c>
      <c r="K538" s="2306"/>
      <c r="L538" s="2307"/>
      <c r="M538" s="2083" t="s">
        <v>722</v>
      </c>
      <c r="N538" s="2083" t="str">
        <f>IF(N537=""," für ["&amp;N536&amp;"]"," für ["&amp;N537&amp;"]")</f>
        <v xml:space="preserve"> für [LG 5 Qualifizierter Arbeitnehmer]</v>
      </c>
      <c r="O538" s="2083"/>
      <c r="P538" s="2083" t="str">
        <f>IF(N537="",""," für ["&amp;N537&amp;" | "&amp;N536&amp;"]")</f>
        <v/>
      </c>
    </row>
    <row r="539" spans="1:20" ht="17.850000000000001" customHeight="1" x14ac:dyDescent="0.45">
      <c r="A539" s="2405"/>
      <c r="B539" s="2406"/>
      <c r="C539" s="2406"/>
      <c r="D539" s="2406"/>
      <c r="E539" s="2406"/>
      <c r="F539" s="2406"/>
      <c r="G539" s="2406"/>
      <c r="H539" s="2406"/>
      <c r="I539" s="372"/>
      <c r="L539" s="216"/>
      <c r="M539" s="2083" t="s">
        <v>639</v>
      </c>
      <c r="N539" s="2084" t="str">
        <f ca="1">IF(AND(E511=M514,H515&lt;&gt;"")," als ["&amp;B513&amp;TEXT(E513," (0%)")&amp;"]",IF(E511=M512," mit [Ø Zuschlag gem K3 Mittelpersonalpreis Z 8]",IF(E511=M513," mit [Aufzahlung pro Std gem K3 Mittelpersonalpreis]","")))</f>
        <v/>
      </c>
      <c r="O539" s="2083"/>
      <c r="P539" s="2085"/>
    </row>
    <row r="540" spans="1:20" ht="17.850000000000001" customHeight="1" x14ac:dyDescent="0.45">
      <c r="A540" s="2391" t="str">
        <f>A$472</f>
        <v>R6) GZ auf PERSONALKOSTEN (K3 Spalte B)</v>
      </c>
      <c r="B540" s="2392"/>
      <c r="C540" s="2392"/>
      <c r="D540" s="2392"/>
      <c r="E540" s="2392"/>
      <c r="F540" s="2392"/>
      <c r="G540" s="2392"/>
      <c r="H540" s="2392"/>
      <c r="I540" s="634"/>
      <c r="L540" s="216"/>
      <c r="M540" s="2086" t="s">
        <v>640</v>
      </c>
      <c r="N540" s="2087" t="str">
        <f>IF(N520="",""," in ["&amp;N520&amp;"]")</f>
        <v/>
      </c>
      <c r="O540" s="2086"/>
      <c r="P540" s="2088"/>
    </row>
    <row r="541" spans="1:20" ht="17.850000000000001" customHeight="1" x14ac:dyDescent="0.45">
      <c r="A541" s="392" t="s">
        <v>559</v>
      </c>
      <c r="B541" s="373"/>
      <c r="C541" s="373"/>
      <c r="D541" s="2299"/>
      <c r="E541" s="2300"/>
      <c r="F541" s="2328"/>
      <c r="G541" s="199" t="str">
        <f>IF(D541="","",IFERROR(VLOOKUP(D541,'K2 GZ'!I$25:M$32,5,FALSE),KALKULATION!$M$283))</f>
        <v/>
      </c>
      <c r="H541" s="1006">
        <f>IF(G541=KALKULATION!$M$283,"",IF(D541="",$G$345,G541))</f>
        <v>0.28000000000000003</v>
      </c>
      <c r="I541" s="372" t="str">
        <f>IF(D541&lt;&gt;"","X","")</f>
        <v/>
      </c>
      <c r="J541" s="2306" t="str">
        <f>IF(G541=KALKULATION!$M$283,"Auswahl erneut vornehmen (ungültiger Verweis)!",IF(H541=KALKULATION!$M$283,"GZ aus K2-Blatt wählen!",""))</f>
        <v/>
      </c>
      <c r="K541" s="2306"/>
      <c r="L541" s="2307"/>
      <c r="M541" s="2083"/>
      <c r="N541" s="2089"/>
      <c r="O541" s="2083"/>
      <c r="P541" s="2085"/>
    </row>
    <row r="542" spans="1:20" ht="20" customHeight="1" x14ac:dyDescent="0.45">
      <c r="A542" s="1187" t="s">
        <v>392</v>
      </c>
      <c r="B542" s="630"/>
      <c r="C542" s="2477" t="str">
        <f>D504</f>
        <v>LG 5 Qualifizierter Arbeitnehmer</v>
      </c>
      <c r="D542" s="2477"/>
      <c r="E542" s="2477"/>
      <c r="F542" s="631" t="s">
        <v>259</v>
      </c>
      <c r="G542" s="632">
        <f ca="1">H542/D489-1</f>
        <v>2.9961000000000002</v>
      </c>
      <c r="H542" s="839">
        <f ca="1">IFERROR(' K3 Regie2'!N$45,"??")</f>
        <v>61.5</v>
      </c>
      <c r="I542" s="634"/>
      <c r="J542" s="47"/>
      <c r="K542" s="47"/>
      <c r="L542" s="591"/>
      <c r="M542" s="2081"/>
      <c r="N542" s="2090"/>
      <c r="O542" s="2081"/>
      <c r="P542" s="2082"/>
      <c r="Q542" s="1944"/>
      <c r="R542" s="2608"/>
      <c r="S542" s="2608"/>
      <c r="T542" s="2608"/>
    </row>
    <row r="543" spans="1:20" ht="17.850000000000001" customHeight="1" x14ac:dyDescent="0.45">
      <c r="A543" s="2416" t="s">
        <v>712</v>
      </c>
      <c r="B543" s="2484"/>
      <c r="C543" s="2902" t="str">
        <f ca="1">IFERROR(VLOOKUP(A545,M544:N550,2,FALSE),KALKULATION!$M$283)</f>
        <v>Regielohnpreis gesamt für [LG 5 Qualifizierter Arbeitnehmer]</v>
      </c>
      <c r="D543" s="2902"/>
      <c r="E543" s="2902"/>
      <c r="F543" s="2902"/>
      <c r="G543" s="2902"/>
      <c r="H543" s="2902"/>
      <c r="I543" s="634"/>
      <c r="J543" s="2340" t="str">
        <f ca="1">IF(OR(H541&lt;Report!$G$13,KALKULATION!H541&gt;Report!$F$13,AND(SUM(KALKULATION!F534:H536)&lt;&gt;0,OR(H538&lt;Report!$G$13,KALKULATION!H538&gt;Report!$F$13))),"Hinweis: GZ in R5.b oder R6 liegt außerhalb der empfohlenen Grenzwerte gem Blatt REPORT!","")</f>
        <v/>
      </c>
      <c r="K543" s="2340"/>
      <c r="L543" s="2341"/>
      <c r="M543" s="2091" t="s">
        <v>677</v>
      </c>
      <c r="N543" s="2091"/>
      <c r="Q543" s="1944"/>
      <c r="R543" s="2093"/>
      <c r="S543" s="2093"/>
      <c r="T543" s="2093"/>
    </row>
    <row r="544" spans="1:20" ht="17.850000000000001" customHeight="1" x14ac:dyDescent="0.45">
      <c r="A544" s="2589"/>
      <c r="B544" s="2724"/>
      <c r="C544" s="2512"/>
      <c r="D544" s="2512"/>
      <c r="E544" s="2512"/>
      <c r="F544" s="2512"/>
      <c r="G544" s="2512"/>
      <c r="H544" s="2512"/>
      <c r="I544" s="634"/>
      <c r="J544" s="2342"/>
      <c r="K544" s="2342"/>
      <c r="L544" s="2343"/>
      <c r="M544" s="2091" t="s">
        <v>715</v>
      </c>
      <c r="N544" s="2091" t="str">
        <f>N535</f>
        <v>Regielohnpreis gesamt</v>
      </c>
      <c r="Q544" s="1944"/>
      <c r="R544" s="2093"/>
      <c r="S544" s="2093"/>
      <c r="T544" s="2093"/>
    </row>
    <row r="545" spans="1:20" ht="17.850000000000001" customHeight="1" x14ac:dyDescent="0.45">
      <c r="A545" s="2907" t="s">
        <v>719</v>
      </c>
      <c r="B545" s="2908"/>
      <c r="C545" s="2513"/>
      <c r="D545" s="2513"/>
      <c r="E545" s="2513"/>
      <c r="F545" s="2513"/>
      <c r="G545" s="2513"/>
      <c r="H545" s="2513"/>
      <c r="I545" s="634"/>
      <c r="L545" s="216"/>
      <c r="M545" s="2091" t="s">
        <v>716</v>
      </c>
      <c r="N545" s="2091" t="str">
        <f>N535&amp;N538</f>
        <v>Regielohnpreis gesamt für [LG 5 Qualifizierter Arbeitnehmer]</v>
      </c>
      <c r="Q545" s="1944"/>
      <c r="R545" s="2093"/>
      <c r="S545" s="2093"/>
      <c r="T545" s="2093"/>
    </row>
    <row r="546" spans="1:20" ht="17.850000000000001" customHeight="1" x14ac:dyDescent="0.45">
      <c r="A546" s="2416" t="str">
        <f>A$478</f>
        <v>Bezeichnung zusätzlich:</v>
      </c>
      <c r="B546" s="2484"/>
      <c r="C546" s="3030"/>
      <c r="D546" s="2779"/>
      <c r="E546" s="2779"/>
      <c r="F546" s="2779"/>
      <c r="G546" s="2779"/>
      <c r="H546" s="2779"/>
      <c r="I546" s="634"/>
      <c r="L546" s="216"/>
      <c r="M546" s="2091" t="s">
        <v>717</v>
      </c>
      <c r="N546" s="2091" t="str">
        <f>N535&amp;P538</f>
        <v>Regielohnpreis gesamt</v>
      </c>
      <c r="Q546" s="1944"/>
      <c r="R546" s="2093"/>
      <c r="S546" s="2093"/>
      <c r="T546" s="2093"/>
    </row>
    <row r="547" spans="1:20" ht="17.850000000000001" customHeight="1" x14ac:dyDescent="0.45">
      <c r="A547" s="2416" t="str">
        <f>A$479</f>
        <v>Individuelle Bezeichnung für Wahl in R7.a:</v>
      </c>
      <c r="B547" s="2417"/>
      <c r="C547" s="2395"/>
      <c r="D547" s="2395"/>
      <c r="E547" s="2395"/>
      <c r="F547" s="2395"/>
      <c r="G547" s="2395"/>
      <c r="H547" s="2395"/>
      <c r="I547" s="634"/>
      <c r="L547" s="216"/>
      <c r="M547" s="2091" t="s">
        <v>718</v>
      </c>
      <c r="N547" s="2091" t="str">
        <f ca="1">N544&amp;N539&amp;N540</f>
        <v>Regielohnpreis gesamt</v>
      </c>
      <c r="Q547" s="1944"/>
      <c r="R547" s="2093"/>
      <c r="S547" s="2093"/>
      <c r="T547" s="2093"/>
    </row>
    <row r="548" spans="1:20" ht="17.850000000000001" customHeight="1" x14ac:dyDescent="0.45">
      <c r="A548" s="2589"/>
      <c r="B548" s="2590"/>
      <c r="C548" s="2332"/>
      <c r="D548" s="2332"/>
      <c r="E548" s="2332"/>
      <c r="F548" s="2332"/>
      <c r="G548" s="2332"/>
      <c r="H548" s="2332"/>
      <c r="I548" s="634"/>
      <c r="L548" s="216"/>
      <c r="M548" s="2091" t="s">
        <v>719</v>
      </c>
      <c r="N548" s="2091" t="str">
        <f ca="1">N545&amp;N539&amp;N540</f>
        <v>Regielohnpreis gesamt für [LG 5 Qualifizierter Arbeitnehmer]</v>
      </c>
      <c r="Q548" s="1944"/>
      <c r="R548" s="2093"/>
      <c r="S548" s="2093"/>
      <c r="T548" s="2093"/>
    </row>
    <row r="549" spans="1:20" ht="17.850000000000001" customHeight="1" x14ac:dyDescent="0.45">
      <c r="A549" s="1187"/>
      <c r="B549" s="630"/>
      <c r="C549" s="720"/>
      <c r="D549" s="720"/>
      <c r="E549" s="720"/>
      <c r="F549" s="631"/>
      <c r="G549" s="632"/>
      <c r="H549" s="633"/>
      <c r="I549" s="634"/>
      <c r="L549" s="216"/>
      <c r="M549" s="2091" t="s">
        <v>720</v>
      </c>
      <c r="N549" s="2091" t="str">
        <f ca="1">N546&amp;N539&amp;N540</f>
        <v>Regielohnpreis gesamt</v>
      </c>
      <c r="Q549" s="1944"/>
      <c r="R549" s="2093"/>
      <c r="S549" s="2093"/>
      <c r="T549" s="2093"/>
    </row>
    <row r="550" spans="1:20" ht="17.850000000000001" customHeight="1" x14ac:dyDescent="0.45">
      <c r="A550" s="2416" t="s">
        <v>670</v>
      </c>
      <c r="B550" s="2959"/>
      <c r="C550" s="2960"/>
      <c r="D550" s="2960"/>
      <c r="E550" s="2960"/>
      <c r="F550" s="2960"/>
      <c r="G550" s="2960"/>
      <c r="H550" s="2960"/>
      <c r="I550" s="2960"/>
      <c r="L550" s="216"/>
      <c r="M550" s="2091" t="s">
        <v>714</v>
      </c>
      <c r="N550" s="2091" t="str">
        <f>IF(C547="","",C547)</f>
        <v/>
      </c>
      <c r="Q550" s="1944"/>
      <c r="R550" s="2093"/>
      <c r="S550" s="2093"/>
      <c r="T550" s="2093"/>
    </row>
    <row r="551" spans="1:20" ht="17.850000000000001" customHeight="1" x14ac:dyDescent="0.45">
      <c r="A551" s="2317"/>
      <c r="B551" s="2961"/>
      <c r="C551" s="2472"/>
      <c r="D551" s="2472"/>
      <c r="E551" s="2472"/>
      <c r="F551" s="2472"/>
      <c r="G551" s="2472"/>
      <c r="H551" s="2472"/>
      <c r="I551" s="2472"/>
      <c r="J551" s="47"/>
      <c r="K551" s="47"/>
      <c r="L551" s="591"/>
      <c r="M551" s="1944"/>
      <c r="N551" s="1944"/>
      <c r="O551" s="1944"/>
      <c r="P551" s="1944"/>
      <c r="Q551" s="1944"/>
      <c r="R551" s="2093"/>
      <c r="S551" s="2093"/>
      <c r="T551" s="2093"/>
    </row>
    <row r="552" spans="1:20" ht="17.850000000000001" customHeight="1" x14ac:dyDescent="0.45">
      <c r="A552" s="2999"/>
      <c r="B552" s="2999"/>
      <c r="C552" s="2999"/>
      <c r="D552" s="2999"/>
      <c r="E552" s="2999"/>
      <c r="F552" s="2999"/>
      <c r="G552" s="2999"/>
      <c r="H552" s="2999"/>
      <c r="I552" s="2999"/>
      <c r="L552" s="216"/>
      <c r="M552" s="1944"/>
      <c r="N552" s="1944"/>
      <c r="O552" s="1944"/>
      <c r="P552" s="1944"/>
    </row>
    <row r="553" spans="1:20" ht="25.05" customHeight="1" x14ac:dyDescent="0.65">
      <c r="A553" s="3036" t="str">
        <f>$A$413&amp;" 3"&amp;IF(A557=""," [keine Beschäftigungsgruppe ausgewählt]",IF(D557=KALKULATION!$M$283," - [nicht vorhandene Beschäftigungsgruppe]"," - kalkuliert für ["&amp;LEFT(A557,40)&amp;"]"))</f>
        <v>Regielohnpreis 3 [keine Beschäftigungsgruppe ausgewählt]</v>
      </c>
      <c r="B553" s="3037"/>
      <c r="C553" s="3037"/>
      <c r="D553" s="3037"/>
      <c r="E553" s="3037"/>
      <c r="F553" s="3037"/>
      <c r="G553" s="3037"/>
      <c r="H553" s="3037"/>
      <c r="I553" s="1215"/>
      <c r="J553" s="59"/>
      <c r="K553" s="59"/>
      <c r="L553" s="590"/>
    </row>
    <row r="554" spans="1:20" ht="17.850000000000001" customHeight="1" x14ac:dyDescent="0.45">
      <c r="A554" s="2416" t="s">
        <v>531</v>
      </c>
      <c r="B554" s="2573"/>
      <c r="C554" s="2574"/>
      <c r="D554" s="2778"/>
      <c r="E554" s="2529"/>
      <c r="F554" s="2529"/>
      <c r="G554" s="2529"/>
      <c r="H554" s="2529"/>
      <c r="I554" s="624"/>
      <c r="L554" s="216"/>
    </row>
    <row r="555" spans="1:20" ht="17.850000000000001" customHeight="1" x14ac:dyDescent="0.45">
      <c r="A555" s="2503"/>
      <c r="B555" s="2504"/>
      <c r="C555" s="2505"/>
      <c r="D555" s="2508"/>
      <c r="E555" s="2509"/>
      <c r="F555" s="2509"/>
      <c r="G555" s="2509"/>
      <c r="H555" s="2509"/>
      <c r="I555" s="624"/>
      <c r="L555" s="216"/>
    </row>
    <row r="556" spans="1:20" ht="17.850000000000001" customHeight="1" thickBot="1" x14ac:dyDescent="0.5">
      <c r="A556" s="2511" t="s">
        <v>378</v>
      </c>
      <c r="B556" s="2511"/>
      <c r="C556" s="2511"/>
      <c r="D556" s="2511"/>
      <c r="E556" s="712" t="s">
        <v>18</v>
      </c>
      <c r="F556" s="712" t="s">
        <v>68</v>
      </c>
      <c r="G556" s="1008" t="s">
        <v>72</v>
      </c>
      <c r="H556" s="1116" t="s">
        <v>73</v>
      </c>
      <c r="I556" s="624"/>
      <c r="L556" s="216"/>
    </row>
    <row r="557" spans="1:20" ht="17.850000000000001" customHeight="1" thickTop="1" thickBot="1" x14ac:dyDescent="0.5">
      <c r="A557" s="2931"/>
      <c r="B557" s="2932"/>
      <c r="C557" s="2933"/>
      <c r="D557" s="51">
        <f ca="1">IFERROR(VLOOKUP(A557,Stammdaten!A$7:D$33,4,FALSE),KALKULATION!$M$283)</f>
        <v>0</v>
      </c>
      <c r="E557" s="518">
        <v>1</v>
      </c>
      <c r="F557" s="519">
        <v>1</v>
      </c>
      <c r="G557" s="349">
        <f ca="1">IFERROR(VLOOKUP(A557,Stammdaten!A$7:F$33,4,FALSE)*F557,"")</f>
        <v>0</v>
      </c>
      <c r="H557" s="520">
        <f ca="1">IFERROR(VLOOKUP(A557,Stammdaten!A$7:F$33,6,FALSE)*F557,"")</f>
        <v>0</v>
      </c>
      <c r="I557" s="624"/>
      <c r="J557" s="2306" t="str">
        <f ca="1">IF(D557=KALKULATION!$M$283,"Auswahl erneut vornehmen (ungültiger Verweis)!","")</f>
        <v/>
      </c>
      <c r="K557" s="2306"/>
      <c r="L557" s="2307"/>
    </row>
    <row r="558" spans="1:20" ht="17.850000000000001" customHeight="1" x14ac:dyDescent="0.45">
      <c r="A558" s="2548" t="s">
        <v>92</v>
      </c>
      <c r="B558" s="2549"/>
      <c r="C558" s="2549"/>
      <c r="D558" s="2550"/>
      <c r="E558" s="49">
        <f>E557</f>
        <v>1</v>
      </c>
      <c r="F558" s="50">
        <v>1</v>
      </c>
      <c r="G558" s="51">
        <f ca="1">IF(AND(_OK?="OK!",_OK_KV?="OK_KV!"),SUM(G557),ROUNDUP(G557,0))</f>
        <v>0</v>
      </c>
      <c r="H558" s="84">
        <f ca="1">SUM(H557:H557)</f>
        <v>0</v>
      </c>
      <c r="I558" s="625" t="str">
        <f ca="1">IF(OR(_OK?&lt;&gt;"OK!",_OK_KV?&lt;&gt;"OK_KV!"),"X","")</f>
        <v/>
      </c>
      <c r="J558" s="1109"/>
      <c r="K558" s="1109"/>
      <c r="L558" s="270"/>
    </row>
    <row r="559" spans="1:20" ht="17.850000000000001" customHeight="1" x14ac:dyDescent="0.45">
      <c r="A559" s="2491" t="s">
        <v>892</v>
      </c>
      <c r="B559" s="2492"/>
      <c r="C559" s="2492"/>
      <c r="D559" s="2492"/>
      <c r="E559" s="2492"/>
      <c r="F559" s="2492"/>
      <c r="G559" s="2492"/>
      <c r="H559" s="2492"/>
      <c r="I559" s="624"/>
      <c r="J559" s="1109"/>
      <c r="K559" s="1109"/>
      <c r="L559" s="216"/>
    </row>
    <row r="560" spans="1:20" ht="17.850000000000001" customHeight="1" thickBot="1" x14ac:dyDescent="0.5">
      <c r="A560" s="2446"/>
      <c r="B560" s="2447"/>
      <c r="C560" s="2448"/>
      <c r="D560" s="60">
        <f ca="1">IFERROR(VLOOKUP(A560,Stammdaten!A$7:D$33,4,FALSE),KALKULATION!$M$283)</f>
        <v>0</v>
      </c>
      <c r="E560" s="359"/>
      <c r="F560" s="53" t="str">
        <f>IFERROR(IF(A560&lt;&gt;"",E560/E561,""),"")</f>
        <v/>
      </c>
      <c r="G560" s="60" t="str">
        <f ca="1">IFERROR(VLOOKUP(A560,Stammdaten!A$7:F$33,4,FALSE)*F560,"")</f>
        <v/>
      </c>
      <c r="H560" s="569" t="str">
        <f ca="1">IFERROR(VLOOKUP(A560,Stammdaten!A$7:F$33,6,FALSE)*F560,"")</f>
        <v/>
      </c>
      <c r="I560" s="626"/>
      <c r="J560" s="2306" t="str">
        <f ca="1">IF(OR(COUNTA(A560,E560)=2,COUNTA(A560,E560)=0),IF(D560=KALKULATION!$M$283,"Auswahl erneut vornehmen (ungültiger Verweis)!",""),"Eingabe unvollständig (ergänzen oder löschen)!")</f>
        <v/>
      </c>
      <c r="K560" s="2306"/>
      <c r="L560" s="2307"/>
    </row>
    <row r="561" spans="1:14" ht="17.850000000000001" customHeight="1" x14ac:dyDescent="0.45">
      <c r="A561" s="392" t="s">
        <v>92</v>
      </c>
      <c r="B561" s="373"/>
      <c r="C561" s="373"/>
      <c r="D561" s="212"/>
      <c r="E561" s="64">
        <f>SUM(E560:E560)</f>
        <v>0</v>
      </c>
      <c r="F561" s="50">
        <f>SUM(F560:F560)</f>
        <v>0</v>
      </c>
      <c r="G561" s="51">
        <f ca="1">SUM(G560:G560)</f>
        <v>0</v>
      </c>
      <c r="H561" s="84">
        <f ca="1">SUM(H560:H560)</f>
        <v>0</v>
      </c>
      <c r="I561" s="624"/>
      <c r="J561" s="2306" t="str">
        <f ca="1">IF(E561&gt;=E558,"Unzulässige Umlage (R2 größer/gleich R1)!!!",IF(AND(E561&lt;&gt;0,G558=0),"Beschäftigungsgruppe in R1 wählen!",""))</f>
        <v/>
      </c>
      <c r="K561" s="2306"/>
      <c r="L561" s="2307"/>
    </row>
    <row r="562" spans="1:14" ht="17.850000000000001" customHeight="1" x14ac:dyDescent="0.45">
      <c r="A562" s="2285" t="s">
        <v>697</v>
      </c>
      <c r="B562" s="2286"/>
      <c r="C562" s="2286"/>
      <c r="D562" s="2286"/>
      <c r="E562" s="2286"/>
      <c r="F562" s="2286"/>
      <c r="G562" s="2286"/>
      <c r="H562" s="570">
        <v>0</v>
      </c>
      <c r="I562" s="627"/>
      <c r="J562" s="2334" t="str">
        <f>IF(AND(ISBLANK(H562),E561&lt;&gt;0),"Kennzeichen eingeben! Es sind unprod. Zeiten kalkuliert.","")</f>
        <v/>
      </c>
      <c r="K562" s="2334"/>
      <c r="L562" s="2335"/>
    </row>
    <row r="563" spans="1:14" ht="17.850000000000001" customHeight="1" x14ac:dyDescent="0.45">
      <c r="A563" s="2482"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483"/>
      <c r="C563" s="2483"/>
      <c r="D563" s="2483"/>
      <c r="E563" s="2483"/>
      <c r="F563" s="2483"/>
      <c r="G563" s="367">
        <f>IF(H562=1,E558,E558-E561)</f>
        <v>1</v>
      </c>
      <c r="H563" s="367">
        <f>E561</f>
        <v>0</v>
      </c>
      <c r="I563" s="624"/>
      <c r="J563" s="2414" t="str">
        <f>IFERROR(IF(H563/G563&gt;Report!$F$7,"Hinweis: Unproduktiver Anteil erscheint hoch!",""),"Der unprod. Anteil löst eine Division mit 0 aus!")</f>
        <v/>
      </c>
      <c r="K563" s="2414"/>
      <c r="L563" s="2415"/>
    </row>
    <row r="564" spans="1:14" ht="17.850000000000001" customHeight="1" x14ac:dyDescent="0.45">
      <c r="A564" s="3032"/>
      <c r="B564" s="3033"/>
      <c r="C564" s="3033"/>
      <c r="D564" s="3033"/>
      <c r="E564" s="3033"/>
      <c r="F564" s="3033"/>
      <c r="G564" s="3033"/>
      <c r="H564" s="3033"/>
      <c r="I564" s="624"/>
      <c r="K564" s="4"/>
      <c r="L564" s="856"/>
    </row>
    <row r="565" spans="1:14" ht="17.850000000000001" customHeight="1" thickBot="1" x14ac:dyDescent="0.5">
      <c r="A565" s="2324" t="s">
        <v>380</v>
      </c>
      <c r="B565" s="2325"/>
      <c r="C565" s="2526"/>
      <c r="D565" s="857" t="s">
        <v>72</v>
      </c>
      <c r="E565" s="858" t="s">
        <v>73</v>
      </c>
      <c r="F565" s="859" t="s">
        <v>118</v>
      </c>
      <c r="G565" s="860" t="s">
        <v>85</v>
      </c>
      <c r="H565" s="861" t="s">
        <v>73</v>
      </c>
      <c r="I565" s="624"/>
      <c r="L565" s="216"/>
    </row>
    <row r="566" spans="1:14" ht="17.850000000000001" customHeight="1" x14ac:dyDescent="0.45">
      <c r="A566" s="700" t="str">
        <f>A$498</f>
        <v>Verrechenbare Zeit</v>
      </c>
      <c r="B566" s="701"/>
      <c r="C566" s="702"/>
      <c r="D566" s="703">
        <f ca="1">G558*G563</f>
        <v>0</v>
      </c>
      <c r="E566" s="704">
        <f ca="1">G563*H558</f>
        <v>0</v>
      </c>
      <c r="F566" s="705" t="s">
        <v>204</v>
      </c>
      <c r="G566" s="682">
        <f ca="1">D566</f>
        <v>0</v>
      </c>
      <c r="H566" s="683" t="str">
        <f>IF(D569=_Ja,"",D568)</f>
        <v/>
      </c>
      <c r="I566" s="624"/>
      <c r="L566" s="216"/>
    </row>
    <row r="567" spans="1:14" ht="17.850000000000001" customHeight="1" thickBot="1" x14ac:dyDescent="0.5">
      <c r="A567" s="684" t="str">
        <f>A$499</f>
        <v>Nicht verrechenb. Zeit</v>
      </c>
      <c r="B567" s="685"/>
      <c r="C567" s="686"/>
      <c r="D567" s="687">
        <f ca="1">H563*G561</f>
        <v>0</v>
      </c>
      <c r="E567" s="688">
        <f ca="1">H563*H561</f>
        <v>0</v>
      </c>
      <c r="F567" s="706" t="s">
        <v>203</v>
      </c>
      <c r="G567" s="690">
        <f ca="1">D567</f>
        <v>0</v>
      </c>
      <c r="H567" s="691" t="str">
        <f>IF(D569=_Ja,"",E568)</f>
        <v/>
      </c>
      <c r="I567" s="624"/>
      <c r="J567" s="1135"/>
      <c r="L567" s="216"/>
    </row>
    <row r="568" spans="1:14" ht="17.850000000000001" customHeight="1" x14ac:dyDescent="0.45">
      <c r="A568" s="692"/>
      <c r="B568" s="693"/>
      <c r="C568" s="694" t="s">
        <v>56</v>
      </c>
      <c r="D568" s="695">
        <f ca="1">SUM(D566:D567)</f>
        <v>0</v>
      </c>
      <c r="E568" s="696">
        <f ca="1">SUM(E566:E567)</f>
        <v>0</v>
      </c>
      <c r="F568" s="707" t="s">
        <v>86</v>
      </c>
      <c r="G568" s="708" t="e">
        <f ca="1">G567/G566</f>
        <v>#DIV/0!</v>
      </c>
      <c r="H568" s="709">
        <f ca="1">IF(D569=_Ja,$H$73,H567/H566)</f>
        <v>0.151</v>
      </c>
      <c r="I568" s="625" t="str">
        <f>IF(D569=_Ja,"X","")</f>
        <v>X</v>
      </c>
      <c r="L568" s="216"/>
    </row>
    <row r="569" spans="1:14" ht="17.850000000000001" customHeight="1" thickBot="1" x14ac:dyDescent="0.5">
      <c r="A569" s="2469" t="str">
        <f ca="1">"Ø AKV Pkt B ist "&amp;TEXT($H$73,"0,00%")&amp;". Beibehalten?"</f>
        <v>Ø AKV Pkt B ist 15,10%. Beibehalten?</v>
      </c>
      <c r="B569" s="2470"/>
      <c r="C569" s="2471"/>
      <c r="D569" s="823" t="s">
        <v>192</v>
      </c>
      <c r="E569" s="2361" t="s">
        <v>381</v>
      </c>
      <c r="F569" s="2363"/>
      <c r="G569" s="378"/>
      <c r="H569" s="379"/>
      <c r="I569" s="625" t="str">
        <f>IF(OR(G569&lt;&gt;0,H569&lt;&gt;0),"X","")</f>
        <v/>
      </c>
      <c r="L569" s="216"/>
    </row>
    <row r="570" spans="1:14" ht="17.850000000000001" customHeight="1" x14ac:dyDescent="0.45">
      <c r="A570" s="2514"/>
      <c r="B570" s="2515"/>
      <c r="C570" s="2515"/>
      <c r="D570" s="2515"/>
      <c r="E570" s="2527" t="s">
        <v>554</v>
      </c>
      <c r="F570" s="2528"/>
      <c r="G570" s="86" t="e">
        <f ca="1">SUM(G568,G569)</f>
        <v>#DIV/0!</v>
      </c>
      <c r="H570" s="154">
        <f ca="1">SUM(H568,H569)</f>
        <v>0.151</v>
      </c>
      <c r="I570" s="624"/>
      <c r="L570" s="216"/>
    </row>
    <row r="571" spans="1:14" ht="17.850000000000001" customHeight="1" x14ac:dyDescent="0.45">
      <c r="A571" s="2913"/>
      <c r="B571" s="2911"/>
      <c r="C571" s="2911"/>
      <c r="D571" s="2911"/>
      <c r="E571" s="2911"/>
      <c r="F571" s="2912"/>
      <c r="G571" s="368" t="s">
        <v>121</v>
      </c>
      <c r="H571" s="369" t="s">
        <v>122</v>
      </c>
      <c r="I571" s="624"/>
      <c r="L571" s="216"/>
    </row>
    <row r="572" spans="1:14" ht="17.95" customHeight="1" x14ac:dyDescent="0.45">
      <c r="A572" s="370" t="s">
        <v>382</v>
      </c>
      <c r="B572" s="371"/>
      <c r="C572" s="371"/>
      <c r="D572" s="2900" t="str">
        <f>IF(A557=0,"Beschäftigungsgruppe wählen!",A557)</f>
        <v>Beschäftigungsgruppe wählen!</v>
      </c>
      <c r="E572" s="2900"/>
      <c r="F572" s="2900"/>
      <c r="G572" s="2900"/>
      <c r="H572" s="623" t="str">
        <f ca="1">IFERROR(' K3 Regie3'!N$45,"??")</f>
        <v>??</v>
      </c>
      <c r="I572" s="624"/>
      <c r="L572" s="216"/>
    </row>
    <row r="573" spans="1:14" ht="17.850000000000001" customHeight="1" x14ac:dyDescent="0.45">
      <c r="A573" s="2410" t="s">
        <v>630</v>
      </c>
      <c r="B573" s="2411"/>
      <c r="C573" s="2411"/>
      <c r="D573" s="2411"/>
      <c r="E573" s="2411"/>
      <c r="F573" s="2411"/>
      <c r="G573" s="2411"/>
      <c r="H573" s="2411"/>
      <c r="I573" s="624"/>
      <c r="J573" s="2487" t="str">
        <f>IF(OR(I574="X",I579="X"),M$301,"")</f>
        <v/>
      </c>
      <c r="K573" s="2487"/>
      <c r="L573" s="2488"/>
    </row>
    <row r="574" spans="1:14" ht="17.850000000000001" customHeight="1" x14ac:dyDescent="0.45">
      <c r="A574" s="2285" t="s">
        <v>702</v>
      </c>
      <c r="B574" s="2286"/>
      <c r="C574" s="2287"/>
      <c r="D574" s="862" t="s">
        <v>700</v>
      </c>
      <c r="E574" s="2299" t="s">
        <v>898</v>
      </c>
      <c r="F574" s="2300"/>
      <c r="G574" s="2328"/>
      <c r="H574" s="1007">
        <f>IFERROR(VLOOKUP(E574,M574:N576,2,FALSE),"")</f>
        <v>0</v>
      </c>
      <c r="I574" s="625" t="str">
        <f>IF(E574&lt;&gt;M574,"X","")</f>
        <v/>
      </c>
      <c r="J574" s="2487"/>
      <c r="K574" s="2487"/>
      <c r="L574" s="2488"/>
      <c r="M574" s="2018" t="str">
        <f t="shared" ref="M574:N576" si="49">M438</f>
        <v>1. Standard (ÖN B 2110) ohne Zulagen</v>
      </c>
      <c r="N574" s="2094">
        <f t="shared" si="49"/>
        <v>0</v>
      </c>
    </row>
    <row r="575" spans="1:14" ht="17.850000000000001" customHeight="1" thickBot="1" x14ac:dyDescent="0.5">
      <c r="A575" s="669" t="s">
        <v>628</v>
      </c>
      <c r="B575" s="670"/>
      <c r="C575" s="671" t="s">
        <v>627</v>
      </c>
      <c r="D575" s="671" t="s">
        <v>629</v>
      </c>
      <c r="E575" s="671" t="s">
        <v>159</v>
      </c>
      <c r="F575" s="671" t="s">
        <v>8</v>
      </c>
      <c r="G575" s="671" t="s">
        <v>9</v>
      </c>
      <c r="H575" s="672" t="s">
        <v>10</v>
      </c>
      <c r="I575" s="624"/>
      <c r="L575" s="216"/>
      <c r="M575" s="2018" t="str">
        <f t="shared" si="49"/>
        <v>2. Wert gem Kalkulation Pkt D (K3_PP)</v>
      </c>
      <c r="N575" s="2094">
        <f ca="1">N439</f>
        <v>0.03</v>
      </c>
    </row>
    <row r="576" spans="1:14" ht="30" customHeight="1" thickTop="1" x14ac:dyDescent="0.45">
      <c r="A576" s="2389"/>
      <c r="B576" s="2390"/>
      <c r="C576" s="763">
        <v>1</v>
      </c>
      <c r="D576" s="868">
        <v>1</v>
      </c>
      <c r="E576" s="869" t="str">
        <f>IF(ISBLANK(A576),"",IF(L$27="",IFERROR(VLOOKUP(A576,Stammdaten!$A$70:$C$96,3,FALSE),KALKULATION!$M$283),"ungültig"))</f>
        <v/>
      </c>
      <c r="F576" s="673" t="str">
        <f>IFERROR(C576*D576*E576,"")</f>
        <v/>
      </c>
      <c r="G576" s="674">
        <f ca="1">IFERROR(VLOOKUP(A576,Stammdaten!$A$70:$C$96,2,FALSE),"")</f>
        <v>0</v>
      </c>
      <c r="H576" s="675">
        <f ca="1">IFERROR(C576*D576*G576,"")</f>
        <v>0</v>
      </c>
      <c r="I576" s="624"/>
      <c r="J576" s="2487" t="str">
        <f>VLOOKUP(E579,M579:Q582,5,FALSE)</f>
        <v>Hinweis zu R4.b - 1.) Wenn der Regiepreis keine Arbeitszeitzuschläge enthalten soll (Regelung gem ÖN B 2110) ist diese Einstellung (1.) zutreffend.</v>
      </c>
      <c r="K576" s="2487"/>
      <c r="L576" s="2488"/>
      <c r="M576" s="2018" t="str">
        <f t="shared" si="49"/>
        <v>3. Eigene Kalkulation für den Regiepreis</v>
      </c>
      <c r="N576" s="1955" t="str">
        <f t="shared" si="49"/>
        <v>berechnen:</v>
      </c>
    </row>
    <row r="577" spans="1:18" ht="17.850000000000001" customHeight="1" x14ac:dyDescent="0.45">
      <c r="A577" s="863"/>
      <c r="B577" s="864"/>
      <c r="C577" s="864"/>
      <c r="D577" s="871" t="s">
        <v>703</v>
      </c>
      <c r="E577" s="870">
        <f ca="1">' K3 Regie3'!O$21</f>
        <v>0</v>
      </c>
      <c r="F577" s="867">
        <f ca="1">IFERROR(F576/E577,0)</f>
        <v>0</v>
      </c>
      <c r="G577" s="865" t="str">
        <f ca="1">IF(G576=0,"",$G$131)</f>
        <v/>
      </c>
      <c r="H577" s="1004">
        <f ca="1">IFERROR(H576*G577,0)</f>
        <v>0</v>
      </c>
      <c r="I577" s="624"/>
      <c r="J577" s="2487"/>
      <c r="K577" s="2487"/>
      <c r="L577" s="2488"/>
    </row>
    <row r="578" spans="1:18" ht="17.850000000000001" customHeight="1" x14ac:dyDescent="0.45">
      <c r="A578" s="392" t="s">
        <v>766</v>
      </c>
      <c r="B578" s="67"/>
      <c r="C578" s="346"/>
      <c r="D578" s="346"/>
      <c r="E578" s="346"/>
      <c r="F578" s="497"/>
      <c r="G578" s="346"/>
      <c r="H578" s="92">
        <f>IF(E574=M576,SUM(F577,H577),H574)</f>
        <v>0</v>
      </c>
      <c r="I578" s="624"/>
      <c r="J578" s="2487"/>
      <c r="K578" s="2487"/>
      <c r="L578" s="2488"/>
      <c r="M578" s="1965" t="str">
        <f>M$442</f>
        <v>DD Arbeitszeitzuschläge</v>
      </c>
      <c r="N578" s="1965"/>
      <c r="O578" s="1965"/>
      <c r="P578" s="1965" t="str">
        <f t="shared" ref="P578" si="50">P$442</f>
        <v>Text in K3</v>
      </c>
      <c r="Q578" s="1965" t="str">
        <f>Q$442</f>
        <v>Text in Kalk</v>
      </c>
    </row>
    <row r="579" spans="1:18" ht="17.850000000000001" customHeight="1" x14ac:dyDescent="0.45">
      <c r="A579" s="2491" t="s">
        <v>562</v>
      </c>
      <c r="B579" s="2492"/>
      <c r="C579" s="2492"/>
      <c r="D579" s="925" t="s">
        <v>768</v>
      </c>
      <c r="E579" s="2300" t="s">
        <v>879</v>
      </c>
      <c r="F579" s="2300"/>
      <c r="G579" s="2300"/>
      <c r="H579" s="995">
        <f>IFERROR(VLOOKUP(E579,M579:N582,2,FALSE),"x")</f>
        <v>0</v>
      </c>
      <c r="I579" s="625" t="str">
        <f>IF(E579&lt;&gt;M579,"X","")</f>
        <v/>
      </c>
      <c r="J579" s="2487"/>
      <c r="K579" s="2487"/>
      <c r="L579" s="2488"/>
      <c r="M579" s="2018" t="str">
        <f>M$443</f>
        <v>1. Standard (ÖN B 2110) ohne Zuschlag</v>
      </c>
      <c r="N579" s="2003">
        <f t="shared" ref="N579:Q579" si="51">N$443</f>
        <v>0</v>
      </c>
      <c r="O579" s="1955"/>
      <c r="P579" s="1955" t="str">
        <f t="shared" si="51"/>
        <v>Regiestunde</v>
      </c>
      <c r="Q579" s="1955" t="str">
        <f t="shared" si="51"/>
        <v>Hinweis zu R4.b - 1.) Wenn der Regiepreis keine Arbeitszeitzuschläge enthalten soll (Regelung gem ÖN B 2110) ist diese Einstellung (1.) zutreffend.</v>
      </c>
    </row>
    <row r="580" spans="1:18" ht="17.850000000000001" customHeight="1" x14ac:dyDescent="0.45">
      <c r="A580" s="2412" t="s">
        <v>561</v>
      </c>
      <c r="B580" s="2413"/>
      <c r="C580" s="2413"/>
      <c r="D580" s="2413"/>
      <c r="E580" s="551" t="s">
        <v>376</v>
      </c>
      <c r="F580" s="522" t="s">
        <v>192</v>
      </c>
      <c r="G580" s="923">
        <v>1</v>
      </c>
      <c r="H580" s="604"/>
      <c r="I580" s="625" t="str">
        <f>IF(AND(E579=M582,F580=_Ja),"X","")</f>
        <v/>
      </c>
      <c r="J580" s="2334" t="str">
        <f>IF(OR(F580=$Q$31,F580=$Q$32),"","Bitte Ja oder Nein wählen!")</f>
        <v/>
      </c>
      <c r="K580" s="2334"/>
      <c r="L580" s="2335"/>
      <c r="M580" s="2018" t="str">
        <f>M$444</f>
        <v>2. Regie mit Ø-Zuschlag wie K3 Zeile 8</v>
      </c>
      <c r="N580" s="2003">
        <f t="shared" ref="N580:Q580" ca="1" si="52">N$444</f>
        <v>2.5999999999999999E-2</v>
      </c>
      <c r="O580" s="1955"/>
      <c r="P580" s="1955" t="str">
        <f t="shared" si="52"/>
        <v>Regiestd. (Ø-% wie K3 Z 8)</v>
      </c>
      <c r="Q580" s="1955" t="str">
        <f t="shared" si="5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45">
      <c r="A581" s="538" t="s">
        <v>377</v>
      </c>
      <c r="B581" s="2331"/>
      <c r="C581" s="2332"/>
      <c r="D581" s="2333"/>
      <c r="E581" s="540" t="str">
        <f>IF(OR(ISBLANK(B581),F580=_Nein),"",IFERROR(VLOOKUP(B581,Stammdaten!A$39:C$48,3,FALSE),KALKULATION!$M$283))</f>
        <v/>
      </c>
      <c r="F581" s="1098"/>
      <c r="G581" s="542"/>
      <c r="H581" s="605"/>
      <c r="I581" s="625"/>
      <c r="J581" s="2306" t="str">
        <f>IF(F580&lt;&gt;$Q$31,"",IF(AND(E581=KALKULATION!$M$283,F580=$Q$31),"Auswahl erneut vornehmen (ungültiger Verweis)!",IF(OR(AND(F580=$Q$31,B581=""),AND(F580=$Q$32,B581&lt;&gt;"")),"Eingabe unvollständig (ergänzen,  löschen od Nein wählen)!","")))</f>
        <v>Eingabe unvollständig (ergänzen,  löschen od Nein wählen)!</v>
      </c>
      <c r="K581" s="2306"/>
      <c r="L581" s="2307"/>
      <c r="M581" s="2018" t="str">
        <f>M$445</f>
        <v>3. Regie mit Std-Zuschlag wie K3</v>
      </c>
      <c r="N581" s="2003">
        <f t="shared" ref="N581:Q581" ca="1" si="53">N$445</f>
        <v>0.67330000000000001</v>
      </c>
      <c r="O581" s="1955"/>
      <c r="P581" s="1955" t="str">
        <f t="shared" si="53"/>
        <v>Regiestd. (Std-% analog K3)</v>
      </c>
      <c r="Q581" s="1955" t="str">
        <f t="shared" si="5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45">
      <c r="A582" s="2480" t="s">
        <v>135</v>
      </c>
      <c r="B582" s="2481"/>
      <c r="C582" s="2481"/>
      <c r="D582" s="2481"/>
      <c r="E582" s="539">
        <f ca="1">IFERROR(IF(VLOOKUP(B581,Stammdaten!A$39:C$48,2,FALSE)=0,1,(VLOOKUP(B581,Stammdaten!A$39:C$48,2,FALSE))),"")</f>
        <v>1</v>
      </c>
      <c r="F582" s="1098"/>
      <c r="G582" s="543"/>
      <c r="H582" s="606"/>
      <c r="I582" s="625"/>
      <c r="L582" s="216"/>
      <c r="M582" s="2018" t="str">
        <f>M$446</f>
        <v>4. Regie berechnen</v>
      </c>
      <c r="N582" s="1955" t="str">
        <f t="shared" ref="N582:Q582" si="54">N$446</f>
        <v>berechnen:</v>
      </c>
      <c r="O582" s="1955"/>
      <c r="P582" s="1955"/>
      <c r="Q582" s="1955" t="str">
        <f t="shared" si="54"/>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45">
      <c r="A583" s="2498" t="s">
        <v>558</v>
      </c>
      <c r="B583" s="2499"/>
      <c r="C583" s="2499"/>
      <c r="D583" s="2499"/>
      <c r="E583" s="2500"/>
      <c r="F583" s="351">
        <v>1</v>
      </c>
      <c r="G583" s="544">
        <f>IF(F583=1,1,IF(F583=2,((' K3 Regie3'!O$23+' K3 Regie3'!O$24)/' K3 Regie3'!O$23),IF(F583&gt;2,((' K3 Regie3'!O$23+' K3 Regie3'!O$24+' K3 Regie3'!O$25)/' K3 Regie3'!O$23),"")))</f>
        <v>1</v>
      </c>
      <c r="H583" s="605" t="str">
        <f ca="1">IFERROR(IF(AND(F580=$Q$31,F583&gt;0),(E581*E582*G583),""),"??")</f>
        <v>??</v>
      </c>
      <c r="I583" s="625"/>
      <c r="J583" s="1087" t="str">
        <f>IF(F580&lt;&gt;$Q$31,"",IF(AND(ISBLANK(F583),F580=$Q$31),"Kennzeichen setzen!",""))</f>
        <v/>
      </c>
      <c r="K583" s="1087"/>
      <c r="L583" s="365"/>
      <c r="M583" s="2072" t="s">
        <v>863</v>
      </c>
      <c r="R583" s="1969"/>
    </row>
    <row r="584" spans="1:18" ht="17.850000000000001" customHeight="1" x14ac:dyDescent="0.45">
      <c r="A584" s="2412" t="s">
        <v>563</v>
      </c>
      <c r="B584" s="2413"/>
      <c r="C584" s="2413"/>
      <c r="D584" s="2413"/>
      <c r="E584" s="551" t="s">
        <v>376</v>
      </c>
      <c r="F584" s="522" t="s">
        <v>192</v>
      </c>
      <c r="G584" s="541"/>
      <c r="H584" s="604"/>
      <c r="I584" s="625" t="str">
        <f>IF(AND(E579=M582,F584=_Ja),"X","")</f>
        <v/>
      </c>
      <c r="J584" s="2334"/>
      <c r="K584" s="2334"/>
      <c r="L584" s="2335"/>
      <c r="M584" s="1338" t="s">
        <v>856</v>
      </c>
      <c r="N584" s="2073" t="str">
        <f>IF(E579=M580,P580,IF(E579=M581,P581,IF(AND(E579=M582,F580=_Ja),B581,P579)))</f>
        <v>Regiestunde</v>
      </c>
      <c r="O584" s="2068"/>
      <c r="P584" s="2003" t="str">
        <f>IF(AND(E579=M582,F580=_Ja),TEXT(E581,"0%"),IF(N584=P580,TEXT(N580,"0,00%"),IF(N584=P581,TEXT($P$113,"0%"),"")))</f>
        <v/>
      </c>
      <c r="R584" s="1969"/>
    </row>
    <row r="585" spans="1:18" ht="17.850000000000001" customHeight="1" x14ac:dyDescent="0.45">
      <c r="A585" s="538" t="s">
        <v>377</v>
      </c>
      <c r="B585" s="2331"/>
      <c r="C585" s="2332"/>
      <c r="D585" s="2333"/>
      <c r="E585" s="547" t="str">
        <f>IF(OR(ISBLANK(B585),F584=_Nein),"",IFERROR(VLOOKUP(B585,Stammdaten!A$50:C$54,3,FALSE),KALKULATION!$M$283))</f>
        <v/>
      </c>
      <c r="F585" s="1098"/>
      <c r="G585" s="542"/>
      <c r="H585" s="605"/>
      <c r="I585" s="625"/>
      <c r="J585" s="2306" t="str">
        <f>IF(F584&lt;&gt;$Q$31,"",IF(AND(E585=KALKULATION!$M$283,F584=$Q$31),"Auswahl erneut vornehmen (ungültiger Verweis)!",IF(OR(AND(F584=$Q$31,B585=""),AND(F584=$Q$32,B585&lt;&gt;"")),"Eingabe unvollständig (ergänzen,  löschen od Nein wählen)!","")))</f>
        <v>Eingabe unvollständig (ergänzen,  löschen od Nein wählen)!</v>
      </c>
      <c r="K585" s="2306"/>
      <c r="L585" s="2307"/>
      <c r="M585" s="1338" t="s">
        <v>860</v>
      </c>
      <c r="N585" s="2074" t="str">
        <f>IF(AND(E579=M582,F584=_Ja),B585,"")</f>
        <v/>
      </c>
      <c r="O585" s="2075"/>
      <c r="P585" s="2003" t="str">
        <f>IF(N585="","",E585)</f>
        <v/>
      </c>
      <c r="Q585" s="1943"/>
      <c r="R585" s="2076"/>
    </row>
    <row r="586" spans="1:18" ht="17.850000000000001" customHeight="1" x14ac:dyDescent="0.45">
      <c r="A586" s="2403" t="s">
        <v>198</v>
      </c>
      <c r="B586" s="2404"/>
      <c r="C586" s="2404"/>
      <c r="D586" s="2404"/>
      <c r="E586" s="539">
        <f ca="1">IFERROR(IF(VLOOKUP(B585,Stammdaten!A$50:C$54,2,FALSE)=0,1,(VLOOKUP(B585,Stammdaten!A$50:C$54,2,FALSE))),"")</f>
        <v>1</v>
      </c>
      <c r="F586" s="1098"/>
      <c r="G586" s="543"/>
      <c r="H586" s="606"/>
      <c r="I586" s="625"/>
      <c r="L586" s="216"/>
      <c r="M586" s="1338" t="s">
        <v>861</v>
      </c>
      <c r="N586" s="2074" t="str">
        <f>IF(AND(E579=M582,F588=_Ja),B589,"")</f>
        <v/>
      </c>
      <c r="O586" s="2018"/>
      <c r="P586" s="2077" t="str">
        <f>IF(N586="","",E589)</f>
        <v/>
      </c>
      <c r="Q586" s="1943"/>
      <c r="R586" s="2076"/>
    </row>
    <row r="587" spans="1:18" ht="17.850000000000001" customHeight="1" x14ac:dyDescent="0.45">
      <c r="A587" s="2498" t="str">
        <f>A583</f>
        <v xml:space="preserve">  Basis für die Aufzahlung in % (siehe Pkt C0; KZ = 1, 2, 3 od. 4):  ↓</v>
      </c>
      <c r="B587" s="2499"/>
      <c r="C587" s="2499"/>
      <c r="D587" s="2499"/>
      <c r="E587" s="2500"/>
      <c r="F587" s="351">
        <v>1</v>
      </c>
      <c r="G587" s="544">
        <f>IF(F587=1,1,IF(F587=2,((' K3 Regie3'!O$23+' K3 Regie3'!O$24)/' K3 Regie3'!O$23),IF(F587&gt;2,((' K3 Regie3'!O$23+' K3 Regie3'!O$24+' K3 Regie3'!O$25)/' K3 Regie3'!O$23),"")))</f>
        <v>1</v>
      </c>
      <c r="H587" s="605" t="str">
        <f ca="1">IFERROR(IF(F584=$Q$31,(E585*E586*G587),""),"??")</f>
        <v>??</v>
      </c>
      <c r="I587" s="625"/>
      <c r="J587" s="2334" t="str">
        <f>IF(F584&lt;&gt;$Q$31,"",IF(AND(ISBLANK(F587),F584=$Q$31),"Kennzeichen setzen!",""))</f>
        <v/>
      </c>
      <c r="K587" s="2334"/>
      <c r="L587" s="360"/>
      <c r="M587" s="1338" t="s">
        <v>865</v>
      </c>
      <c r="N587" s="1338">
        <f>IF(AND(N585&lt;&gt;"",N586&lt;&gt;""),2,IF(N585&amp;N586="",0,1))</f>
        <v>0</v>
      </c>
      <c r="R587" s="1969"/>
    </row>
    <row r="588" spans="1:18" ht="17.850000000000001" customHeight="1" x14ac:dyDescent="0.45">
      <c r="A588" s="2412" t="s">
        <v>564</v>
      </c>
      <c r="B588" s="2413"/>
      <c r="C588" s="2413"/>
      <c r="D588" s="2413"/>
      <c r="E588" s="551" t="s">
        <v>376</v>
      </c>
      <c r="F588" s="522" t="s">
        <v>192</v>
      </c>
      <c r="G588" s="545"/>
      <c r="H588" s="607"/>
      <c r="I588" s="625" t="str">
        <f>IF(AND(E579=M582,F588=_Ja),"X","")</f>
        <v/>
      </c>
      <c r="J588" s="2334"/>
      <c r="K588" s="2334"/>
      <c r="L588" s="2335"/>
      <c r="M588" s="1971"/>
      <c r="N588" s="2078" t="str">
        <f>IF(N587=2," "&amp;N585&amp;" "&amp;", "&amp;N586,IF(N587=1," "&amp;N585&amp;N586,""))</f>
        <v/>
      </c>
      <c r="O588" s="2078"/>
      <c r="P588" s="1971"/>
      <c r="Q588" s="1971"/>
      <c r="R588" s="1978"/>
    </row>
    <row r="589" spans="1:18" ht="17.850000000000001" customHeight="1" x14ac:dyDescent="0.45">
      <c r="A589" s="550" t="s">
        <v>377</v>
      </c>
      <c r="B589" s="2332"/>
      <c r="C589" s="2332"/>
      <c r="D589" s="2332"/>
      <c r="E589" s="548" t="str">
        <f>IF(OR(ISBLANK(B589),F588=_Nein),"",IFERROR(VLOOKUP(B589,Stammdaten!A$57:C$61,2,FALSE),KALKULATION!$M$283))</f>
        <v/>
      </c>
      <c r="F589" s="549" t="s">
        <v>197</v>
      </c>
      <c r="G589" s="546">
        <f ca="1">' K3 Regie3'!$O$21</f>
        <v>0</v>
      </c>
      <c r="H589" s="608" t="str">
        <f ca="1">IFERROR(IF(F588=$Q$31,E589/G589,""),"??")</f>
        <v>??</v>
      </c>
      <c r="I589" s="625"/>
      <c r="J589" s="271" t="str">
        <f>IF(AND(F588=$Q$31,B589=""),"Eingabe unvollständig (ergänzen od Nein wählen)!","")</f>
        <v>Eingabe unvollständig (ergänzen od Nein wählen)!</v>
      </c>
      <c r="L589" s="216"/>
    </row>
    <row r="590" spans="1:18" ht="17.850000000000001" customHeight="1" x14ac:dyDescent="0.45">
      <c r="A590" s="2243" t="s">
        <v>389</v>
      </c>
      <c r="B590" s="2336"/>
      <c r="C590" s="2336"/>
      <c r="D590" s="2336"/>
      <c r="E590" s="373"/>
      <c r="F590" s="377">
        <f>IF(F584=$Q$31,B585,IF(F588=$Q$31,B589,""))</f>
        <v>0</v>
      </c>
      <c r="G590" s="377" t="str">
        <f ca="1">IF(F584=$Q$31,TEXT(H587,"0%"),IF(F588=$Q$31,TEXT(G589,"0,00€"),""))</f>
        <v>??</v>
      </c>
      <c r="H590" s="609">
        <f>IF(E579=M582,SUM(H580:H589),H579)</f>
        <v>0</v>
      </c>
      <c r="I590" s="628"/>
      <c r="L590" s="216"/>
    </row>
    <row r="591" spans="1:18" ht="17.850000000000001" customHeight="1" x14ac:dyDescent="0.45">
      <c r="A591" s="2891" t="str">
        <f>A$455</f>
        <v>Standardmäßig sind die Werte aus der Mittelpersonal-preiskalkulation (Blatt K3_PP) übernommen; sie sind überschreibbar.</v>
      </c>
      <c r="B591" s="2892"/>
      <c r="C591" s="2892"/>
      <c r="D591" s="2893"/>
      <c r="E591" s="2399" t="str">
        <f>E$455</f>
        <v xml:space="preserve">Standard-werte sind
</v>
      </c>
      <c r="F591" s="2399"/>
      <c r="G591" s="2399" t="str">
        <f>G$455</f>
        <v>Optional überschrei-ben mit:</v>
      </c>
      <c r="H591" s="2493" t="str">
        <f>H$455</f>
        <v>Übertrag in K3 Regie</v>
      </c>
      <c r="I591" s="628"/>
      <c r="L591" s="216"/>
    </row>
    <row r="592" spans="1:18" ht="17.850000000000001" customHeight="1" x14ac:dyDescent="0.45">
      <c r="A592" s="2894"/>
      <c r="B592" s="2895"/>
      <c r="C592" s="2895"/>
      <c r="D592" s="2896"/>
      <c r="E592" s="2400"/>
      <c r="F592" s="2400"/>
      <c r="G592" s="2400"/>
      <c r="H592" s="2494"/>
      <c r="I592" s="628"/>
      <c r="L592" s="216"/>
    </row>
    <row r="593" spans="1:16" ht="17.850000000000001" customHeight="1" thickBot="1" x14ac:dyDescent="0.5">
      <c r="A593" s="2897"/>
      <c r="B593" s="2898"/>
      <c r="C593" s="2898"/>
      <c r="D593" s="2899"/>
      <c r="E593" s="2401"/>
      <c r="F593" s="2401"/>
      <c r="G593" s="2401"/>
      <c r="H593" s="2495"/>
      <c r="I593" s="628"/>
      <c r="L593" s="216"/>
    </row>
    <row r="594" spans="1:16" ht="17.850000000000001" customHeight="1" thickTop="1" x14ac:dyDescent="0.45">
      <c r="A594" s="2243" t="s">
        <v>384</v>
      </c>
      <c r="B594" s="2336"/>
      <c r="C594" s="2336"/>
      <c r="D594" s="2244"/>
      <c r="E594" s="51">
        <f ca="1">$H$228</f>
        <v>3.3</v>
      </c>
      <c r="F594" s="1883">
        <f>H563/G563</f>
        <v>0</v>
      </c>
      <c r="G594" s="364"/>
      <c r="H594" s="361">
        <f ca="1">IF(ISBLANK(G594),E594*(1+F594),G594)</f>
        <v>3.3</v>
      </c>
      <c r="I594" s="625" t="str">
        <f>IF(ISBLANK(G594),"","X")</f>
        <v/>
      </c>
      <c r="L594" s="216"/>
    </row>
    <row r="595" spans="1:16" ht="17.850000000000001" customHeight="1" x14ac:dyDescent="0.45">
      <c r="A595" s="2285" t="s">
        <v>385</v>
      </c>
      <c r="B595" s="2286"/>
      <c r="C595" s="2286"/>
      <c r="D595" s="2287"/>
      <c r="E595" s="48">
        <f ca="1">IF(E574=M575,$G$227,$G$229)</f>
        <v>1.5</v>
      </c>
      <c r="F595" s="1884">
        <f>H563/G563</f>
        <v>0</v>
      </c>
      <c r="G595" s="341"/>
      <c r="H595" s="362">
        <f ca="1">IF(ISBLANK(G595),E595*(1+F595),G595)</f>
        <v>1.5</v>
      </c>
      <c r="I595" s="625" t="str">
        <f>IF(ISBLANK(G595),"","X")</f>
        <v/>
      </c>
      <c r="L595" s="216"/>
    </row>
    <row r="596" spans="1:16" ht="17.850000000000001" customHeight="1" x14ac:dyDescent="0.45">
      <c r="A596" s="2285" t="s">
        <v>386</v>
      </c>
      <c r="B596" s="2286"/>
      <c r="C596" s="2286"/>
      <c r="D596" s="2287"/>
      <c r="E596" s="157">
        <f ca="1">$H$236</f>
        <v>0.30270000000000002</v>
      </c>
      <c r="F596" s="156"/>
      <c r="G596" s="337"/>
      <c r="H596" s="363">
        <f ca="1">IF(ISBLANK(G596),E596,G596)</f>
        <v>0.30270000000000002</v>
      </c>
      <c r="I596" s="625" t="str">
        <f ca="1">IF(OR(G596&lt;&gt;0,E596&lt;&gt;H596),"X","")</f>
        <v/>
      </c>
      <c r="J596" s="2308" t="str">
        <f>IF(G596="","","Hinweis: DPNK lassen sich genau bestimmen/nachrechnen!")</f>
        <v/>
      </c>
      <c r="K596" s="2308"/>
      <c r="L596" s="2309"/>
    </row>
    <row r="597" spans="1:16" ht="17.850000000000001" customHeight="1" x14ac:dyDescent="0.45">
      <c r="A597" s="2285" t="s">
        <v>387</v>
      </c>
      <c r="B597" s="2286"/>
      <c r="C597" s="2286"/>
      <c r="D597" s="2287"/>
      <c r="E597" s="157">
        <f ca="1">$H$265</f>
        <v>0.66</v>
      </c>
      <c r="F597" s="156"/>
      <c r="G597" s="337"/>
      <c r="H597" s="363">
        <f ca="1">IF(ISBLANK(G597),E597,G597)</f>
        <v>0.66</v>
      </c>
      <c r="I597" s="625" t="str">
        <f ca="1">IF(OR(G597&lt;&gt;0,E597&lt;&gt;H597),"X","")</f>
        <v/>
      </c>
      <c r="L597" s="216"/>
    </row>
    <row r="598" spans="1:16" ht="17.850000000000001" customHeight="1" x14ac:dyDescent="0.45">
      <c r="A598" s="2285" t="s">
        <v>388</v>
      </c>
      <c r="B598" s="2286"/>
      <c r="C598" s="2286"/>
      <c r="D598" s="2287"/>
      <c r="E598" s="48">
        <f ca="1">H$276</f>
        <v>7.0000000000000007E-2</v>
      </c>
      <c r="F598" s="156"/>
      <c r="G598" s="565"/>
      <c r="H598" s="362">
        <f ca="1">IF(ISBLANK(G598),E598,G598)</f>
        <v>7.0000000000000007E-2</v>
      </c>
      <c r="I598" s="625" t="str">
        <f ca="1">IF(OR(G598&lt;&gt;0,E598&lt;&gt;H598),"X","")</f>
        <v/>
      </c>
      <c r="L598" s="216"/>
    </row>
    <row r="599" spans="1:16" ht="17.850000000000001" customHeight="1" x14ac:dyDescent="0.45">
      <c r="A599" s="2285" t="s">
        <v>592</v>
      </c>
      <c r="B599" s="2287"/>
      <c r="C599" s="199">
        <f>$E$306</f>
        <v>4.7500000000000001E-2</v>
      </c>
      <c r="D599" s="48">
        <f ca="1">$F$307</f>
        <v>3.21</v>
      </c>
      <c r="E599" s="338"/>
      <c r="F599" s="364"/>
      <c r="G599" s="363">
        <f>IF(ISBLANK(E599),C599,E599)</f>
        <v>4.7500000000000001E-2</v>
      </c>
      <c r="H599" s="361">
        <f ca="1">IF(ISBLANK(F599),D599,F599)</f>
        <v>3.21</v>
      </c>
      <c r="I599" s="625" t="str">
        <f>IF(OR(F599&lt;&gt;0,E599&lt;&gt;0),"X","")</f>
        <v/>
      </c>
      <c r="L599" s="216"/>
    </row>
    <row r="600" spans="1:16" ht="17.850000000000001" customHeight="1" x14ac:dyDescent="0.45">
      <c r="A600" s="2491" t="str">
        <f ca="1">"R5)"&amp;IF($G$327=0," Keine Umlagen unter Pkt H1 bzw H2 angelgt!"," Umlagen (K3 Spalte A)")</f>
        <v>R5) Keine Umlagen unter Pkt H1 bzw H2 angelgt!</v>
      </c>
      <c r="B600" s="2492"/>
      <c r="C600" s="2492"/>
      <c r="D600" s="2492"/>
      <c r="E600" s="2492"/>
      <c r="F600" s="2492"/>
      <c r="G600" s="2492"/>
      <c r="H600" s="2492"/>
      <c r="I600" s="628"/>
      <c r="L600" s="216"/>
      <c r="M600" s="1338">
        <f>ROW()</f>
        <v>600</v>
      </c>
      <c r="N600" s="1338">
        <f>M600-M554</f>
        <v>600</v>
      </c>
    </row>
    <row r="601" spans="1:16" ht="17.850000000000001" customHeight="1" thickBot="1" x14ac:dyDescent="0.5">
      <c r="A601" s="2338" t="s">
        <v>560</v>
      </c>
      <c r="B601" s="2339"/>
      <c r="C601" s="2339"/>
      <c r="D601" s="2339"/>
      <c r="E601" s="521" t="str">
        <f ca="1">IF(SUM(F602:G604)&lt;&gt;$H$327,"!","")</f>
        <v/>
      </c>
      <c r="F601" s="712" t="s">
        <v>69</v>
      </c>
      <c r="G601" s="744" t="s">
        <v>671</v>
      </c>
      <c r="H601" s="1005" t="e">
        <f ca="1">' K3 Regie3'!O33</f>
        <v>#DIV/0!</v>
      </c>
      <c r="I601" s="628"/>
      <c r="J601" s="2426" t="str">
        <f ca="1">IF(E601="!","Hinweis: Es sind nicht alle oder andere Umlagen wie oben (Pkt H) für K3 ausgewählt! Berechnung erfolgt mit den hier ausgewählten Umlagen.","")</f>
        <v/>
      </c>
      <c r="K601" s="2426"/>
      <c r="L601" s="2427"/>
    </row>
    <row r="602" spans="1:16" ht="17.850000000000001" customHeight="1" thickTop="1" x14ac:dyDescent="0.45">
      <c r="A602" s="2337"/>
      <c r="B602" s="2337"/>
      <c r="C602" s="2337"/>
      <c r="D602" s="2337"/>
      <c r="E602" s="2337"/>
      <c r="F602" s="85" t="str">
        <f>IF(A602="","",IFERROR(VLOOKUP(A602,A$329:E$333,2,FALSE),KALKULATION!$M$283))</f>
        <v/>
      </c>
      <c r="G602" s="158" t="str">
        <f>IF(A602="","",IFERROR(VLOOKUP(A602,A$329:E$333,3,FALSE),""))</f>
        <v/>
      </c>
      <c r="H602" s="85" t="str">
        <f>IF(OR(G602="",G602=0),"",G602*H$601)</f>
        <v/>
      </c>
      <c r="I602" s="628"/>
      <c r="J602" s="2426"/>
      <c r="K602" s="2426"/>
      <c r="L602" s="2427"/>
    </row>
    <row r="603" spans="1:16" ht="17.850000000000001" customHeight="1" x14ac:dyDescent="0.45">
      <c r="A603" s="2402"/>
      <c r="B603" s="2402"/>
      <c r="C603" s="2402"/>
      <c r="D603" s="2402"/>
      <c r="E603" s="2402"/>
      <c r="F603" s="85" t="str">
        <f>IF(A603="","",IFERROR(VLOOKUP(A603,A$329:E$333,2,FALSE),KALKULATION!$M$283))</f>
        <v/>
      </c>
      <c r="G603" s="158" t="str">
        <f t="shared" ref="G603:G604" si="55">IF(A603="","",IFERROR(VLOOKUP(A603,A$329:E$333,3,FALSE),""))</f>
        <v/>
      </c>
      <c r="H603" s="85" t="str">
        <f t="shared" ref="H603:H604" si="56">IF(OR(G603="",G603=0),"",G603*H$601)</f>
        <v/>
      </c>
      <c r="I603" s="628"/>
      <c r="J603" s="2426"/>
      <c r="K603" s="2426"/>
      <c r="L603" s="2427"/>
      <c r="M603" s="2079" t="s">
        <v>641</v>
      </c>
      <c r="N603" s="2079" t="str">
        <f>$A$413&amp;" gesamt"</f>
        <v>Regielohnpreis gesamt</v>
      </c>
      <c r="O603" s="2079"/>
      <c r="P603" s="2080"/>
    </row>
    <row r="604" spans="1:16" ht="17.850000000000001" customHeight="1" x14ac:dyDescent="0.45">
      <c r="A604" s="2402"/>
      <c r="B604" s="2402"/>
      <c r="C604" s="2402"/>
      <c r="D604" s="2402"/>
      <c r="E604" s="2402"/>
      <c r="F604" s="84" t="str">
        <f>IF(A604="","",IFERROR(VLOOKUP(A604,A$329:E$333,2,FALSE),KALKULATION!$M$283))</f>
        <v/>
      </c>
      <c r="G604" s="50" t="str">
        <f t="shared" si="55"/>
        <v/>
      </c>
      <c r="H604" s="84" t="str">
        <f t="shared" si="56"/>
        <v/>
      </c>
      <c r="I604" s="628"/>
      <c r="L604" s="216"/>
      <c r="M604" s="2079" t="s">
        <v>412</v>
      </c>
      <c r="N604" s="2079" t="str">
        <f>IF(A557="","",A557)</f>
        <v/>
      </c>
      <c r="O604" s="2081"/>
      <c r="P604" s="2082"/>
    </row>
    <row r="605" spans="1:16" ht="17.850000000000001" customHeight="1" x14ac:dyDescent="0.45">
      <c r="A605" s="2391" t="str">
        <f>IF(SUM(F602:H604)=0,"R5.b) GZ auf UMLAGEN - keine Umlagen ausgewählt (oder in Pkt H1 angelegt)","R5.b) GZ auf UMLAGEN")</f>
        <v>R5.b) GZ auf UMLAGEN - keine Umlagen ausgewählt (oder in Pkt H1 angelegt)</v>
      </c>
      <c r="B605" s="2392"/>
      <c r="C605" s="2392"/>
      <c r="D605" s="2392"/>
      <c r="E605" s="2392"/>
      <c r="F605" s="2393"/>
      <c r="G605" s="2393"/>
      <c r="H605" s="2392"/>
      <c r="I605" s="628"/>
      <c r="L605" s="216"/>
      <c r="M605" s="2083" t="s">
        <v>721</v>
      </c>
      <c r="N605" s="2083" t="str">
        <f>IF(C614="","",C614)</f>
        <v/>
      </c>
      <c r="O605" s="2079"/>
      <c r="P605" s="2080"/>
    </row>
    <row r="606" spans="1:16" ht="17.850000000000001" customHeight="1" x14ac:dyDescent="0.45">
      <c r="A606" s="2243" t="s">
        <v>559</v>
      </c>
      <c r="B606" s="2336"/>
      <c r="C606" s="2336"/>
      <c r="D606" s="2299"/>
      <c r="E606" s="2300"/>
      <c r="F606" s="2328"/>
      <c r="G606" s="199" t="str">
        <f>IF(D606="","",IFERROR(VLOOKUP(D606,'K2 GZ'!I$25:M$32,5,FALSE),KALKULATION!$M$283))</f>
        <v/>
      </c>
      <c r="H606" s="1006" t="str">
        <f ca="1">IF($G$327=0,"",IF(G606=KALKULATION!$M$283,"",IF(SUM(F602:H604)=0,"",IF(D606="",$G$346,G606))))</f>
        <v/>
      </c>
      <c r="I606" s="625" t="str">
        <f>IF(AND(D606&lt;&gt;"",SUM(F602:H604)&lt;&gt;0),"X","")</f>
        <v/>
      </c>
      <c r="J606" s="2306" t="str">
        <f ca="1">IF(G606=KALKULATION!$M$283,"Auswahl erneut vornehmen (ungült. Verweis)/Text löschen!",IF(AND(H606="",SUM(F602:G604)&lt;&gt;0),"GZ fehlt oder gleich 0!)",""))</f>
        <v/>
      </c>
      <c r="K606" s="2306"/>
      <c r="L606" s="2307"/>
      <c r="M606" s="2083" t="s">
        <v>722</v>
      </c>
      <c r="N606" s="2083" t="str">
        <f>IF(N605=""," für ["&amp;N604&amp;"]"," für ["&amp;N605&amp;"]")</f>
        <v xml:space="preserve"> für []</v>
      </c>
      <c r="O606" s="2083"/>
      <c r="P606" s="2083" t="str">
        <f>IF(N605="",""," für ["&amp;N605&amp;" | "&amp;N604&amp;"]")</f>
        <v/>
      </c>
    </row>
    <row r="607" spans="1:16" ht="17.850000000000001" customHeight="1" x14ac:dyDescent="0.45">
      <c r="A607" s="2519"/>
      <c r="B607" s="2520"/>
      <c r="C607" s="2520"/>
      <c r="D607" s="2520"/>
      <c r="E607" s="2520"/>
      <c r="F607" s="2520"/>
      <c r="G607" s="2520"/>
      <c r="H607" s="2520"/>
      <c r="I607" s="625"/>
      <c r="L607" s="216"/>
      <c r="M607" s="2083" t="s">
        <v>639</v>
      </c>
      <c r="N607" s="2084" t="str">
        <f ca="1">IF(AND(E579=M582,H583&lt;&gt;"")," als ["&amp;B581&amp;TEXT(E581," (0%)")&amp;"]",IF(E579=M580," mit [Ø Zuschlag gem K3 Mittelpersonalpreis Z 8]",IF(E579=M581," mit [Aufzahlung pro Std gem K3 Mittelpersonalpreis]","")))</f>
        <v/>
      </c>
      <c r="O607" s="2083"/>
      <c r="P607" s="2085"/>
    </row>
    <row r="608" spans="1:16" ht="17.850000000000001" customHeight="1" x14ac:dyDescent="0.45">
      <c r="A608" s="2391" t="str">
        <f>A$472</f>
        <v>R6) GZ auf PERSONALKOSTEN (K3 Spalte B)</v>
      </c>
      <c r="B608" s="2392"/>
      <c r="C608" s="2392"/>
      <c r="D608" s="2521"/>
      <c r="E608" s="2521"/>
      <c r="F608" s="2521"/>
      <c r="G608" s="2521"/>
      <c r="H608" s="2521"/>
      <c r="I608" s="629"/>
      <c r="L608" s="216"/>
      <c r="M608" s="2086" t="s">
        <v>640</v>
      </c>
      <c r="N608" s="2087" t="str">
        <f>IF(N588="",""," in ["&amp;N588&amp;"]")</f>
        <v/>
      </c>
      <c r="O608" s="2086"/>
      <c r="P608" s="2088"/>
    </row>
    <row r="609" spans="1:20" ht="17.850000000000001" customHeight="1" x14ac:dyDescent="0.45">
      <c r="A609" s="2243" t="s">
        <v>559</v>
      </c>
      <c r="B609" s="2336"/>
      <c r="C609" s="2336"/>
      <c r="D609" s="2299"/>
      <c r="E609" s="2300"/>
      <c r="F609" s="2328"/>
      <c r="G609" s="196" t="str">
        <f>IF(D609="","",IFERROR(VLOOKUP(D609,'K2 GZ'!I$25:M$32,5,FALSE),KALKULATION!$M$283))</f>
        <v/>
      </c>
      <c r="H609" s="1054">
        <f>IF(G609=KALKULATION!$M$283,"",IF(D609="",$G$345,G609))</f>
        <v>0.28000000000000003</v>
      </c>
      <c r="I609" s="625" t="str">
        <f>IF(D609&lt;&gt;"","X","")</f>
        <v/>
      </c>
      <c r="J609" s="2306" t="str">
        <f>IF(G609=KALKULATION!$M$283,"Auswahl erneut vornehmen (ungültiger Verweis)!",IF(H609=KALKULATION!$M$283,"GZ aus K2-Blatt wählen!",""))</f>
        <v/>
      </c>
      <c r="K609" s="2306"/>
      <c r="L609" s="2307"/>
      <c r="M609" s="2083"/>
      <c r="N609" s="2089"/>
      <c r="O609" s="2083"/>
      <c r="P609" s="2085"/>
    </row>
    <row r="610" spans="1:20" ht="20" customHeight="1" x14ac:dyDescent="0.45">
      <c r="A610" s="1188" t="s">
        <v>391</v>
      </c>
      <c r="B610" s="836"/>
      <c r="C610" s="3052" t="str">
        <f>D572</f>
        <v>Beschäftigungsgruppe wählen!</v>
      </c>
      <c r="D610" s="3052"/>
      <c r="E610" s="3052"/>
      <c r="F610" s="622" t="s">
        <v>259</v>
      </c>
      <c r="G610" s="837" t="e">
        <f ca="1">H610/D557-1</f>
        <v>#VALUE!</v>
      </c>
      <c r="H610" s="838" t="str">
        <f ca="1">IFERROR(' K3 Regie3'!N$45,"??")</f>
        <v>??</v>
      </c>
      <c r="I610" s="629"/>
      <c r="J610" s="47"/>
      <c r="K610" s="47"/>
      <c r="L610" s="591"/>
      <c r="M610" s="2081"/>
      <c r="N610" s="2090"/>
      <c r="O610" s="2081"/>
      <c r="P610" s="2082"/>
      <c r="Q610" s="1944"/>
      <c r="R610" s="2608"/>
      <c r="S610" s="2608"/>
      <c r="T610" s="2608"/>
    </row>
    <row r="611" spans="1:20" ht="17.850000000000001" customHeight="1" x14ac:dyDescent="0.45">
      <c r="A611" s="2522" t="s">
        <v>712</v>
      </c>
      <c r="B611" s="2523"/>
      <c r="C611" s="2901" t="str">
        <f ca="1">IFERROR(VLOOKUP(A613,M612:N618,2,FALSE),KALKULATION!$M$283)</f>
        <v>Regielohnpreis gesamt für []</v>
      </c>
      <c r="D611" s="2902"/>
      <c r="E611" s="2902"/>
      <c r="F611" s="2902"/>
      <c r="G611" s="2902"/>
      <c r="H611" s="2902"/>
      <c r="I611" s="629"/>
      <c r="J611" s="2340" t="str">
        <f ca="1">IF(OR(H609&lt;Report!$G$13,KALKULATION!H609&gt;Report!$F$13,AND(SUM(KALKULATION!F602:H604)&lt;&gt;0,OR(H606&lt;Report!$G$13,KALKULATION!H606&gt;Report!$F$13))),"Hinweis: GZ in R5.b oder R6 liegt außerhalb der empfohlenen Grenzwerte gem Blatt REPORT!","")</f>
        <v/>
      </c>
      <c r="K611" s="2340"/>
      <c r="L611" s="2341"/>
      <c r="M611" s="2091" t="s">
        <v>677</v>
      </c>
      <c r="N611" s="2091"/>
      <c r="Q611" s="1944"/>
      <c r="R611" s="2093"/>
      <c r="S611" s="2093"/>
      <c r="T611" s="2093"/>
    </row>
    <row r="612" spans="1:20" ht="17.850000000000001" customHeight="1" x14ac:dyDescent="0.45">
      <c r="A612" s="2524"/>
      <c r="B612" s="2525"/>
      <c r="C612" s="2903"/>
      <c r="D612" s="2512"/>
      <c r="E612" s="2512"/>
      <c r="F612" s="2512"/>
      <c r="G612" s="2512"/>
      <c r="H612" s="2512"/>
      <c r="I612" s="629"/>
      <c r="J612" s="2342"/>
      <c r="K612" s="2342"/>
      <c r="L612" s="2343"/>
      <c r="M612" s="2091" t="s">
        <v>715</v>
      </c>
      <c r="N612" s="2091" t="str">
        <f>N603</f>
        <v>Regielohnpreis gesamt</v>
      </c>
      <c r="Q612" s="1944"/>
      <c r="R612" s="2093"/>
      <c r="S612" s="2093"/>
      <c r="T612" s="2093"/>
    </row>
    <row r="613" spans="1:20" ht="17.850000000000001" customHeight="1" x14ac:dyDescent="0.45">
      <c r="A613" s="2907" t="s">
        <v>719</v>
      </c>
      <c r="B613" s="2908"/>
      <c r="C613" s="2904"/>
      <c r="D613" s="2513"/>
      <c r="E613" s="2513"/>
      <c r="F613" s="2513"/>
      <c r="G613" s="2513"/>
      <c r="H613" s="2513"/>
      <c r="I613" s="629"/>
      <c r="L613" s="216"/>
      <c r="M613" s="2091" t="s">
        <v>716</v>
      </c>
      <c r="N613" s="2091" t="str">
        <f>N603&amp;N606</f>
        <v>Regielohnpreis gesamt für []</v>
      </c>
      <c r="Q613" s="1944"/>
      <c r="R613" s="2093"/>
      <c r="S613" s="2093"/>
      <c r="T613" s="2093"/>
    </row>
    <row r="614" spans="1:20" ht="17.850000000000001" customHeight="1" x14ac:dyDescent="0.45">
      <c r="A614" s="3012" t="str">
        <f>A$478</f>
        <v>Bezeichnung zusätzlich:</v>
      </c>
      <c r="B614" s="3013"/>
      <c r="C614" s="1093"/>
      <c r="D614" s="879"/>
      <c r="E614" s="879"/>
      <c r="F614" s="879"/>
      <c r="G614" s="879"/>
      <c r="H614" s="879"/>
      <c r="I614" s="629"/>
      <c r="L614" s="216"/>
      <c r="M614" s="2091" t="s">
        <v>717</v>
      </c>
      <c r="N614" s="2091" t="str">
        <f>N603&amp;P606</f>
        <v>Regielohnpreis gesamt</v>
      </c>
      <c r="Q614" s="1944"/>
      <c r="R614" s="2093"/>
      <c r="S614" s="2093"/>
      <c r="T614" s="2093"/>
    </row>
    <row r="615" spans="1:20" ht="17.850000000000001" customHeight="1" x14ac:dyDescent="0.45">
      <c r="A615" s="2522" t="str">
        <f>A$479</f>
        <v>Individuelle Bezeichnung für Wahl in R7.a:</v>
      </c>
      <c r="B615" s="2523"/>
      <c r="C615" s="3038"/>
      <c r="D615" s="3039"/>
      <c r="E615" s="3039"/>
      <c r="F615" s="3039"/>
      <c r="G615" s="3039"/>
      <c r="H615" s="3039"/>
      <c r="I615" s="629"/>
      <c r="L615" s="216"/>
      <c r="M615" s="2091" t="s">
        <v>718</v>
      </c>
      <c r="N615" s="2091" t="str">
        <f ca="1">N612&amp;N607&amp;N608</f>
        <v>Regielohnpreis gesamt</v>
      </c>
      <c r="Q615" s="1944"/>
      <c r="R615" s="2093"/>
      <c r="S615" s="2093"/>
      <c r="T615" s="2093"/>
    </row>
    <row r="616" spans="1:20" ht="17.850000000000001" customHeight="1" x14ac:dyDescent="0.45">
      <c r="A616" s="3016"/>
      <c r="B616" s="3031"/>
      <c r="C616" s="3040"/>
      <c r="D616" s="3041"/>
      <c r="E616" s="3041"/>
      <c r="F616" s="3041"/>
      <c r="G616" s="3041"/>
      <c r="H616" s="3041"/>
      <c r="I616" s="629"/>
      <c r="L616" s="216"/>
      <c r="M616" s="2091" t="s">
        <v>719</v>
      </c>
      <c r="N616" s="2091" t="str">
        <f ca="1">N613&amp;N607&amp;N608</f>
        <v>Regielohnpreis gesamt für []</v>
      </c>
      <c r="Q616" s="1944"/>
      <c r="R616" s="2093"/>
      <c r="S616" s="2093"/>
      <c r="T616" s="2093"/>
    </row>
    <row r="617" spans="1:20" ht="17.850000000000001" customHeight="1" x14ac:dyDescent="0.45">
      <c r="A617" s="2997"/>
      <c r="B617" s="2998"/>
      <c r="C617" s="2998"/>
      <c r="D617" s="2998"/>
      <c r="E617" s="2998"/>
      <c r="F617" s="2998"/>
      <c r="G617" s="2998"/>
      <c r="H617" s="2998"/>
      <c r="I617" s="2998"/>
      <c r="L617" s="216"/>
      <c r="M617" s="2091" t="s">
        <v>720</v>
      </c>
      <c r="N617" s="2091" t="str">
        <f ca="1">N614&amp;N607&amp;N608</f>
        <v>Regielohnpreis gesamt</v>
      </c>
      <c r="Q617" s="1944"/>
      <c r="R617" s="2093"/>
      <c r="S617" s="2093"/>
      <c r="T617" s="2093"/>
    </row>
    <row r="618" spans="1:20" ht="17.850000000000001" customHeight="1" x14ac:dyDescent="0.45">
      <c r="A618" s="2317" t="s">
        <v>670</v>
      </c>
      <c r="B618" s="2472"/>
      <c r="C618" s="2472"/>
      <c r="D618" s="2472"/>
      <c r="E618" s="2472"/>
      <c r="F618" s="2472"/>
      <c r="G618" s="2472"/>
      <c r="H618" s="2472"/>
      <c r="I618" s="2472"/>
      <c r="J618" s="45"/>
      <c r="L618" s="216"/>
      <c r="M618" s="2091" t="s">
        <v>714</v>
      </c>
      <c r="N618" s="2091" t="str">
        <f>IF(C615="","",C615)</f>
        <v/>
      </c>
      <c r="Q618" s="1944"/>
      <c r="R618" s="2093"/>
      <c r="S618" s="2093"/>
      <c r="T618" s="2093"/>
    </row>
    <row r="619" spans="1:20" ht="17.850000000000001" customHeight="1" x14ac:dyDescent="0.45">
      <c r="A619" s="2317"/>
      <c r="B619" s="2472"/>
      <c r="C619" s="2472"/>
      <c r="D619" s="2472"/>
      <c r="E619" s="2472"/>
      <c r="F619" s="2472"/>
      <c r="G619" s="2472"/>
      <c r="H619" s="2472"/>
      <c r="I619" s="2472"/>
      <c r="J619" s="46"/>
      <c r="K619" s="47"/>
      <c r="L619" s="591"/>
      <c r="M619" s="1944"/>
      <c r="N619" s="1944"/>
      <c r="O619" s="1944"/>
      <c r="P619" s="1944"/>
    </row>
    <row r="620" spans="1:20" ht="17.850000000000001" customHeight="1" x14ac:dyDescent="0.45">
      <c r="A620" s="3042"/>
      <c r="B620" s="3042"/>
      <c r="C620" s="3042"/>
      <c r="D620" s="3042"/>
      <c r="E620" s="3042"/>
      <c r="F620" s="3042"/>
      <c r="G620" s="3042"/>
      <c r="H620" s="3042"/>
      <c r="I620" s="3042"/>
      <c r="L620" s="216"/>
    </row>
    <row r="621" spans="1:20" ht="25.05" customHeight="1" x14ac:dyDescent="0.65">
      <c r="A621" s="2978" t="str">
        <f>$A$413&amp;" 4"&amp;IF(A625=""," [keine Beschäftigungsgruppe ausgewählt]",IF(D625=KALKULATION!$M$283," - [nicht vorhandene Beschäftigungsgruppe]"," - kalkuliert für ["&amp;LEFT(A625,40)&amp;"]"))</f>
        <v>Regielohnpreis 4 [keine Beschäftigungsgruppe ausgewählt]</v>
      </c>
      <c r="B621" s="2979"/>
      <c r="C621" s="2979"/>
      <c r="D621" s="2979"/>
      <c r="E621" s="2979"/>
      <c r="F621" s="2979"/>
      <c r="G621" s="2979"/>
      <c r="H621" s="2979"/>
      <c r="I621" s="1216"/>
      <c r="J621" s="59"/>
      <c r="K621" s="59"/>
      <c r="L621" s="590"/>
    </row>
    <row r="622" spans="1:20" ht="17.850000000000001" customHeight="1" x14ac:dyDescent="0.45">
      <c r="A622" s="2317" t="s">
        <v>531</v>
      </c>
      <c r="B622" s="2501"/>
      <c r="C622" s="2502"/>
      <c r="D622" s="2506"/>
      <c r="E622" s="2507"/>
      <c r="F622" s="2507"/>
      <c r="G622" s="2507"/>
      <c r="H622" s="2507"/>
      <c r="I622" s="616"/>
      <c r="L622" s="216"/>
    </row>
    <row r="623" spans="1:20" ht="17.850000000000001" customHeight="1" x14ac:dyDescent="0.45">
      <c r="A623" s="2503"/>
      <c r="B623" s="2504"/>
      <c r="C623" s="2505"/>
      <c r="D623" s="2508"/>
      <c r="E623" s="2509"/>
      <c r="F623" s="2509"/>
      <c r="G623" s="2509"/>
      <c r="H623" s="2509"/>
      <c r="I623" s="616"/>
      <c r="L623" s="216"/>
    </row>
    <row r="624" spans="1:20" ht="17.850000000000001" customHeight="1" thickBot="1" x14ac:dyDescent="0.5">
      <c r="A624" s="2511" t="s">
        <v>378</v>
      </c>
      <c r="B624" s="2511"/>
      <c r="C624" s="2511"/>
      <c r="D624" s="2511"/>
      <c r="E624" s="712" t="s">
        <v>18</v>
      </c>
      <c r="F624" s="712" t="s">
        <v>68</v>
      </c>
      <c r="G624" s="1008" t="s">
        <v>72</v>
      </c>
      <c r="H624" s="1116" t="s">
        <v>73</v>
      </c>
      <c r="I624" s="616"/>
      <c r="L624" s="216"/>
    </row>
    <row r="625" spans="1:12" ht="17.850000000000001" customHeight="1" thickTop="1" thickBot="1" x14ac:dyDescent="0.5">
      <c r="A625" s="2931"/>
      <c r="B625" s="2932"/>
      <c r="C625" s="2933"/>
      <c r="D625" s="51">
        <f ca="1">IFERROR(VLOOKUP(A625,Stammdaten!A$7:D$33,4,FALSE),$M$283)</f>
        <v>0</v>
      </c>
      <c r="E625" s="518">
        <v>1</v>
      </c>
      <c r="F625" s="519">
        <v>1</v>
      </c>
      <c r="G625" s="349">
        <f ca="1">IFERROR(VLOOKUP(A625,Stammdaten!A$7:F$33,4,FALSE)*F625,"")</f>
        <v>0</v>
      </c>
      <c r="H625" s="520">
        <f ca="1">IFERROR(VLOOKUP(A625,Stammdaten!A$7:F$33,6,FALSE)*F625,"")</f>
        <v>0</v>
      </c>
      <c r="I625" s="616"/>
      <c r="J625" s="2306" t="str">
        <f ca="1">IF(D625=KALKULATION!$M$283,"Auswahl erneut vornehmen (ungültiger Verweis)!","")</f>
        <v/>
      </c>
      <c r="K625" s="2306"/>
      <c r="L625" s="2307"/>
    </row>
    <row r="626" spans="1:12" ht="17.850000000000001" customHeight="1" x14ac:dyDescent="0.45">
      <c r="A626" s="2548" t="s">
        <v>92</v>
      </c>
      <c r="B626" s="2549"/>
      <c r="C626" s="2549"/>
      <c r="D626" s="2550"/>
      <c r="E626" s="49">
        <f>E625</f>
        <v>1</v>
      </c>
      <c r="F626" s="50">
        <v>1</v>
      </c>
      <c r="G626" s="51">
        <f ca="1">IF(AND(_OK?="OK!",_OK_KV?="OK_KV!"),SUM(G625),ROUNDUP(G625,0))</f>
        <v>0</v>
      </c>
      <c r="H626" s="84">
        <f ca="1">SUM(H625:H625)</f>
        <v>0</v>
      </c>
      <c r="I626" s="617" t="str">
        <f ca="1">IF(OR(_OK?&lt;&gt;"OK!",_OK_KV?&lt;&gt;"OK_KV!"),"X","")</f>
        <v/>
      </c>
      <c r="J626" s="1109"/>
      <c r="K626" s="1109"/>
      <c r="L626" s="270"/>
    </row>
    <row r="627" spans="1:12" ht="17.850000000000001" customHeight="1" x14ac:dyDescent="0.45">
      <c r="A627" s="2491" t="s">
        <v>892</v>
      </c>
      <c r="B627" s="2492"/>
      <c r="C627" s="2492"/>
      <c r="D627" s="2492"/>
      <c r="E627" s="2492"/>
      <c r="F627" s="2492"/>
      <c r="G627" s="2492"/>
      <c r="H627" s="2492"/>
      <c r="I627" s="616"/>
      <c r="J627" s="1109"/>
      <c r="K627" s="1109"/>
      <c r="L627" s="216"/>
    </row>
    <row r="628" spans="1:12" ht="17.850000000000001" customHeight="1" thickBot="1" x14ac:dyDescent="0.5">
      <c r="A628" s="2446"/>
      <c r="B628" s="2447"/>
      <c r="C628" s="2448"/>
      <c r="D628" s="60">
        <f ca="1">IFERROR(VLOOKUP(A628,Stammdaten!A$7:D$33,4,FALSE),$M$283)</f>
        <v>0</v>
      </c>
      <c r="E628" s="359"/>
      <c r="F628" s="53" t="str">
        <f>IFERROR(IF(A628&lt;&gt;"",E628/E629,""),"")</f>
        <v/>
      </c>
      <c r="G628" s="60" t="str">
        <f ca="1">IFERROR(VLOOKUP(A628,Stammdaten!A$7:F$33,4,FALSE)*F628,"")</f>
        <v/>
      </c>
      <c r="H628" s="569" t="str">
        <f ca="1">IFERROR(VLOOKUP(A628,Stammdaten!A$7:F$33,6,FALSE)*F628,"")</f>
        <v/>
      </c>
      <c r="I628" s="618"/>
      <c r="J628" s="2306" t="str">
        <f ca="1">IF(OR(COUNTA(A628,E628)=2,COUNTA(A628,E628)=0),IF(D628=KALKULATION!$M$283,"Auswahl erneut vornehmen (ungültiger Verweis)!",""),"Eingabe unvollständig (ergänzen oder löschen)!")</f>
        <v/>
      </c>
      <c r="K628" s="2306"/>
      <c r="L628" s="2307"/>
    </row>
    <row r="629" spans="1:12" ht="17.850000000000001" customHeight="1" x14ac:dyDescent="0.45">
      <c r="A629" s="392" t="s">
        <v>92</v>
      </c>
      <c r="B629" s="373"/>
      <c r="C629" s="373"/>
      <c r="D629" s="212"/>
      <c r="E629" s="64">
        <f>SUM(E628:E628)</f>
        <v>0</v>
      </c>
      <c r="F629" s="50">
        <f>SUM(F628:F628)</f>
        <v>0</v>
      </c>
      <c r="G629" s="51">
        <f ca="1">SUM(G628:G628)</f>
        <v>0</v>
      </c>
      <c r="H629" s="84">
        <f ca="1">SUM(H628:H628)</f>
        <v>0</v>
      </c>
      <c r="I629" s="616"/>
      <c r="J629" s="2306" t="str">
        <f ca="1">IF(E629&gt;=E626,"Unzulässige Umlage (R2 größer/gleich R1)!!!",IF(AND(E629&lt;&gt;0,G626=0),"Beschäftigungsgruppe in R1 wählen!",""))</f>
        <v/>
      </c>
      <c r="K629" s="2306"/>
      <c r="L629" s="2307"/>
    </row>
    <row r="630" spans="1:12" ht="17.850000000000001" customHeight="1" x14ac:dyDescent="0.45">
      <c r="A630" s="2285" t="s">
        <v>697</v>
      </c>
      <c r="B630" s="2286"/>
      <c r="C630" s="2286"/>
      <c r="D630" s="2286"/>
      <c r="E630" s="2286"/>
      <c r="F630" s="2286"/>
      <c r="G630" s="2286"/>
      <c r="H630" s="570">
        <v>0</v>
      </c>
      <c r="I630" s="619"/>
      <c r="L630" s="216"/>
    </row>
    <row r="631" spans="1:12" ht="17.850000000000001" customHeight="1" x14ac:dyDescent="0.45">
      <c r="A631" s="2482"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483"/>
      <c r="C631" s="2483"/>
      <c r="D631" s="2483"/>
      <c r="E631" s="2483"/>
      <c r="F631" s="2483"/>
      <c r="G631" s="367">
        <f>IF(H630=1,E626,E626-E629)</f>
        <v>1</v>
      </c>
      <c r="H631" s="367">
        <f>E629</f>
        <v>0</v>
      </c>
      <c r="I631" s="616"/>
      <c r="J631" s="2334" t="str">
        <f>IF(AND(ISBLANK(H630),E629&lt;&gt;0),"Kennzeichen eingeben! Es sind unprod. Zeiten kalkuliert.","")</f>
        <v/>
      </c>
      <c r="K631" s="2334"/>
      <c r="L631" s="2335"/>
    </row>
    <row r="632" spans="1:12" ht="17.850000000000001" customHeight="1" x14ac:dyDescent="0.45">
      <c r="A632" s="2489"/>
      <c r="B632" s="2490"/>
      <c r="C632" s="2490"/>
      <c r="D632" s="2490"/>
      <c r="E632" s="2490"/>
      <c r="F632" s="2490"/>
      <c r="G632" s="2490"/>
      <c r="H632" s="2490"/>
      <c r="I632" s="616"/>
      <c r="J632" s="2414" t="str">
        <f>IFERROR(IF(H631/G631&gt;Report!$F$7,"Hinweis: Unproduktiver Anteil erscheint hoch!",""),"Der unprod. Anteil löst eine Division mit 0 aus!")</f>
        <v/>
      </c>
      <c r="K632" s="2414"/>
      <c r="L632" s="2415"/>
    </row>
    <row r="633" spans="1:12" ht="17.850000000000001" customHeight="1" thickBot="1" x14ac:dyDescent="0.5">
      <c r="A633" s="2324" t="s">
        <v>380</v>
      </c>
      <c r="B633" s="2325"/>
      <c r="C633" s="2526"/>
      <c r="D633" s="857" t="s">
        <v>72</v>
      </c>
      <c r="E633" s="858" t="s">
        <v>73</v>
      </c>
      <c r="F633" s="859" t="s">
        <v>118</v>
      </c>
      <c r="G633" s="860" t="s">
        <v>85</v>
      </c>
      <c r="H633" s="861" t="s">
        <v>73</v>
      </c>
      <c r="I633" s="616"/>
      <c r="L633" s="216"/>
    </row>
    <row r="634" spans="1:12" ht="17.850000000000001" customHeight="1" x14ac:dyDescent="0.45">
      <c r="A634" s="700" t="str">
        <f>A$498</f>
        <v>Verrechenbare Zeit</v>
      </c>
      <c r="B634" s="701"/>
      <c r="C634" s="702"/>
      <c r="D634" s="703">
        <f ca="1">G626*G631</f>
        <v>0</v>
      </c>
      <c r="E634" s="704">
        <f ca="1">G631*H626</f>
        <v>0</v>
      </c>
      <c r="F634" s="705" t="s">
        <v>204</v>
      </c>
      <c r="G634" s="682">
        <f ca="1">D634</f>
        <v>0</v>
      </c>
      <c r="H634" s="683" t="str">
        <f>IF(D637=_Ja,"",D636)</f>
        <v/>
      </c>
      <c r="I634" s="616"/>
      <c r="L634" s="216"/>
    </row>
    <row r="635" spans="1:12" ht="17.850000000000001" customHeight="1" thickBot="1" x14ac:dyDescent="0.5">
      <c r="A635" s="684" t="str">
        <f>A$499</f>
        <v>Nicht verrechenb. Zeit</v>
      </c>
      <c r="B635" s="685"/>
      <c r="C635" s="686"/>
      <c r="D635" s="687">
        <f ca="1">H631*G629</f>
        <v>0</v>
      </c>
      <c r="E635" s="688">
        <f ca="1">H631*H629</f>
        <v>0</v>
      </c>
      <c r="F635" s="706" t="s">
        <v>203</v>
      </c>
      <c r="G635" s="690">
        <f ca="1">D635</f>
        <v>0</v>
      </c>
      <c r="H635" s="691" t="str">
        <f>IF(D637=_Ja,"",E636)</f>
        <v/>
      </c>
      <c r="I635" s="616"/>
      <c r="L635" s="216"/>
    </row>
    <row r="636" spans="1:12" ht="17.850000000000001" customHeight="1" x14ac:dyDescent="0.45">
      <c r="A636" s="692"/>
      <c r="B636" s="693"/>
      <c r="C636" s="694" t="s">
        <v>56</v>
      </c>
      <c r="D636" s="695">
        <f ca="1">SUM(D634:D635)</f>
        <v>0</v>
      </c>
      <c r="E636" s="696">
        <f ca="1">SUM(E634:E635)</f>
        <v>0</v>
      </c>
      <c r="F636" s="707" t="s">
        <v>86</v>
      </c>
      <c r="G636" s="708" t="e">
        <f ca="1">G635/G634</f>
        <v>#DIV/0!</v>
      </c>
      <c r="H636" s="709">
        <f ca="1">IF(D637=_Ja,$H$73,H635/H634)</f>
        <v>0.151</v>
      </c>
      <c r="I636" s="620" t="str">
        <f>IF(D637=_Ja,"X","")</f>
        <v>X</v>
      </c>
      <c r="L636" s="216"/>
    </row>
    <row r="637" spans="1:12" ht="17.850000000000001" customHeight="1" thickBot="1" x14ac:dyDescent="0.5">
      <c r="A637" s="2469" t="str">
        <f ca="1">"Ø AKV Pkt B ist "&amp;TEXT($H$73,"0,00%")&amp;". Beibehalten?"</f>
        <v>Ø AKV Pkt B ist 15,10%. Beibehalten?</v>
      </c>
      <c r="B637" s="2470"/>
      <c r="C637" s="2471"/>
      <c r="D637" s="823" t="s">
        <v>192</v>
      </c>
      <c r="E637" s="2517" t="s">
        <v>381</v>
      </c>
      <c r="F637" s="2518"/>
      <c r="G637" s="378"/>
      <c r="H637" s="379"/>
      <c r="I637" s="620" t="str">
        <f>IF(OR(G637&lt;&gt;0,H637&lt;&gt;0),"X","")</f>
        <v/>
      </c>
      <c r="L637" s="216"/>
    </row>
    <row r="638" spans="1:12" ht="17.850000000000001" customHeight="1" x14ac:dyDescent="0.45">
      <c r="A638" s="2514"/>
      <c r="B638" s="2515"/>
      <c r="C638" s="2515"/>
      <c r="D638" s="2515"/>
      <c r="E638" s="2527" t="s">
        <v>554</v>
      </c>
      <c r="F638" s="2528"/>
      <c r="G638" s="86" t="e">
        <f ca="1">SUM(G636,G637)</f>
        <v>#DIV/0!</v>
      </c>
      <c r="H638" s="154">
        <f ca="1">SUM(H636,H637)</f>
        <v>0.151</v>
      </c>
      <c r="I638" s="616"/>
      <c r="L638" s="216"/>
    </row>
    <row r="639" spans="1:12" ht="17.850000000000001" customHeight="1" x14ac:dyDescent="0.45">
      <c r="A639" s="2478"/>
      <c r="B639" s="2516"/>
      <c r="C639" s="2516"/>
      <c r="D639" s="2516"/>
      <c r="E639" s="2478"/>
      <c r="F639" s="2479"/>
      <c r="G639" s="368" t="s">
        <v>121</v>
      </c>
      <c r="H639" s="369" t="s">
        <v>122</v>
      </c>
      <c r="I639" s="616"/>
      <c r="L639" s="216"/>
    </row>
    <row r="640" spans="1:12" ht="17.850000000000001" customHeight="1" x14ac:dyDescent="0.45">
      <c r="A640" s="1189" t="s">
        <v>382</v>
      </c>
      <c r="B640" s="833"/>
      <c r="C640" s="833"/>
      <c r="D640" s="2930" t="str">
        <f>IF(A625=0,"Beschäfftigungsgruppe wählen!",A625)</f>
        <v>Beschäfftigungsgruppe wählen!</v>
      </c>
      <c r="E640" s="2930"/>
      <c r="F640" s="2930"/>
      <c r="G640" s="2930"/>
      <c r="H640" s="835" t="str">
        <f ca="1">IFERROR(' K3 Regie4'!N$45,"??")</f>
        <v>??</v>
      </c>
      <c r="I640" s="616"/>
      <c r="L640" s="216"/>
    </row>
    <row r="641" spans="1:18" ht="17.850000000000001" customHeight="1" x14ac:dyDescent="0.45">
      <c r="A641" s="872" t="s">
        <v>630</v>
      </c>
      <c r="B641" s="873"/>
      <c r="C641" s="873"/>
      <c r="D641" s="873"/>
      <c r="E641" s="873"/>
      <c r="F641" s="873"/>
      <c r="G641" s="873"/>
      <c r="H641" s="873"/>
      <c r="I641" s="616"/>
      <c r="J641" s="3034" t="str">
        <f>IF(OR(I642="X",I647="X"),M$301,"")</f>
        <v/>
      </c>
      <c r="K641" s="3034"/>
      <c r="L641" s="3035"/>
    </row>
    <row r="642" spans="1:18" ht="17.850000000000001" customHeight="1" x14ac:dyDescent="0.45">
      <c r="A642" s="2285" t="s">
        <v>702</v>
      </c>
      <c r="B642" s="2286"/>
      <c r="C642" s="2287"/>
      <c r="D642" s="862" t="s">
        <v>700</v>
      </c>
      <c r="E642" s="2299" t="s">
        <v>898</v>
      </c>
      <c r="F642" s="2300"/>
      <c r="G642" s="2328"/>
      <c r="H642" s="1007">
        <f>IFERROR(VLOOKUP(E642,M642:N644,2,FALSE),"")</f>
        <v>0</v>
      </c>
      <c r="I642" s="620" t="str">
        <f>IF(E642&lt;&gt;M642,"X","")</f>
        <v/>
      </c>
      <c r="J642" s="3034"/>
      <c r="K642" s="3034"/>
      <c r="L642" s="3035"/>
      <c r="M642" s="2018" t="str">
        <f t="shared" ref="M642:N644" si="57">M438</f>
        <v>1. Standard (ÖN B 2110) ohne Zulagen</v>
      </c>
      <c r="N642" s="2094">
        <f t="shared" si="57"/>
        <v>0</v>
      </c>
    </row>
    <row r="643" spans="1:18" ht="17.850000000000001" customHeight="1" thickBot="1" x14ac:dyDescent="0.5">
      <c r="A643" s="669" t="s">
        <v>628</v>
      </c>
      <c r="B643" s="670"/>
      <c r="C643" s="671" t="s">
        <v>627</v>
      </c>
      <c r="D643" s="671" t="s">
        <v>629</v>
      </c>
      <c r="E643" s="671" t="s">
        <v>159</v>
      </c>
      <c r="F643" s="671" t="s">
        <v>8</v>
      </c>
      <c r="G643" s="671" t="s">
        <v>9</v>
      </c>
      <c r="H643" s="672" t="s">
        <v>10</v>
      </c>
      <c r="I643" s="616"/>
      <c r="L643" s="216"/>
      <c r="M643" s="2018" t="str">
        <f t="shared" si="57"/>
        <v>2. Wert gem Kalkulation Pkt D (K3_PP)</v>
      </c>
      <c r="N643" s="2094">
        <f ca="1">N439</f>
        <v>0.03</v>
      </c>
    </row>
    <row r="644" spans="1:18" ht="30" customHeight="1" thickTop="1" x14ac:dyDescent="0.45">
      <c r="A644" s="2389"/>
      <c r="B644" s="2390"/>
      <c r="C644" s="763">
        <v>1</v>
      </c>
      <c r="D644" s="868">
        <v>1</v>
      </c>
      <c r="E644" s="869" t="str">
        <f>IF(ISBLANK(A644),"",IF(L$27="",IFERROR(VLOOKUP(A644,Stammdaten!$A$70:$C$96,3,FALSE),KALKULATION!$M$283),"ungültig"))</f>
        <v/>
      </c>
      <c r="F644" s="673" t="str">
        <f>IFERROR(C644*D644*E644,"")</f>
        <v/>
      </c>
      <c r="G644" s="674">
        <f ca="1">IFERROR(VLOOKUP(A644,Stammdaten!$A$70:$C$96,2,FALSE),"")</f>
        <v>0</v>
      </c>
      <c r="H644" s="675">
        <f ca="1">IFERROR(C644*D644*G644,"")</f>
        <v>0</v>
      </c>
      <c r="I644" s="616"/>
      <c r="J644" s="2487" t="str">
        <f>VLOOKUP(E647,M647:Q650,5,FALSE)</f>
        <v>Hinweis zu R4.b - 1.) Wenn der Regiepreis keine Arbeitszeitzuschläge enthalten soll (Regelung gem ÖN B 2110) ist diese Einstellung (1.) zutreffend.</v>
      </c>
      <c r="K644" s="2487"/>
      <c r="L644" s="2488"/>
      <c r="M644" s="2018" t="str">
        <f t="shared" si="57"/>
        <v>3. Eigene Kalkulation für den Regiepreis</v>
      </c>
      <c r="N644" s="1955" t="str">
        <f t="shared" si="57"/>
        <v>berechnen:</v>
      </c>
    </row>
    <row r="645" spans="1:18" ht="17.850000000000001" customHeight="1" x14ac:dyDescent="0.45">
      <c r="A645" s="863"/>
      <c r="B645" s="864"/>
      <c r="C645" s="864"/>
      <c r="D645" s="871" t="s">
        <v>703</v>
      </c>
      <c r="E645" s="870">
        <f ca="1">' K3 Regie4'!O$21</f>
        <v>0</v>
      </c>
      <c r="F645" s="867">
        <f ca="1">IFERROR(F644/E645,0)</f>
        <v>0</v>
      </c>
      <c r="G645" s="865" t="str">
        <f ca="1">IF(G644=0,"",$G$131)</f>
        <v/>
      </c>
      <c r="H645" s="1004">
        <f ca="1">IFERROR(H644*G645,0)</f>
        <v>0</v>
      </c>
      <c r="I645" s="616"/>
      <c r="J645" s="2487"/>
      <c r="K645" s="2487"/>
      <c r="L645" s="2488"/>
    </row>
    <row r="646" spans="1:18" ht="17.850000000000001" customHeight="1" x14ac:dyDescent="0.45">
      <c r="A646" s="392" t="s">
        <v>766</v>
      </c>
      <c r="B646" s="67"/>
      <c r="C646" s="346"/>
      <c r="D646" s="346"/>
      <c r="E646" s="346"/>
      <c r="F646" s="497"/>
      <c r="G646" s="346"/>
      <c r="H646" s="92">
        <f>IF(E642=M644,SUM(F645,H645),H642)</f>
        <v>0</v>
      </c>
      <c r="I646" s="616"/>
      <c r="J646" s="2487"/>
      <c r="K646" s="2487"/>
      <c r="L646" s="2488"/>
      <c r="M646" s="1962" t="str">
        <f>M$442</f>
        <v>DD Arbeitszeitzuschläge</v>
      </c>
      <c r="N646" s="1962"/>
      <c r="O646" s="1962"/>
      <c r="P646" s="1962" t="str">
        <f t="shared" ref="P646" si="58">P$442</f>
        <v>Text in K3</v>
      </c>
      <c r="Q646" s="1962" t="str">
        <f>Q$442</f>
        <v>Text in Kalk</v>
      </c>
      <c r="R646" s="1964"/>
    </row>
    <row r="647" spans="1:18" ht="17.850000000000001" customHeight="1" x14ac:dyDescent="0.45">
      <c r="A647" s="2491" t="s">
        <v>562</v>
      </c>
      <c r="B647" s="2492"/>
      <c r="C647" s="2492"/>
      <c r="D647" s="924" t="s">
        <v>768</v>
      </c>
      <c r="E647" s="2299" t="s">
        <v>879</v>
      </c>
      <c r="F647" s="2300"/>
      <c r="G647" s="2300"/>
      <c r="H647" s="1007">
        <f>IFERROR(VLOOKUP(E647,M647:N650,2,FALSE),"")</f>
        <v>0</v>
      </c>
      <c r="I647" s="620" t="str">
        <f>IF(E647&lt;&gt;M647,"X","")</f>
        <v/>
      </c>
      <c r="J647" s="2487"/>
      <c r="K647" s="2487"/>
      <c r="L647" s="2488"/>
      <c r="M647" s="2018" t="str">
        <f>M$443</f>
        <v>1. Standard (ÖN B 2110) ohne Zuschlag</v>
      </c>
      <c r="N647" s="2003">
        <f t="shared" ref="N647:Q647" si="59">N$443</f>
        <v>0</v>
      </c>
      <c r="O647" s="1955"/>
      <c r="P647" s="1955" t="str">
        <f t="shared" si="59"/>
        <v>Regiestunde</v>
      </c>
      <c r="Q647" s="1955" t="str">
        <f t="shared" si="59"/>
        <v>Hinweis zu R4.b - 1.) Wenn der Regiepreis keine Arbeitszeitzuschläge enthalten soll (Regelung gem ÖN B 2110) ist diese Einstellung (1.) zutreffend.</v>
      </c>
      <c r="R647" s="1969"/>
    </row>
    <row r="648" spans="1:18" ht="17.850000000000001" customHeight="1" x14ac:dyDescent="0.45">
      <c r="A648" s="2412" t="s">
        <v>561</v>
      </c>
      <c r="B648" s="2413"/>
      <c r="C648" s="2413"/>
      <c r="D648" s="2413"/>
      <c r="E648" s="551" t="s">
        <v>376</v>
      </c>
      <c r="F648" s="522" t="s">
        <v>192</v>
      </c>
      <c r="G648" s="922">
        <v>1</v>
      </c>
      <c r="H648" s="604"/>
      <c r="I648" s="620" t="str">
        <f>IF(AND(E647=M650,F648=_Ja),"X","")</f>
        <v/>
      </c>
      <c r="J648" s="2334" t="str">
        <f>IF(OR(F648=$Q$31,F648=$Q$32),"","Bitte Ja oder Nein wählen!")</f>
        <v/>
      </c>
      <c r="K648" s="2334"/>
      <c r="L648" s="2335"/>
      <c r="M648" s="2018" t="str">
        <f>M$444</f>
        <v>2. Regie mit Ø-Zuschlag wie K3 Zeile 8</v>
      </c>
      <c r="N648" s="2003">
        <f t="shared" ref="N648:Q648" ca="1" si="60">N$444</f>
        <v>2.5999999999999999E-2</v>
      </c>
      <c r="O648" s="1955"/>
      <c r="P648" s="1955" t="str">
        <f t="shared" si="60"/>
        <v>Regiestd. (Ø-% wie K3 Z 8)</v>
      </c>
      <c r="Q648" s="1955" t="str">
        <f t="shared" si="60"/>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9"/>
    </row>
    <row r="649" spans="1:18" ht="17.850000000000001" customHeight="1" x14ac:dyDescent="0.45">
      <c r="A649" s="538" t="s">
        <v>377</v>
      </c>
      <c r="B649" s="2331" t="s">
        <v>929</v>
      </c>
      <c r="C649" s="2332"/>
      <c r="D649" s="2333"/>
      <c r="E649" s="540">
        <f ca="1">IF(OR(ISBLANK(B649),F648=_Nein),"",IFERROR(VLOOKUP(B649,Stammdaten!A$39:C$48,3,FALSE),KALKULATION!$M$283))</f>
        <v>0.5</v>
      </c>
      <c r="F649" s="1098"/>
      <c r="G649" s="542"/>
      <c r="H649" s="605"/>
      <c r="I649" s="620"/>
      <c r="J649" s="2306" t="str">
        <f ca="1">IF(F648&lt;&gt;$Q$31,"",IF(AND(E649=KALKULATION!$M$283,F648=$Q$31),"Auswahl erneut vornehmen (ungültiger Verweis)!",IF(OR(AND(F648=$Q$31,B649=""),AND(F648=$Q$32,B649&lt;&gt;"")),"Eingabe unvollständig (ergänzen,  löschen od Nein wählen)!","")))</f>
        <v/>
      </c>
      <c r="K649" s="2306"/>
      <c r="L649" s="2307"/>
      <c r="M649" s="2018" t="str">
        <f>M$445</f>
        <v>3. Regie mit Std-Zuschlag wie K3</v>
      </c>
      <c r="N649" s="2003">
        <f t="shared" ref="N649:Q649" ca="1" si="61">N$445</f>
        <v>0.67330000000000001</v>
      </c>
      <c r="O649" s="1955"/>
      <c r="P649" s="1955" t="str">
        <f t="shared" si="61"/>
        <v>Regiestd. (Std-% analog K3)</v>
      </c>
      <c r="Q649" s="1955" t="str">
        <f t="shared" si="61"/>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9"/>
    </row>
    <row r="650" spans="1:18" ht="17.850000000000001" customHeight="1" x14ac:dyDescent="0.45">
      <c r="A650" s="2480" t="s">
        <v>135</v>
      </c>
      <c r="B650" s="2481"/>
      <c r="C650" s="2481"/>
      <c r="D650" s="2481"/>
      <c r="E650" s="539">
        <f ca="1">IFERROR(IF(VLOOKUP(B649,Stammdaten!A$39:C$48,2,FALSE)=0,1,(VLOOKUP(B649,Stammdaten!A$39:C$48,2,FALSE))),"")</f>
        <v>1.17</v>
      </c>
      <c r="F650" s="1098"/>
      <c r="G650" s="543"/>
      <c r="H650" s="606"/>
      <c r="I650" s="620"/>
      <c r="L650" s="216"/>
      <c r="M650" s="2018" t="str">
        <f>M$446</f>
        <v>4. Regie berechnen</v>
      </c>
      <c r="N650" s="1955" t="str">
        <f t="shared" ref="N650:Q650" si="62">N$446</f>
        <v>berechnen:</v>
      </c>
      <c r="O650" s="1955"/>
      <c r="P650" s="1955"/>
      <c r="Q650" s="1955" t="str">
        <f t="shared" si="62"/>
        <v>Hinweis zu R4.b - 4.) Wenn ein Regiepreis unter kalkulatorischer Beachtung zeitlicher Rahmenbedingungen zu nennen ist, ist diese Auswahl zutreffend. Mehrarbeitszuschläge und Verr.std.zuschläge lassen sich individuell getrennt erfassen.</v>
      </c>
      <c r="R650" s="1969"/>
    </row>
    <row r="651" spans="1:18" ht="17.850000000000001" customHeight="1" x14ac:dyDescent="0.45">
      <c r="A651" s="2498" t="s">
        <v>558</v>
      </c>
      <c r="B651" s="2499"/>
      <c r="C651" s="2499"/>
      <c r="D651" s="2499"/>
      <c r="E651" s="2500"/>
      <c r="F651" s="351">
        <v>1</v>
      </c>
      <c r="G651" s="544">
        <f>IF(F651=1,1,IF(F651=2,((' K3 Regie4'!O$23+' K3 Regie4'!O$24)/' K3 Regie4'!O$23),IF(F651&gt;2,((' K3 Regie4'!O$23+' K3 Regie4'!O$24+' K3 Regie4'!O$25)/' K3 Regie4'!O$23),"")))</f>
        <v>1</v>
      </c>
      <c r="H651" s="605">
        <f ca="1">IFERROR(IF(AND(F648=$Q$31,F651&gt;0),(E649*E650*G651),""),"??")</f>
        <v>0.58499999999999996</v>
      </c>
      <c r="I651" s="620"/>
      <c r="J651" s="1087" t="str">
        <f>IF(F648&lt;&gt;$Q$31,"",IF(AND(ISBLANK(F651),F648=$Q$31),"Kennzeichen setzen!",""))</f>
        <v/>
      </c>
      <c r="K651" s="1087"/>
      <c r="L651" s="365"/>
      <c r="M651" s="2072" t="s">
        <v>863</v>
      </c>
      <c r="R651" s="1969"/>
    </row>
    <row r="652" spans="1:18" ht="17.850000000000001" customHeight="1" x14ac:dyDescent="0.45">
      <c r="A652" s="2412" t="s">
        <v>563</v>
      </c>
      <c r="B652" s="2413"/>
      <c r="C652" s="2413"/>
      <c r="D652" s="2413"/>
      <c r="E652" s="551" t="s">
        <v>376</v>
      </c>
      <c r="F652" s="522" t="s">
        <v>193</v>
      </c>
      <c r="G652" s="541"/>
      <c r="H652" s="604"/>
      <c r="I652" s="620" t="str">
        <f>IF(AND(E647=M650,F652=_Ja),"X","")</f>
        <v/>
      </c>
      <c r="J652" s="2334"/>
      <c r="K652" s="2334"/>
      <c r="L652" s="2335"/>
      <c r="M652" s="1338" t="s">
        <v>856</v>
      </c>
      <c r="N652" s="2073" t="str">
        <f>IF(E647=M648,P648,IF(E647=M649,P649,IF(AND(E647=M650,F648=_Ja),B649,P647)))</f>
        <v>Regiestunde</v>
      </c>
      <c r="O652" s="2068"/>
      <c r="P652" s="2003" t="str">
        <f>IF(AND(E647=M650,F648=_Ja),TEXT(E649,"0%"),IF(N652=P648,TEXT(N648,"0,00%"),IF(N652=P649,TEXT($P$113,"0%"),"")))</f>
        <v/>
      </c>
      <c r="R652" s="1969"/>
    </row>
    <row r="653" spans="1:18" ht="17.850000000000001" customHeight="1" x14ac:dyDescent="0.45">
      <c r="A653" s="538" t="s">
        <v>377</v>
      </c>
      <c r="B653" s="2331"/>
      <c r="C653" s="2332"/>
      <c r="D653" s="2333"/>
      <c r="E653" s="547" t="str">
        <f>IF(OR(ISBLANK(B653),F652=_Nein),"",IFERROR(VLOOKUP(B653,Stammdaten!A$50:C$54,3,FALSE),KALKULATION!$M$283))</f>
        <v/>
      </c>
      <c r="F653" s="1098"/>
      <c r="G653" s="542"/>
      <c r="H653" s="605"/>
      <c r="I653" s="620"/>
      <c r="J653" s="2306" t="str">
        <f>IF(F652&lt;&gt;$Q$31,"",IF(AND(E653=KALKULATION!$M$283,F652=$Q$31),"Auswahl erneut vornehmen (ungültiger Verweis)!",IF(OR(AND(F652=$Q$31,B653=""),AND(F652=$Q$32,B653&lt;&gt;"")),"Eingabe unvollständig (ergänzen,  löschen od Nein wählen)!","")))</f>
        <v/>
      </c>
      <c r="K653" s="2306"/>
      <c r="L653" s="2307"/>
      <c r="M653" s="1338" t="s">
        <v>860</v>
      </c>
      <c r="N653" s="2074" t="str">
        <f>IF(AND(E647=M650,F652=_Ja),B653,"")</f>
        <v/>
      </c>
      <c r="O653" s="2075"/>
      <c r="P653" s="2003" t="str">
        <f>IF(N653="","",E653)</f>
        <v/>
      </c>
      <c r="Q653" s="1943"/>
      <c r="R653" s="2076"/>
    </row>
    <row r="654" spans="1:18" ht="17.850000000000001" customHeight="1" x14ac:dyDescent="0.45">
      <c r="A654" s="2403" t="s">
        <v>198</v>
      </c>
      <c r="B654" s="2404"/>
      <c r="C654" s="2404"/>
      <c r="D654" s="2404"/>
      <c r="E654" s="539">
        <f ca="1">IFERROR(IF(VLOOKUP(B653,Stammdaten!A$50:C$54,2,FALSE)=0,1,(VLOOKUP(B653,Stammdaten!A$50:C$54,2,FALSE))),"")</f>
        <v>1</v>
      </c>
      <c r="F654" s="1098"/>
      <c r="G654" s="543"/>
      <c r="H654" s="606"/>
      <c r="I654" s="620"/>
      <c r="L654" s="216"/>
      <c r="M654" s="1338" t="s">
        <v>861</v>
      </c>
      <c r="N654" s="2074" t="str">
        <f>IF(AND(E647=M650,F656=_Ja),B657,"")</f>
        <v/>
      </c>
      <c r="O654" s="2018"/>
      <c r="P654" s="2077" t="str">
        <f>IF(N654="","",E657)</f>
        <v/>
      </c>
      <c r="Q654" s="1943"/>
      <c r="R654" s="2076"/>
    </row>
    <row r="655" spans="1:18" ht="17.850000000000001" customHeight="1" x14ac:dyDescent="0.45">
      <c r="A655" s="2498" t="str">
        <f>A651</f>
        <v xml:space="preserve">  Basis für die Aufzahlung in % (siehe Pkt C0; KZ = 1, 2, 3 od. 4):  ↓</v>
      </c>
      <c r="B655" s="2499"/>
      <c r="C655" s="2499"/>
      <c r="D655" s="2499"/>
      <c r="E655" s="2500"/>
      <c r="F655" s="351">
        <v>1</v>
      </c>
      <c r="G655" s="544">
        <f>IF(F655=1,1,IF(F655=2,((' K3 Regie4'!O$23+' K3 Regie4'!O$24)/' K3 Regie4'!O$23),IF(F655&gt;2,((' K3 Regie4'!O$23+' K3 Regie4'!O$24+' K3 Regie4'!O$25)/' K3 Regie4'!O$23),"")))</f>
        <v>1</v>
      </c>
      <c r="H655" s="605" t="str">
        <f>IFERROR(IF(F652=$Q$31,(E653*E654*G655),""),"??")</f>
        <v/>
      </c>
      <c r="I655" s="620"/>
      <c r="J655" s="2334" t="str">
        <f>IF(F652&lt;&gt;$Q$31,"",IF(AND(ISBLANK(F655),F652=$Q$31),"Kennzeichen setzen!",""))</f>
        <v/>
      </c>
      <c r="K655" s="2334"/>
      <c r="L655" s="360"/>
      <c r="M655" s="1338" t="s">
        <v>865</v>
      </c>
      <c r="N655" s="1338">
        <f>IF(AND(N653&lt;&gt;"",N654&lt;&gt;""),2,IF(N653&amp;N654="",0,1))</f>
        <v>0</v>
      </c>
      <c r="R655" s="1969"/>
    </row>
    <row r="656" spans="1:18" ht="17.850000000000001" customHeight="1" x14ac:dyDescent="0.45">
      <c r="A656" s="2412" t="s">
        <v>564</v>
      </c>
      <c r="B656" s="2413"/>
      <c r="C656" s="2413"/>
      <c r="D656" s="2413"/>
      <c r="E656" s="551" t="s">
        <v>376</v>
      </c>
      <c r="F656" s="522" t="s">
        <v>193</v>
      </c>
      <c r="G656" s="545"/>
      <c r="H656" s="607"/>
      <c r="I656" s="620" t="str">
        <f>IF(AND(E647=M650,F656=_Ja),"X","")</f>
        <v/>
      </c>
      <c r="J656" s="2334"/>
      <c r="K656" s="2334"/>
      <c r="L656" s="2335"/>
      <c r="M656" s="1971"/>
      <c r="N656" s="2078" t="str">
        <f>IF(N655=2," "&amp;N653&amp;" "&amp;", "&amp;N654,IF(N655=1," "&amp;N653&amp;N654,""))</f>
        <v/>
      </c>
      <c r="O656" s="2078"/>
      <c r="P656" s="1971"/>
      <c r="Q656" s="1971"/>
      <c r="R656" s="1978"/>
    </row>
    <row r="657" spans="1:16" ht="17.850000000000001" customHeight="1" x14ac:dyDescent="0.45">
      <c r="A657" s="550" t="s">
        <v>377</v>
      </c>
      <c r="B657" s="2332"/>
      <c r="C657" s="2332"/>
      <c r="D657" s="2332"/>
      <c r="E657" s="548" t="str">
        <f>IF(OR(ISBLANK(B657),F656=_Nein),"",IFERROR(VLOOKUP(B657,Stammdaten!A$57:C$61,2,FALSE),KALKULATION!$M$283))</f>
        <v/>
      </c>
      <c r="F657" s="549" t="s">
        <v>197</v>
      </c>
      <c r="G657" s="546">
        <f ca="1">' K3 Regie4'!$O$21</f>
        <v>0</v>
      </c>
      <c r="H657" s="608" t="str">
        <f>IFERROR(IF(F656=$Q$31,E657/G657,""),"??")</f>
        <v/>
      </c>
      <c r="I657" s="620"/>
      <c r="J657" s="271" t="str">
        <f>IF(AND(F656=$Q$31,B657=""),"Eingabe unvollständig (ergänzen od Nein wählen)!","")</f>
        <v/>
      </c>
      <c r="L657" s="216"/>
    </row>
    <row r="658" spans="1:16" ht="17.850000000000001" customHeight="1" x14ac:dyDescent="0.45">
      <c r="A658" s="2243" t="s">
        <v>389</v>
      </c>
      <c r="B658" s="2336"/>
      <c r="C658" s="2336"/>
      <c r="D658" s="2336"/>
      <c r="E658" s="373"/>
      <c r="F658" s="377" t="str">
        <f>IF(F652=$Q$31,B653,IF(F656=$Q$31,B657,""))</f>
        <v/>
      </c>
      <c r="G658" s="377" t="str">
        <f>IF(F652=$Q$31,TEXT(H655,"0%"),IF(F656=$Q$31,TEXT(G657,"0,00€"),""))</f>
        <v/>
      </c>
      <c r="H658" s="609">
        <f>IF(E647=M650,SUM(H648:H657),H647)</f>
        <v>0</v>
      </c>
      <c r="I658" s="621"/>
      <c r="L658" s="216"/>
    </row>
    <row r="659" spans="1:16" ht="17.850000000000001" customHeight="1" x14ac:dyDescent="0.45">
      <c r="A659" s="2891" t="str">
        <f>A$455</f>
        <v>Standardmäßig sind die Werte aus der Mittelpersonal-preiskalkulation (Blatt K3_PP) übernommen; sie sind überschreibbar.</v>
      </c>
      <c r="B659" s="2892"/>
      <c r="C659" s="2892"/>
      <c r="D659" s="2893"/>
      <c r="E659" s="2399" t="str">
        <f>E$455</f>
        <v xml:space="preserve">Standard-werte sind
</v>
      </c>
      <c r="F659" s="2399"/>
      <c r="G659" s="2399" t="str">
        <f>G$455</f>
        <v>Optional überschrei-ben mit:</v>
      </c>
      <c r="H659" s="2493" t="str">
        <f>H$455</f>
        <v>Übertrag in K3 Regie</v>
      </c>
      <c r="I659" s="621"/>
      <c r="L659" s="216"/>
    </row>
    <row r="660" spans="1:16" ht="17.850000000000001" customHeight="1" x14ac:dyDescent="0.45">
      <c r="A660" s="2894"/>
      <c r="B660" s="2895"/>
      <c r="C660" s="2895"/>
      <c r="D660" s="2896"/>
      <c r="E660" s="2400"/>
      <c r="F660" s="2400"/>
      <c r="G660" s="2400"/>
      <c r="H660" s="2494"/>
      <c r="I660" s="621"/>
      <c r="L660" s="216"/>
    </row>
    <row r="661" spans="1:16" ht="17.850000000000001" customHeight="1" thickBot="1" x14ac:dyDescent="0.5">
      <c r="A661" s="2897"/>
      <c r="B661" s="2898"/>
      <c r="C661" s="2898"/>
      <c r="D661" s="2899"/>
      <c r="E661" s="2401"/>
      <c r="F661" s="2401"/>
      <c r="G661" s="2401"/>
      <c r="H661" s="2495"/>
      <c r="I661" s="621"/>
      <c r="L661" s="216"/>
    </row>
    <row r="662" spans="1:16" ht="17.850000000000001" customHeight="1" thickTop="1" x14ac:dyDescent="0.45">
      <c r="A662" s="2285" t="s">
        <v>384</v>
      </c>
      <c r="B662" s="2286"/>
      <c r="C662" s="2286"/>
      <c r="D662" s="2287"/>
      <c r="E662" s="51">
        <f ca="1">$H$228</f>
        <v>3.3</v>
      </c>
      <c r="F662" s="1883">
        <f>H631/G631</f>
        <v>0</v>
      </c>
      <c r="G662" s="364"/>
      <c r="H662" s="361">
        <f ca="1">IF(ISBLANK(G662),E662*(1+F662),G662)</f>
        <v>3.3</v>
      </c>
      <c r="I662" s="620" t="str">
        <f>IF(ISBLANK(G662),"","X")</f>
        <v/>
      </c>
      <c r="L662" s="216"/>
    </row>
    <row r="663" spans="1:16" ht="17.850000000000001" customHeight="1" x14ac:dyDescent="0.45">
      <c r="A663" s="2285" t="s">
        <v>385</v>
      </c>
      <c r="B663" s="2286"/>
      <c r="C663" s="2286"/>
      <c r="D663" s="2287"/>
      <c r="E663" s="48">
        <f ca="1">IF(E642=M643,$G$227,$G$229)</f>
        <v>1.5</v>
      </c>
      <c r="F663" s="1884">
        <f>H631/G631</f>
        <v>0</v>
      </c>
      <c r="G663" s="341"/>
      <c r="H663" s="362">
        <f ca="1">IF(ISBLANK(G663),E663*(1+F663),G663)</f>
        <v>1.5</v>
      </c>
      <c r="I663" s="620" t="str">
        <f>IF(ISBLANK(G663),"","X")</f>
        <v/>
      </c>
      <c r="L663" s="216"/>
    </row>
    <row r="664" spans="1:16" ht="17.850000000000001" customHeight="1" x14ac:dyDescent="0.45">
      <c r="A664" s="2285" t="s">
        <v>386</v>
      </c>
      <c r="B664" s="2286"/>
      <c r="C664" s="2286"/>
      <c r="D664" s="2287"/>
      <c r="E664" s="157">
        <f ca="1">$H$236</f>
        <v>0.30270000000000002</v>
      </c>
      <c r="F664" s="156"/>
      <c r="G664" s="337"/>
      <c r="H664" s="363">
        <f ca="1">IF(ISBLANK(G664),E664,G664)</f>
        <v>0.30270000000000002</v>
      </c>
      <c r="I664" s="620" t="str">
        <f ca="1">IF(OR(G664&lt;&gt;0,E664&lt;&gt;H664),"X","")</f>
        <v/>
      </c>
      <c r="J664" s="2308" t="str">
        <f>IF(G664="","","Hinweis: DPNK lassen sich genau bestimmen/nachrechnen!")</f>
        <v/>
      </c>
      <c r="K664" s="2308"/>
      <c r="L664" s="2309"/>
    </row>
    <row r="665" spans="1:16" ht="17.850000000000001" customHeight="1" x14ac:dyDescent="0.45">
      <c r="A665" s="2285" t="s">
        <v>387</v>
      </c>
      <c r="B665" s="2286"/>
      <c r="C665" s="2286"/>
      <c r="D665" s="2287"/>
      <c r="E665" s="157">
        <f ca="1">$H$265</f>
        <v>0.66</v>
      </c>
      <c r="F665" s="156"/>
      <c r="G665" s="337"/>
      <c r="H665" s="363">
        <f ca="1">IF(ISBLANK(G665),E665,G665)</f>
        <v>0.66</v>
      </c>
      <c r="I665" s="620" t="str">
        <f ca="1">IF(OR(G665&lt;&gt;0,E665&lt;&gt;H665),"X","")</f>
        <v/>
      </c>
      <c r="L665" s="216"/>
    </row>
    <row r="666" spans="1:16" ht="17.850000000000001" customHeight="1" x14ac:dyDescent="0.45">
      <c r="A666" s="2285" t="s">
        <v>388</v>
      </c>
      <c r="B666" s="2286"/>
      <c r="C666" s="2286"/>
      <c r="D666" s="2287"/>
      <c r="E666" s="48">
        <f ca="1">H$276</f>
        <v>7.0000000000000007E-2</v>
      </c>
      <c r="F666" s="156"/>
      <c r="G666" s="565"/>
      <c r="H666" s="362">
        <f ca="1">IF(ISBLANK(G666),E666,G666)</f>
        <v>7.0000000000000007E-2</v>
      </c>
      <c r="I666" s="620" t="str">
        <f ca="1">IF(OR(G666&lt;&gt;0,E666&lt;&gt;H666),"X","")</f>
        <v/>
      </c>
      <c r="L666" s="216"/>
    </row>
    <row r="667" spans="1:16" ht="17.850000000000001" customHeight="1" x14ac:dyDescent="0.45">
      <c r="A667" s="2285" t="s">
        <v>592</v>
      </c>
      <c r="B667" s="2287"/>
      <c r="C667" s="199">
        <f>$E$306</f>
        <v>4.7500000000000001E-2</v>
      </c>
      <c r="D667" s="48">
        <f ca="1">$F$307</f>
        <v>3.21</v>
      </c>
      <c r="E667" s="338"/>
      <c r="F667" s="364"/>
      <c r="G667" s="363">
        <f>IF(ISBLANK(E667),C667,E667)</f>
        <v>4.7500000000000001E-2</v>
      </c>
      <c r="H667" s="361">
        <f ca="1">IF(ISBLANK(F667),D667,F667)</f>
        <v>3.21</v>
      </c>
      <c r="I667" s="620" t="str">
        <f>IF(OR(F667&lt;&gt;0,E667&lt;&gt;0),"X","")</f>
        <v/>
      </c>
      <c r="L667" s="216"/>
    </row>
    <row r="668" spans="1:16" ht="17.850000000000001" customHeight="1" x14ac:dyDescent="0.45">
      <c r="A668" s="2491" t="str">
        <f ca="1">"R5)"&amp;IF($G$327=0," Keine Umlagen unter Pkt H1 bzw H2 angelgt!"," Umlagen (K3 Spalte A)")</f>
        <v>R5) Keine Umlagen unter Pkt H1 bzw H2 angelgt!</v>
      </c>
      <c r="B668" s="2492"/>
      <c r="C668" s="2492"/>
      <c r="D668" s="2492"/>
      <c r="E668" s="2492"/>
      <c r="F668" s="2492"/>
      <c r="G668" s="2492"/>
      <c r="H668" s="2492"/>
      <c r="I668" s="618"/>
      <c r="L668" s="216"/>
    </row>
    <row r="669" spans="1:16" ht="17.850000000000001" customHeight="1" thickBot="1" x14ac:dyDescent="0.5">
      <c r="A669" s="2338" t="s">
        <v>560</v>
      </c>
      <c r="B669" s="2339"/>
      <c r="C669" s="2339"/>
      <c r="D669" s="2339"/>
      <c r="E669" s="521" t="str">
        <f ca="1">IF(SUM(F670:G672)&lt;&gt;$H$327,"!","")</f>
        <v/>
      </c>
      <c r="F669" s="712" t="s">
        <v>69</v>
      </c>
      <c r="G669" s="744" t="s">
        <v>671</v>
      </c>
      <c r="H669" s="1005" t="e">
        <f ca="1">' K3 Regie4'!O33</f>
        <v>#DIV/0!</v>
      </c>
      <c r="I669" s="618"/>
      <c r="J669" s="2329" t="str">
        <f ca="1">IF(E669="!","Hinweis: Es sind nicht alle oder andere Umlagen wie oben (Pkt H) für K3 ausgewählt! Berechnung erfolgt mit den hier ausgewählten Umlagen.","")</f>
        <v/>
      </c>
      <c r="K669" s="2329"/>
      <c r="L669" s="2330"/>
    </row>
    <row r="670" spans="1:16" ht="17.850000000000001" customHeight="1" thickTop="1" x14ac:dyDescent="0.45">
      <c r="A670" s="2337"/>
      <c r="B670" s="2337"/>
      <c r="C670" s="2337"/>
      <c r="D670" s="2337"/>
      <c r="E670" s="2337"/>
      <c r="F670" s="85" t="str">
        <f>IF(A670="","",IFERROR(VLOOKUP(A670,A$329:E$333,2,FALSE),KALKULATION!$M$283))</f>
        <v/>
      </c>
      <c r="G670" s="158" t="str">
        <f>IF(A670="","",IFERROR(VLOOKUP(A670,A$329:E$333,3,FALSE),""))</f>
        <v/>
      </c>
      <c r="H670" s="85" t="str">
        <f>IF(OR(G670="",G670=0),"",G670*H$669)</f>
        <v/>
      </c>
      <c r="I670" s="618"/>
      <c r="J670" s="2329"/>
      <c r="K670" s="2329"/>
      <c r="L670" s="2330"/>
    </row>
    <row r="671" spans="1:16" ht="17.850000000000001" customHeight="1" x14ac:dyDescent="0.45">
      <c r="A671" s="2402"/>
      <c r="B671" s="2402"/>
      <c r="C671" s="2402"/>
      <c r="D671" s="2402"/>
      <c r="E671" s="2402"/>
      <c r="F671" s="85" t="str">
        <f>IF(A671="","",IFERROR(VLOOKUP(A671,A$329:E$333,2,FALSE),KALKULATION!$M$283))</f>
        <v/>
      </c>
      <c r="G671" s="158" t="str">
        <f t="shared" ref="G671:G672" si="63">IF(A671="","",IFERROR(VLOOKUP(A671,A$329:E$333,3,FALSE),""))</f>
        <v/>
      </c>
      <c r="H671" s="85" t="str">
        <f t="shared" ref="H671" si="64">IF(OR(G671="",G671=0),"",G671*H$669)</f>
        <v/>
      </c>
      <c r="I671" s="618"/>
      <c r="J671" s="2329"/>
      <c r="K671" s="2329"/>
      <c r="L671" s="2330"/>
      <c r="M671" s="2079" t="s">
        <v>641</v>
      </c>
      <c r="N671" s="2079" t="str">
        <f>$A$413&amp;" gesamt"</f>
        <v>Regielohnpreis gesamt</v>
      </c>
      <c r="O671" s="2079"/>
      <c r="P671" s="2080"/>
    </row>
    <row r="672" spans="1:16" ht="17.850000000000001" customHeight="1" x14ac:dyDescent="0.45">
      <c r="A672" s="2402"/>
      <c r="B672" s="2402"/>
      <c r="C672" s="2402"/>
      <c r="D672" s="2402"/>
      <c r="E672" s="2402"/>
      <c r="F672" s="84" t="str">
        <f>IF(A672="","",IFERROR(VLOOKUP(A672,A$329:E$333,2,FALSE),KALKULATION!$M$283))</f>
        <v/>
      </c>
      <c r="G672" s="50" t="str">
        <f t="shared" si="63"/>
        <v/>
      </c>
      <c r="H672" s="84" t="str">
        <f>IF(OR(G672="",G672=0),"",G672*H$669)</f>
        <v/>
      </c>
      <c r="I672" s="618"/>
      <c r="L672" s="216"/>
      <c r="M672" s="2079" t="s">
        <v>412</v>
      </c>
      <c r="N672" s="2079" t="str">
        <f>IF(A625="","",A625)</f>
        <v/>
      </c>
      <c r="O672" s="2081"/>
      <c r="P672" s="2082"/>
    </row>
    <row r="673" spans="1:21" ht="17.850000000000001" customHeight="1" x14ac:dyDescent="0.45">
      <c r="A673" s="2391" t="str">
        <f>IF(SUM(F670:H672)=0,"R5.b) GZ auf UMLAGEN - keine Umlagen ausgewählt (oder in Pkt H1 angelegt)","R5.b) GZ auf Umlagen")</f>
        <v>R5.b) GZ auf UMLAGEN - keine Umlagen ausgewählt (oder in Pkt H1 angelegt)</v>
      </c>
      <c r="B673" s="2392"/>
      <c r="C673" s="2392"/>
      <c r="D673" s="2392"/>
      <c r="E673" s="2392"/>
      <c r="F673" s="2393"/>
      <c r="G673" s="2393"/>
      <c r="H673" s="2392"/>
      <c r="I673" s="618"/>
      <c r="L673" s="216"/>
      <c r="M673" s="2083" t="s">
        <v>721</v>
      </c>
      <c r="N673" s="2083" t="str">
        <f>IF(C682="","",C682)</f>
        <v/>
      </c>
      <c r="O673" s="2079"/>
      <c r="P673" s="2080"/>
    </row>
    <row r="674" spans="1:21" ht="17.850000000000001" customHeight="1" x14ac:dyDescent="0.45">
      <c r="A674" s="2243" t="s">
        <v>559</v>
      </c>
      <c r="B674" s="2336"/>
      <c r="C674" s="2336"/>
      <c r="D674" s="2299"/>
      <c r="E674" s="2300"/>
      <c r="F674" s="2328"/>
      <c r="G674" s="196" t="str">
        <f>IF(D674="","",IFERROR(VLOOKUP(D674,'K2 GZ'!I$25:M$32,5,FALSE),KALKULATION!$M$283))</f>
        <v/>
      </c>
      <c r="H674" s="1006" t="str">
        <f ca="1">IF($G$327=0,"",IF(G674=KALKULATION!$M$283,"",IF(SUM(F670:H672)=0,"",IF(D674="",$G$346,G674))))</f>
        <v/>
      </c>
      <c r="I674" s="620" t="str">
        <f>IF(AND(D674&lt;&gt;"",SUM(F670:H672)&lt;&gt;0),"X","")</f>
        <v/>
      </c>
      <c r="J674" s="2306" t="str">
        <f ca="1">IF(G674=KALKULATION!$M$283,"Auswahl erneut vornehmen (ungült. Verweis)/Text löschen!",IF(AND(H674="",SUM(F670:G672)&lt;&gt;0),"GZ fehlt oder gleich 0!)",""))</f>
        <v/>
      </c>
      <c r="K674" s="2306"/>
      <c r="L674" s="2307"/>
      <c r="M674" s="2083" t="s">
        <v>722</v>
      </c>
      <c r="N674" s="2083" t="str">
        <f>IF(N673=""," für ["&amp;N672&amp;"]"," für ["&amp;N673&amp;"]")</f>
        <v xml:space="preserve"> für []</v>
      </c>
      <c r="O674" s="2083"/>
      <c r="P674" s="2083" t="str">
        <f>IF(N673="",""," für ["&amp;N673&amp;" | "&amp;N672&amp;"]")</f>
        <v/>
      </c>
    </row>
    <row r="675" spans="1:21" ht="17.850000000000001" customHeight="1" x14ac:dyDescent="0.45">
      <c r="A675" s="2405"/>
      <c r="B675" s="2406"/>
      <c r="C675" s="2406"/>
      <c r="D675" s="2406"/>
      <c r="E675" s="2406"/>
      <c r="F675" s="2406"/>
      <c r="G675" s="2406"/>
      <c r="H675" s="2406"/>
      <c r="I675" s="620"/>
      <c r="L675" s="216"/>
      <c r="M675" s="2083" t="s">
        <v>639</v>
      </c>
      <c r="N675" s="2084" t="str">
        <f ca="1">IF(AND(E647=M650,H651&lt;&gt;"")," als ["&amp;B649&amp;TEXT(E649," (0%)")&amp;"]",IF(E647=M648," mit [Ø Zuschlag gem K3 Mittelpersonalpreis Z 8]",IF(E647=M649," mit [Aufzahlung pro Std gem K3 Mittelpersonalpreis]","")))</f>
        <v/>
      </c>
      <c r="O675" s="2083"/>
      <c r="P675" s="2085"/>
    </row>
    <row r="676" spans="1:21" ht="17.850000000000001" customHeight="1" x14ac:dyDescent="0.45">
      <c r="A676" s="2391" t="str">
        <f>A$472</f>
        <v>R6) GZ auf PERSONALKOSTEN (K3 Spalte B)</v>
      </c>
      <c r="B676" s="2392"/>
      <c r="C676" s="2392"/>
      <c r="D676" s="2392"/>
      <c r="E676" s="2392"/>
      <c r="F676" s="2392"/>
      <c r="G676" s="2392"/>
      <c r="H676" s="2392"/>
      <c r="I676" s="616"/>
      <c r="L676" s="216"/>
      <c r="M676" s="2086" t="s">
        <v>640</v>
      </c>
      <c r="N676" s="2087" t="str">
        <f>IF(N656="",""," in ["&amp;N656&amp;"]")</f>
        <v/>
      </c>
      <c r="O676" s="2086"/>
      <c r="P676" s="2088"/>
    </row>
    <row r="677" spans="1:21" ht="17.850000000000001" customHeight="1" x14ac:dyDescent="0.45">
      <c r="A677" s="392" t="s">
        <v>559</v>
      </c>
      <c r="B677" s="373"/>
      <c r="C677" s="1086"/>
      <c r="D677" s="2299"/>
      <c r="E677" s="2300"/>
      <c r="F677" s="2328"/>
      <c r="G677" s="199" t="str">
        <f>IF(D677="","",IFERROR(VLOOKUP(D677,'K2 GZ'!I$25:M$32,5,FALSE),KALKULATION!$M$283))</f>
        <v/>
      </c>
      <c r="H677" s="1006">
        <f>IF(G677=KALKULATION!$M$283,"",IF(D677="",$G$345,G677))</f>
        <v>0.28000000000000003</v>
      </c>
      <c r="I677" s="620" t="str">
        <f>IF(D677&lt;&gt;"","X","")</f>
        <v/>
      </c>
      <c r="J677" s="2306" t="str">
        <f>IF(G677=KALKULATION!$M$283,"Auswahl erneut vornehmen (ungültiger Verweis)!",IF(H677=KALKULATION!$M$283,"GZ aus K2-Blatt wählen!",""))</f>
        <v/>
      </c>
      <c r="K677" s="2306"/>
      <c r="L677" s="2307"/>
      <c r="M677" s="2083"/>
      <c r="N677" s="2089"/>
      <c r="O677" s="2083"/>
      <c r="P677" s="2085"/>
    </row>
    <row r="678" spans="1:21" ht="20" customHeight="1" x14ac:dyDescent="0.45">
      <c r="A678" s="1189" t="s">
        <v>391</v>
      </c>
      <c r="B678" s="833"/>
      <c r="C678" s="2930" t="str">
        <f>D640</f>
        <v>Beschäfftigungsgruppe wählen!</v>
      </c>
      <c r="D678" s="2930"/>
      <c r="E678" s="2930"/>
      <c r="F678" s="615" t="s">
        <v>259</v>
      </c>
      <c r="G678" s="834" t="e">
        <f ca="1">H678/D625-1</f>
        <v>#VALUE!</v>
      </c>
      <c r="H678" s="835" t="str">
        <f ca="1">IFERROR(' K3 Regie4'!N$45,"??")</f>
        <v>??</v>
      </c>
      <c r="I678" s="616"/>
      <c r="J678" s="47"/>
      <c r="K678" s="47"/>
      <c r="L678" s="591"/>
      <c r="M678" s="2081"/>
      <c r="N678" s="2090"/>
      <c r="O678" s="2081"/>
      <c r="P678" s="2082"/>
      <c r="Q678" s="2095"/>
      <c r="R678" s="2095"/>
      <c r="S678" s="2095"/>
      <c r="T678" s="2095"/>
      <c r="U678" s="2096"/>
    </row>
    <row r="679" spans="1:21" ht="17.850000000000001" customHeight="1" x14ac:dyDescent="0.45">
      <c r="A679" s="2522" t="s">
        <v>724</v>
      </c>
      <c r="B679" s="2523"/>
      <c r="C679" s="2901" t="str">
        <f ca="1">IFERROR(VLOOKUP(A681,M680:N686,2,FALSE),KALKULATION!$M$283)</f>
        <v>Regielohnpreis gesamt für []</v>
      </c>
      <c r="D679" s="2902"/>
      <c r="E679" s="2902"/>
      <c r="F679" s="2902"/>
      <c r="G679" s="2902"/>
      <c r="H679" s="2902"/>
      <c r="I679" s="722"/>
      <c r="J679" s="2340" t="str">
        <f ca="1">IF(OR(H677&lt;Report!$G$13,KALKULATION!H677&gt;Report!$F$13,AND(SUM(KALKULATION!F670:H672)&lt;&gt;0,OR(H674&lt;Report!$G$13,KALKULATION!H674&gt;Report!$F$13))),"Hinweis: GZ in R5.b oder R6 liegt außerhalb der empfohlenen Grenzwerte gem Blatt REPORT!","")</f>
        <v/>
      </c>
      <c r="K679" s="2340"/>
      <c r="L679" s="2341"/>
      <c r="M679" s="2091" t="s">
        <v>677</v>
      </c>
      <c r="N679" s="2091"/>
      <c r="Q679" s="1944"/>
      <c r="R679" s="1944"/>
      <c r="S679" s="1944"/>
      <c r="T679" s="1944"/>
    </row>
    <row r="680" spans="1:21" ht="17.850000000000001" customHeight="1" x14ac:dyDescent="0.45">
      <c r="A680" s="2524"/>
      <c r="B680" s="2525"/>
      <c r="C680" s="2903"/>
      <c r="D680" s="2512"/>
      <c r="E680" s="2512"/>
      <c r="F680" s="2512"/>
      <c r="G680" s="2512"/>
      <c r="H680" s="2512"/>
      <c r="I680" s="722"/>
      <c r="J680" s="2342"/>
      <c r="K680" s="2342"/>
      <c r="L680" s="2343"/>
      <c r="M680" s="2091" t="s">
        <v>715</v>
      </c>
      <c r="N680" s="2091" t="str">
        <f>N671</f>
        <v>Regielohnpreis gesamt</v>
      </c>
      <c r="Q680" s="1944"/>
      <c r="R680" s="1944"/>
      <c r="S680" s="1944"/>
      <c r="T680" s="1944"/>
    </row>
    <row r="681" spans="1:21" ht="17.850000000000001" customHeight="1" x14ac:dyDescent="0.45">
      <c r="A681" s="2907" t="s">
        <v>719</v>
      </c>
      <c r="B681" s="2908"/>
      <c r="C681" s="2904"/>
      <c r="D681" s="2513"/>
      <c r="E681" s="2513"/>
      <c r="F681" s="2513"/>
      <c r="G681" s="2513"/>
      <c r="H681" s="2513"/>
      <c r="I681" s="722"/>
      <c r="L681" s="216"/>
      <c r="M681" s="2091" t="s">
        <v>716</v>
      </c>
      <c r="N681" s="2091" t="str">
        <f>N671&amp;N674</f>
        <v>Regielohnpreis gesamt für []</v>
      </c>
      <c r="Q681" s="1944"/>
      <c r="R681" s="1944"/>
      <c r="S681" s="1944"/>
      <c r="T681" s="1944"/>
    </row>
    <row r="682" spans="1:21" ht="17.850000000000001" customHeight="1" x14ac:dyDescent="0.45">
      <c r="A682" s="2916" t="str">
        <f>A$478</f>
        <v>Bezeichnung zusätzlich:</v>
      </c>
      <c r="B682" s="2917"/>
      <c r="C682" s="2299"/>
      <c r="D682" s="2300"/>
      <c r="E682" s="2300"/>
      <c r="F682" s="2300"/>
      <c r="G682" s="2300"/>
      <c r="H682" s="2300"/>
      <c r="I682" s="722"/>
      <c r="L682" s="216"/>
      <c r="M682" s="2091" t="s">
        <v>717</v>
      </c>
      <c r="N682" s="2091" t="str">
        <f>N671&amp;P674</f>
        <v>Regielohnpreis gesamt</v>
      </c>
      <c r="Q682" s="1944"/>
      <c r="R682" s="1944"/>
      <c r="S682" s="1944"/>
      <c r="T682" s="1944"/>
    </row>
    <row r="683" spans="1:21" ht="17.850000000000001" customHeight="1" x14ac:dyDescent="0.45">
      <c r="A683" s="3043" t="str">
        <f>A$479</f>
        <v>Individuelle Bezeichnung für Wahl in R7.a:</v>
      </c>
      <c r="B683" s="3044"/>
      <c r="C683" s="2394"/>
      <c r="D683" s="2395"/>
      <c r="E683" s="2395"/>
      <c r="F683" s="2395"/>
      <c r="G683" s="2395"/>
      <c r="H683" s="2395"/>
      <c r="I683" s="722"/>
      <c r="L683" s="216"/>
      <c r="M683" s="2091" t="s">
        <v>718</v>
      </c>
      <c r="N683" s="2091" t="str">
        <f ca="1">N680&amp;N675&amp;N676</f>
        <v>Regielohnpreis gesamt</v>
      </c>
      <c r="Q683" s="1944"/>
      <c r="R683" s="1944"/>
      <c r="S683" s="1944"/>
      <c r="T683" s="1944"/>
    </row>
    <row r="684" spans="1:21" ht="17.850000000000001" customHeight="1" x14ac:dyDescent="0.45">
      <c r="A684" s="3045"/>
      <c r="B684" s="3046"/>
      <c r="C684" s="3047"/>
      <c r="D684" s="3048"/>
      <c r="E684" s="3048"/>
      <c r="F684" s="3048"/>
      <c r="G684" s="3048"/>
      <c r="H684" s="3048"/>
      <c r="I684" s="722"/>
      <c r="L684" s="216"/>
      <c r="M684" s="2091" t="s">
        <v>719</v>
      </c>
      <c r="N684" s="2091" t="str">
        <f ca="1">N681&amp;N675&amp;N676</f>
        <v>Regielohnpreis gesamt für []</v>
      </c>
      <c r="Q684" s="1944"/>
      <c r="R684" s="1944"/>
      <c r="S684" s="1944"/>
      <c r="T684" s="1944"/>
    </row>
    <row r="685" spans="1:21" ht="17.850000000000001" customHeight="1" x14ac:dyDescent="0.45">
      <c r="A685" s="2905"/>
      <c r="B685" s="2906"/>
      <c r="C685" s="2906"/>
      <c r="D685" s="2906"/>
      <c r="E685" s="2906"/>
      <c r="F685" s="2906"/>
      <c r="G685" s="2906"/>
      <c r="H685" s="2906"/>
      <c r="I685" s="2906"/>
      <c r="L685" s="216"/>
      <c r="M685" s="2091" t="s">
        <v>720</v>
      </c>
      <c r="N685" s="2091" t="str">
        <f ca="1">N682&amp;N675&amp;N676</f>
        <v>Regielohnpreis gesamt</v>
      </c>
      <c r="Q685" s="1944"/>
      <c r="R685" s="1944"/>
      <c r="S685" s="1944"/>
      <c r="T685" s="1944"/>
    </row>
    <row r="686" spans="1:21" ht="17.850000000000001" customHeight="1" x14ac:dyDescent="0.45">
      <c r="A686" s="2317" t="s">
        <v>670</v>
      </c>
      <c r="B686" s="2472"/>
      <c r="C686" s="2472"/>
      <c r="D686" s="2472"/>
      <c r="E686" s="2472"/>
      <c r="F686" s="2472"/>
      <c r="G686" s="2472"/>
      <c r="H686" s="2472"/>
      <c r="I686" s="2472"/>
      <c r="J686" s="45"/>
      <c r="L686" s="216"/>
      <c r="M686" s="2091" t="s">
        <v>714</v>
      </c>
      <c r="N686" s="2091" t="str">
        <f>IF(C683="","",C683)</f>
        <v/>
      </c>
      <c r="Q686" s="1944"/>
      <c r="R686" s="1944"/>
      <c r="S686" s="1944"/>
      <c r="T686" s="1944"/>
    </row>
    <row r="687" spans="1:21" ht="17.850000000000001" customHeight="1" x14ac:dyDescent="0.45">
      <c r="A687" s="2317"/>
      <c r="B687" s="2472"/>
      <c r="C687" s="2472"/>
      <c r="D687" s="2472"/>
      <c r="E687" s="2472"/>
      <c r="F687" s="2472"/>
      <c r="G687" s="2472"/>
      <c r="H687" s="2472"/>
      <c r="I687" s="2472"/>
      <c r="J687" s="46"/>
      <c r="K687" s="47"/>
      <c r="L687" s="591"/>
      <c r="M687" s="1944"/>
      <c r="N687" s="1944"/>
      <c r="O687" s="1944"/>
      <c r="P687" s="1944"/>
      <c r="Q687" s="1944"/>
      <c r="R687" s="1944"/>
      <c r="S687" s="1944"/>
      <c r="T687" s="1944"/>
    </row>
    <row r="688" spans="1:21" ht="17.850000000000001" customHeight="1" x14ac:dyDescent="0.45">
      <c r="A688" s="2613"/>
      <c r="B688" s="2613"/>
      <c r="C688" s="2613"/>
      <c r="D688" s="2613"/>
      <c r="E688" s="2613"/>
      <c r="F688" s="2613"/>
      <c r="G688" s="2613"/>
      <c r="H688" s="2613"/>
      <c r="I688" s="2613"/>
      <c r="L688" s="216"/>
      <c r="M688" s="1944"/>
      <c r="N688" s="1944"/>
      <c r="O688" s="1944"/>
      <c r="P688" s="1944"/>
    </row>
    <row r="689" spans="1:13" ht="25.05" customHeight="1" x14ac:dyDescent="0.45">
      <c r="A689" s="2928" t="str">
        <f>IF(A695="","Regie 5 -  [keine Beschäftigungsgruppe ausgewählt]",IF(D695=KALKULATION!$M$283," Regie 5 - [nicht vorhandene Beschäftigungsgruppe]",M690&amp;M691))</f>
        <v>Regie 5 -  [keine Beschäftigungsgruppe ausgewählt]</v>
      </c>
      <c r="B689" s="2929"/>
      <c r="C689" s="2929"/>
      <c r="D689" s="2929"/>
      <c r="E689" s="2929"/>
      <c r="F689" s="2929"/>
      <c r="G689" s="2929"/>
      <c r="H689" s="2929"/>
      <c r="I689" s="2929"/>
      <c r="J689" s="2530" t="str">
        <f>IF(AND(A696&amp;A697&amp;A698&amp;A699&lt;&gt;"",A695=""),"Die erste Eintragung muss in der 1. Zeile von R1 erfolgen!","")</f>
        <v/>
      </c>
      <c r="K689" s="2530"/>
      <c r="L689" s="2531"/>
    </row>
    <row r="690" spans="1:13" ht="17.850000000000001" customHeight="1" x14ac:dyDescent="0.45">
      <c r="A690" s="2317" t="s">
        <v>531</v>
      </c>
      <c r="B690" s="2501"/>
      <c r="C690" s="2502"/>
      <c r="D690" s="2778"/>
      <c r="E690" s="2529"/>
      <c r="F690" s="2529"/>
      <c r="G690" s="2529"/>
      <c r="H690" s="2529"/>
      <c r="I690" s="610"/>
      <c r="J690" s="2353" t="str">
        <f>IF(AND(COUNTA(A695:C699)=1,E695&lt;&gt;1),"Hinweis: Wenn nur eine Beschäftigungsgruppe angelegt wird, sollte die Anzahl 1,00 sein (wie Regie 1 bis Regie 4). Gfg korrigieren oder weitere Beschäftigte zur Bildung einer Partie hinzufügen","")</f>
        <v/>
      </c>
      <c r="K690" s="2353"/>
      <c r="L690" s="2354"/>
      <c r="M690" s="2097"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45">
      <c r="A691" s="2503"/>
      <c r="B691" s="2504"/>
      <c r="C691" s="2505"/>
      <c r="D691" s="2508"/>
      <c r="E691" s="2509"/>
      <c r="F691" s="2509"/>
      <c r="G691" s="2509"/>
      <c r="H691" s="2509"/>
      <c r="I691" s="610"/>
      <c r="J691" s="2353"/>
      <c r="K691" s="2353"/>
      <c r="L691" s="2354"/>
      <c r="M691" s="2097" t="str">
        <f>IF(AND(COUNTA(A695:C699)&gt;1,A695&lt;&gt;""),O746&amp;" 5 - 'Regiepartie' mit Ergebnis "&amp;IF(H693="Ø"," Ø-Preis/Person",IF(H693="∑"," Gesamtpreis der Partie"," (??) KZ in R0.b wählen!")),"")</f>
        <v/>
      </c>
    </row>
    <row r="692" spans="1:13" ht="17.850000000000001" customHeight="1" x14ac:dyDescent="0.45">
      <c r="A692" s="2285" t="s">
        <v>710</v>
      </c>
      <c r="B692" s="2286"/>
      <c r="C692" s="2287"/>
      <c r="D692" s="2459"/>
      <c r="E692" s="2510"/>
      <c r="F692" s="2510"/>
      <c r="G692" s="2510"/>
      <c r="H692" s="2510"/>
      <c r="I692" s="610"/>
      <c r="J692" s="2353"/>
      <c r="K692" s="2353"/>
      <c r="L692" s="2354"/>
    </row>
    <row r="693" spans="1:13" ht="17.850000000000001" customHeight="1" x14ac:dyDescent="0.45">
      <c r="A693" s="2285" t="s">
        <v>699</v>
      </c>
      <c r="B693" s="2286"/>
      <c r="C693" s="2286"/>
      <c r="D693" s="2286"/>
      <c r="E693" s="2286"/>
      <c r="F693" s="2286"/>
      <c r="G693" s="2286"/>
      <c r="H693" s="1208" t="s">
        <v>390</v>
      </c>
      <c r="I693" s="610"/>
      <c r="J693" s="1117" t="str">
        <f>IF(H693="","KZ für Berechnung der ges. Partie (∑) od. des Ø/Person?","")</f>
        <v/>
      </c>
      <c r="L693" s="216"/>
    </row>
    <row r="694" spans="1:13" ht="17.850000000000001" customHeight="1" thickBot="1" x14ac:dyDescent="0.5">
      <c r="A694" s="2511" t="s">
        <v>393</v>
      </c>
      <c r="B694" s="2511"/>
      <c r="C694" s="2511"/>
      <c r="D694" s="2511"/>
      <c r="E694" s="712" t="s">
        <v>18</v>
      </c>
      <c r="F694" s="712"/>
      <c r="G694" s="1008" t="s">
        <v>72</v>
      </c>
      <c r="H694" s="1116" t="s">
        <v>73</v>
      </c>
      <c r="I694" s="610"/>
      <c r="L694" s="216"/>
    </row>
    <row r="695" spans="1:13" ht="17.850000000000001" customHeight="1" thickTop="1" x14ac:dyDescent="0.45">
      <c r="A695" s="2337"/>
      <c r="B695" s="2337"/>
      <c r="C695" s="2337"/>
      <c r="D695" s="51">
        <f ca="1">IFERROR(VLOOKUP(A695,Stammdaten!A$7:D$33,4,FALSE),KALKULATION!$M$283)</f>
        <v>0</v>
      </c>
      <c r="E695" s="327"/>
      <c r="F695" s="1221" t="str">
        <f>IFERROR(E695/E$700,"")</f>
        <v/>
      </c>
      <c r="G695" s="136" t="str">
        <f ca="1">IFERROR(VLOOKUP(A695,Stammdaten!A$7:F$33,4,FALSE)*F695,"")</f>
        <v/>
      </c>
      <c r="H695" s="1217" t="str">
        <f ca="1">IFERROR(VLOOKUP(A695,Stammdaten!A$7:F$33,6,FALSE)*F695,"")</f>
        <v/>
      </c>
      <c r="I695" s="610"/>
      <c r="J695" s="2306" t="str">
        <f ca="1">IF(OR(COUNTA(A695,E695)=2,COUNTA(A695,E695)=0),IF(D695=KALKULATION!$M$283,"Auswahl erneut vornehmen (ungültiger Verweis)!",""),"Eingabe unvollständig (ergänzen oder löschen)!")</f>
        <v/>
      </c>
      <c r="K695" s="2306"/>
      <c r="L695" s="2307"/>
    </row>
    <row r="696" spans="1:13" ht="17.850000000000001" customHeight="1" x14ac:dyDescent="0.45">
      <c r="A696" s="2402"/>
      <c r="B696" s="2402"/>
      <c r="C696" s="2402"/>
      <c r="D696" s="48">
        <f ca="1">IFERROR(VLOOKUP(A696,Stammdaten!A$7:D$33,4,FALSE),KALKULATION!$M$283)</f>
        <v>0</v>
      </c>
      <c r="E696" s="380"/>
      <c r="F696" s="1222" t="str">
        <f>IFERROR(E696/E$700,"")</f>
        <v/>
      </c>
      <c r="G696" s="54" t="str">
        <f ca="1">IFERROR(VLOOKUP(A696,Stammdaten!A$7:F$33,4,FALSE)*F696,"")</f>
        <v/>
      </c>
      <c r="H696" s="1218" t="str">
        <f ca="1">IFERROR(VLOOKUP(A696,Stammdaten!A$7:F$33,6,FALSE)*F696,"")</f>
        <v/>
      </c>
      <c r="I696" s="610"/>
      <c r="J696" s="2306" t="str">
        <f ca="1">IF(OR(COUNTA(A696,E696)=2,COUNTA(A696,E696)=0),IF(D696=KALKULATION!$M$283,"Auswahl erneut vornehmen (ungültiger Verweis)!",""),"Eingabe unvollständig (ergänzen oder löschen)!")</f>
        <v/>
      </c>
      <c r="K696" s="2306"/>
      <c r="L696" s="2307"/>
    </row>
    <row r="697" spans="1:13" ht="17.850000000000001" customHeight="1" x14ac:dyDescent="0.45">
      <c r="A697" s="2299"/>
      <c r="B697" s="2300"/>
      <c r="C697" s="2328"/>
      <c r="D697" s="48">
        <f ca="1">IFERROR(VLOOKUP(A697,Stammdaten!A$7:D$33,4,FALSE),KALKULATION!$M$283)</f>
        <v>0</v>
      </c>
      <c r="E697" s="380"/>
      <c r="F697" s="1222" t="str">
        <f>IFERROR(E697/E$700,"")</f>
        <v/>
      </c>
      <c r="G697" s="54" t="str">
        <f ca="1">IFERROR(VLOOKUP(A697,Stammdaten!A$7:F$33,4,FALSE)*F697,"")</f>
        <v/>
      </c>
      <c r="H697" s="1218" t="str">
        <f ca="1">IFERROR(VLOOKUP(A697,Stammdaten!A$7:F$33,6,FALSE)*F697,"")</f>
        <v/>
      </c>
      <c r="I697" s="610"/>
      <c r="J697" s="2306" t="str">
        <f ca="1">IF(OR(COUNTA(A697,E697)=2,COUNTA(A697,E697)=0),IF(D697=KALKULATION!$M$283,"Auswahl erneut vornehmen (ungültiger Verweis)!",""),"Eingabe unvollständig (ergänzen oder löschen)!")</f>
        <v/>
      </c>
      <c r="K697" s="2306"/>
      <c r="L697" s="2307"/>
    </row>
    <row r="698" spans="1:13" ht="17.850000000000001" customHeight="1" x14ac:dyDescent="0.45">
      <c r="A698" s="2402"/>
      <c r="B698" s="2402"/>
      <c r="C698" s="2402"/>
      <c r="D698" s="48">
        <f ca="1">IFERROR(VLOOKUP(A698,Stammdaten!A$7:D$33,4,FALSE),KALKULATION!$M$283)</f>
        <v>0</v>
      </c>
      <c r="E698" s="380"/>
      <c r="F698" s="1222" t="str">
        <f>IFERROR(E698/E$700,"")</f>
        <v/>
      </c>
      <c r="G698" s="54" t="str">
        <f ca="1">IFERROR(VLOOKUP(A698,Stammdaten!A$7:F$33,4,FALSE)*F698,"")</f>
        <v/>
      </c>
      <c r="H698" s="1218" t="str">
        <f ca="1">IFERROR(VLOOKUP(A698,Stammdaten!A$7:F$33,6,FALSE)*F698,"")</f>
        <v/>
      </c>
      <c r="I698" s="610"/>
      <c r="J698" s="2306" t="str">
        <f ca="1">IF(OR(COUNTA(A698,E698)=2,COUNTA(A698,E698)=0),IF(D698=KALKULATION!$M$283,"Auswahl erneut vornehmen (ungültiger Verweis)!",""),"Eingabe unvollständig (ergänzen oder löschen)!")</f>
        <v/>
      </c>
      <c r="K698" s="2306"/>
      <c r="L698" s="2307"/>
    </row>
    <row r="699" spans="1:13" ht="17.850000000000001" customHeight="1" thickBot="1" x14ac:dyDescent="0.5">
      <c r="A699" s="2909"/>
      <c r="B699" s="2909"/>
      <c r="C699" s="2909"/>
      <c r="D699" s="60">
        <f ca="1">IFERROR(VLOOKUP(A699,Stammdaten!A$7:D$33,4,FALSE),KALKULATION!$M$283)</f>
        <v>0</v>
      </c>
      <c r="E699" s="328"/>
      <c r="F699" s="1223" t="str">
        <f>IFERROR(E699/E$700,"")</f>
        <v/>
      </c>
      <c r="G699" s="213" t="str">
        <f ca="1">IFERROR(VLOOKUP(A699,Stammdaten!A$7:F$33,4,FALSE)*F699,"")</f>
        <v/>
      </c>
      <c r="H699" s="1219" t="str">
        <f ca="1">IFERROR(VLOOKUP(A699,Stammdaten!A$7:F$33,6,FALSE)*F699,"")</f>
        <v/>
      </c>
      <c r="I699" s="610"/>
      <c r="J699" s="2306" t="str">
        <f ca="1">IF(OR(COUNTA(A699,E699)=2,COUNTA(A699,E699)=0),IF(D699=KALKULATION!$M$283,"Auswahl erneut vornehmen (ungültiger Verweis)!",""),"Eingabe unvollständig (ergänzen oder löschen)!")</f>
        <v/>
      </c>
      <c r="K699" s="2306"/>
      <c r="L699" s="2307"/>
    </row>
    <row r="700" spans="1:13" ht="17.850000000000001" customHeight="1" x14ac:dyDescent="0.45">
      <c r="A700" s="2243" t="s">
        <v>92</v>
      </c>
      <c r="B700" s="2336"/>
      <c r="C700" s="2336"/>
      <c r="D700" s="2244"/>
      <c r="E700" s="49">
        <f>SUM(E695:E699)</f>
        <v>0</v>
      </c>
      <c r="F700" s="382">
        <f>SUM(F695:F699)</f>
        <v>0</v>
      </c>
      <c r="G700" s="51">
        <f ca="1">IF(AND(_OK?="OK!",_OK_KV?="OK_KV!"),SUM(G695:G699),ROUNDUP(SUM(G695:G699),0))</f>
        <v>0</v>
      </c>
      <c r="H700" s="84">
        <f ca="1">SUM(H695:H699)</f>
        <v>0</v>
      </c>
      <c r="I700" s="611" t="str">
        <f ca="1">IF(OR(_OK?&lt;&gt;"OK!",_OK_KV?&lt;&gt;"OK_KV!"),"X","")</f>
        <v/>
      </c>
      <c r="J700" s="2329" t="str">
        <f>IF(E700&lt;1,M701,IF(H693="∑",IF(INT(E700)&lt;&gt;E700,"Hinweis: Partien bestehen aus ganzen 'Köpfen'! Ev. Eingaben ändern oder KZ auf Ø stellen.",""),""))</f>
        <v>Anzahl darf nicht unter 1,00 liegen!!</v>
      </c>
      <c r="K700" s="2329"/>
      <c r="L700" s="2330"/>
    </row>
    <row r="701" spans="1:13" ht="17.850000000000001" customHeight="1" x14ac:dyDescent="0.45">
      <c r="A701" s="2491" t="s">
        <v>891</v>
      </c>
      <c r="B701" s="2492"/>
      <c r="C701" s="2492"/>
      <c r="D701" s="2492"/>
      <c r="E701" s="2492"/>
      <c r="F701" s="2492"/>
      <c r="G701" s="2492"/>
      <c r="H701" s="2492"/>
      <c r="I701" s="610"/>
      <c r="J701" s="2329"/>
      <c r="K701" s="2329"/>
      <c r="L701" s="2330"/>
      <c r="M701" s="1338" t="s">
        <v>713</v>
      </c>
    </row>
    <row r="702" spans="1:13" ht="17.850000000000001" customHeight="1" thickBot="1" x14ac:dyDescent="0.5">
      <c r="A702" s="2446"/>
      <c r="B702" s="2447"/>
      <c r="C702" s="2448"/>
      <c r="D702" s="60">
        <f ca="1">IFERROR(VLOOKUP(A702,Stammdaten!A$7:D$33,4,FALSE),$M$283)</f>
        <v>0</v>
      </c>
      <c r="E702" s="359"/>
      <c r="F702" s="53" t="str">
        <f>IFERROR(IF(A702&lt;&gt;"",E702/E703,""),"")</f>
        <v/>
      </c>
      <c r="G702" s="60" t="str">
        <f ca="1">IFERROR(VLOOKUP(A702,Stammdaten!A$7:F$33,4,FALSE)*F702,"")</f>
        <v/>
      </c>
      <c r="H702" s="569" t="str">
        <f ca="1">IFERROR(VLOOKUP(A702,Stammdaten!A$7:F$33,6,FALSE)*F702,"")</f>
        <v/>
      </c>
      <c r="I702" s="612"/>
      <c r="J702" s="2306" t="str">
        <f ca="1">IF(OR(COUNTA(A702,E702)=2,COUNTA(A702,E702)=0),IF(D702=KALKULATION!$M$283,"Auswahl erneut vornehmen (ungültiger Verweis)!",""),"Eingabe unvollständig (ergänzen oder löschen)!")</f>
        <v/>
      </c>
      <c r="K702" s="2306"/>
      <c r="L702" s="2307"/>
    </row>
    <row r="703" spans="1:13" ht="17.850000000000001" customHeight="1" x14ac:dyDescent="0.45">
      <c r="A703" s="392" t="s">
        <v>92</v>
      </c>
      <c r="B703" s="373"/>
      <c r="C703" s="373"/>
      <c r="D703" s="212"/>
      <c r="E703" s="64">
        <f>SUM(E702:E702)</f>
        <v>0</v>
      </c>
      <c r="F703" s="50">
        <f>SUM(F702:F702)</f>
        <v>0</v>
      </c>
      <c r="G703" s="51">
        <f ca="1">SUM(G702:G702)</f>
        <v>0</v>
      </c>
      <c r="H703" s="84">
        <f ca="1">SUM(H702:H702)</f>
        <v>0</v>
      </c>
      <c r="I703" s="610"/>
      <c r="J703" s="2306" t="str">
        <f>IF(E703&gt;=E700,"Unzulässige Umlage (R2 größer/gleich R1)!!!",IF(AND(E703&lt;&gt;0,G700=0),"Beschäftigungsgruppe in R1 wählen!",""))</f>
        <v>Unzulässige Umlage (R2 größer/gleich R1)!!!</v>
      </c>
      <c r="K703" s="2306"/>
      <c r="L703" s="2307"/>
    </row>
    <row r="704" spans="1:13" ht="17.850000000000001" customHeight="1" x14ac:dyDescent="0.45">
      <c r="A704" s="2285" t="s">
        <v>839</v>
      </c>
      <c r="B704" s="2286"/>
      <c r="C704" s="2286"/>
      <c r="D704" s="2286"/>
      <c r="E704" s="2286"/>
      <c r="F704" s="2286"/>
      <c r="G704" s="2286"/>
      <c r="H704" s="570">
        <v>0</v>
      </c>
      <c r="I704" s="613"/>
      <c r="L704" s="216"/>
    </row>
    <row r="705" spans="1:18" ht="17.850000000000001" customHeight="1" x14ac:dyDescent="0.45">
      <c r="A705" s="2482"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483"/>
      <c r="C705" s="2483"/>
      <c r="D705" s="2483"/>
      <c r="E705" s="2483"/>
      <c r="F705" s="2483"/>
      <c r="G705" s="367">
        <f>IF(H704=1,E700,E700-E703)</f>
        <v>0</v>
      </c>
      <c r="H705" s="367">
        <f>E703</f>
        <v>0</v>
      </c>
      <c r="I705" s="610"/>
      <c r="J705" s="2334" t="str">
        <f>IF(AND(ISBLANK(H704),E703&lt;&gt;0),"Kennzeichen eingeben! Es sind unprod. Zeiten kalkuliert.","")</f>
        <v/>
      </c>
      <c r="K705" s="2334"/>
      <c r="L705" s="2335"/>
    </row>
    <row r="706" spans="1:18" ht="17.850000000000001" customHeight="1" x14ac:dyDescent="0.45">
      <c r="A706" s="2489"/>
      <c r="B706" s="2490"/>
      <c r="C706" s="2490"/>
      <c r="D706" s="2490"/>
      <c r="E706" s="2490"/>
      <c r="F706" s="2490"/>
      <c r="G706" s="2490"/>
      <c r="H706" s="2490"/>
      <c r="I706" s="610"/>
      <c r="J706" s="2414" t="str">
        <f>IFERROR(IF(H705/G705&gt;Report!$F$7,"Hinweis: Unproduktiver Anteil erscheint hoch!",""),"Der unprod. Anteil löst eine Division mit 0 aus!")</f>
        <v>Der unprod. Anteil löst eine Division mit 0 aus!</v>
      </c>
      <c r="K706" s="2414"/>
      <c r="L706" s="2415"/>
    </row>
    <row r="707" spans="1:18" ht="17.850000000000001" customHeight="1" thickBot="1" x14ac:dyDescent="0.5">
      <c r="A707" s="2324" t="s">
        <v>380</v>
      </c>
      <c r="B707" s="2325"/>
      <c r="C707" s="2526"/>
      <c r="D707" s="857" t="s">
        <v>72</v>
      </c>
      <c r="E707" s="858" t="s">
        <v>73</v>
      </c>
      <c r="F707" s="859" t="s">
        <v>118</v>
      </c>
      <c r="G707" s="860" t="s">
        <v>85</v>
      </c>
      <c r="H707" s="861" t="s">
        <v>73</v>
      </c>
      <c r="I707" s="610"/>
      <c r="L707" s="216"/>
    </row>
    <row r="708" spans="1:18" ht="17.850000000000001" customHeight="1" x14ac:dyDescent="0.45">
      <c r="A708" s="700" t="str">
        <f>A$498</f>
        <v>Verrechenbare Zeit</v>
      </c>
      <c r="B708" s="701"/>
      <c r="C708" s="877">
        <f>G705</f>
        <v>0</v>
      </c>
      <c r="D708" s="703">
        <f ca="1">G700*C708</f>
        <v>0</v>
      </c>
      <c r="E708" s="704">
        <f ca="1">H700*C708</f>
        <v>0</v>
      </c>
      <c r="F708" s="705" t="s">
        <v>204</v>
      </c>
      <c r="G708" s="682">
        <f ca="1">D708</f>
        <v>0</v>
      </c>
      <c r="H708" s="683" t="str">
        <f>IF(D711=_Ja,"",D710)</f>
        <v/>
      </c>
      <c r="I708" s="610"/>
      <c r="L708" s="216"/>
    </row>
    <row r="709" spans="1:18" ht="17.850000000000001" customHeight="1" thickBot="1" x14ac:dyDescent="0.5">
      <c r="A709" s="684" t="str">
        <f>A$499</f>
        <v>Nicht verrechenb. Zeit</v>
      </c>
      <c r="B709" s="685"/>
      <c r="C709" s="878">
        <f>H705</f>
        <v>0</v>
      </c>
      <c r="D709" s="687">
        <f ca="1">G703*C709</f>
        <v>0</v>
      </c>
      <c r="E709" s="688">
        <f ca="1">H705*H703</f>
        <v>0</v>
      </c>
      <c r="F709" s="706" t="s">
        <v>203</v>
      </c>
      <c r="G709" s="690">
        <f ca="1">D709</f>
        <v>0</v>
      </c>
      <c r="H709" s="691" t="str">
        <f>IF(D711=_Ja,"",E710)</f>
        <v/>
      </c>
      <c r="I709" s="610"/>
      <c r="L709" s="216"/>
    </row>
    <row r="710" spans="1:18" ht="17.850000000000001" customHeight="1" x14ac:dyDescent="0.45">
      <c r="A710" s="692"/>
      <c r="B710" s="693"/>
      <c r="C710" s="694" t="s">
        <v>56</v>
      </c>
      <c r="D710" s="695">
        <f ca="1">SUM(D708:D709)</f>
        <v>0</v>
      </c>
      <c r="E710" s="696">
        <f ca="1">SUM(E708:E709)</f>
        <v>0</v>
      </c>
      <c r="F710" s="707" t="s">
        <v>86</v>
      </c>
      <c r="G710" s="708" t="e">
        <f ca="1">G709/G708</f>
        <v>#DIV/0!</v>
      </c>
      <c r="H710" s="709">
        <f ca="1">IF(D711=_Ja,$H$73,H709/H708)</f>
        <v>0.151</v>
      </c>
      <c r="I710" s="611" t="str">
        <f>IF(D711=_Ja,"X","")</f>
        <v>X</v>
      </c>
      <c r="L710" s="216"/>
    </row>
    <row r="711" spans="1:18" ht="17.850000000000001" customHeight="1" thickBot="1" x14ac:dyDescent="0.5">
      <c r="A711" s="2469" t="str">
        <f ca="1">"Ø AKV Pkt B ist "&amp;TEXT($H$73,"0,00%")&amp;". Beibehalten?"</f>
        <v>Ø AKV Pkt B ist 15,10%. Beibehalten?</v>
      </c>
      <c r="B711" s="2470"/>
      <c r="C711" s="2471"/>
      <c r="D711" s="823" t="s">
        <v>192</v>
      </c>
      <c r="E711" s="2517" t="s">
        <v>381</v>
      </c>
      <c r="F711" s="2518"/>
      <c r="G711" s="378"/>
      <c r="H711" s="379"/>
      <c r="I711" s="611" t="str">
        <f>IF(OR(G711&lt;&gt;0,H711&lt;&gt;0),"X","")</f>
        <v/>
      </c>
      <c r="L711" s="216"/>
    </row>
    <row r="712" spans="1:18" ht="25.05" customHeight="1" x14ac:dyDescent="0.45">
      <c r="A712" s="2514"/>
      <c r="B712" s="2515"/>
      <c r="C712" s="2515"/>
      <c r="D712" s="2515"/>
      <c r="E712" s="2527" t="s">
        <v>554</v>
      </c>
      <c r="F712" s="2528"/>
      <c r="G712" s="86" t="e">
        <f ca="1">SUM(G710,G711)</f>
        <v>#DIV/0!</v>
      </c>
      <c r="H712" s="154">
        <f ca="1">SUM(H710,H711)</f>
        <v>0.151</v>
      </c>
      <c r="I712" s="610"/>
      <c r="L712" s="216"/>
    </row>
    <row r="713" spans="1:18" ht="17.850000000000001" customHeight="1" x14ac:dyDescent="0.45">
      <c r="A713" s="2478"/>
      <c r="B713" s="2516"/>
      <c r="C713" s="2516"/>
      <c r="D713" s="2516"/>
      <c r="E713" s="2478"/>
      <c r="F713" s="2479"/>
      <c r="G713" s="368" t="s">
        <v>121</v>
      </c>
      <c r="H713" s="369" t="s">
        <v>122</v>
      </c>
      <c r="I713" s="610"/>
      <c r="L713" s="216"/>
    </row>
    <row r="714" spans="1:18" ht="17.850000000000001" customHeight="1" x14ac:dyDescent="0.45">
      <c r="A714" s="1190" t="s">
        <v>382</v>
      </c>
      <c r="B714" s="829"/>
      <c r="C714" s="829"/>
      <c r="D714" s="2409" t="str">
        <f>IF(H693="∑","Regiepartie gesamt "&amp;TEXT(E700,"0")&amp;" Personen","Ø-Preis pro Person")</f>
        <v>Regiepartie gesamt 0 Personen</v>
      </c>
      <c r="E714" s="2409"/>
      <c r="F714" s="2409"/>
      <c r="G714" s="832"/>
      <c r="H714" s="830">
        <f ca="1">' K3 Regie5'!N45</f>
        <v>0</v>
      </c>
      <c r="I714" s="829"/>
      <c r="L714" s="216"/>
    </row>
    <row r="715" spans="1:18" ht="17.850000000000001" customHeight="1" x14ac:dyDescent="0.45">
      <c r="A715" s="2410" t="s">
        <v>630</v>
      </c>
      <c r="B715" s="2411"/>
      <c r="C715" s="2411"/>
      <c r="D715" s="2411"/>
      <c r="E715" s="2411"/>
      <c r="F715" s="2411"/>
      <c r="G715" s="2411"/>
      <c r="H715" s="2411"/>
      <c r="I715" s="610"/>
      <c r="J715" s="2487" t="str">
        <f>IF(OR(I716="X",I721="X"),M$301,"")</f>
        <v/>
      </c>
      <c r="K715" s="2487"/>
      <c r="L715" s="2488"/>
    </row>
    <row r="716" spans="1:18" ht="17.850000000000001" customHeight="1" x14ac:dyDescent="0.45">
      <c r="A716" s="2285" t="s">
        <v>702</v>
      </c>
      <c r="B716" s="2286"/>
      <c r="C716" s="2287"/>
      <c r="D716" s="862" t="s">
        <v>769</v>
      </c>
      <c r="E716" s="2299" t="s">
        <v>898</v>
      </c>
      <c r="F716" s="2300"/>
      <c r="G716" s="2328"/>
      <c r="H716" s="1007">
        <f>IFERROR(VLOOKUP(E716,M716:N718,2,FALSE),"")</f>
        <v>0</v>
      </c>
      <c r="I716" s="611" t="str">
        <f>IF(E716&lt;&gt;M716,"X","")</f>
        <v/>
      </c>
      <c r="J716" s="2487"/>
      <c r="K716" s="2487"/>
      <c r="L716" s="2488"/>
      <c r="M716" s="2018" t="str">
        <f t="shared" ref="M716:N718" si="65">M438</f>
        <v>1. Standard (ÖN B 2110) ohne Zulagen</v>
      </c>
      <c r="N716" s="2094">
        <f t="shared" si="65"/>
        <v>0</v>
      </c>
    </row>
    <row r="717" spans="1:18" ht="17.850000000000001" customHeight="1" thickBot="1" x14ac:dyDescent="0.5">
      <c r="A717" s="669" t="s">
        <v>628</v>
      </c>
      <c r="B717" s="670"/>
      <c r="C717" s="671" t="s">
        <v>627</v>
      </c>
      <c r="D717" s="671" t="s">
        <v>629</v>
      </c>
      <c r="E717" s="671" t="s">
        <v>159</v>
      </c>
      <c r="F717" s="671" t="s">
        <v>8</v>
      </c>
      <c r="G717" s="671" t="s">
        <v>9</v>
      </c>
      <c r="H717" s="672" t="s">
        <v>10</v>
      </c>
      <c r="I717" s="610"/>
      <c r="L717" s="216"/>
      <c r="M717" s="2018" t="str">
        <f t="shared" si="65"/>
        <v>2. Wert gem Kalkulation Pkt D (K3_PP)</v>
      </c>
      <c r="N717" s="2094">
        <f ca="1">N439</f>
        <v>0.03</v>
      </c>
    </row>
    <row r="718" spans="1:18" ht="30" customHeight="1" thickTop="1" x14ac:dyDescent="0.45">
      <c r="A718" s="2389"/>
      <c r="B718" s="2390"/>
      <c r="C718" s="763">
        <v>1</v>
      </c>
      <c r="D718" s="868">
        <v>1</v>
      </c>
      <c r="E718" s="869" t="str">
        <f>IF(ISBLANK(A718),"",IF(L$27="",IFERROR(VLOOKUP(A718,Stammdaten!$A$70:$C$96,3,FALSE),KALKULATION!$M$283),"ungültig"))</f>
        <v/>
      </c>
      <c r="F718" s="673" t="str">
        <f>IFERROR(C718*D718*E718,"")</f>
        <v/>
      </c>
      <c r="G718" s="674">
        <f ca="1">IFERROR(VLOOKUP(A718,Stammdaten!$A$70:$C$96,2,FALSE),"")</f>
        <v>0</v>
      </c>
      <c r="H718" s="675">
        <f ca="1">IFERROR(C718*D718*G718,"")</f>
        <v>0</v>
      </c>
      <c r="I718" s="610"/>
      <c r="J718" s="2487" t="str">
        <f>VLOOKUP(E721,M721:Q724,5,FALSE)</f>
        <v>Hinweis zu R4.b - 1.) Wenn der Regiepreis keine Arbeitszeitzuschläge enthalten soll (Regelung gem ÖN B 2110) ist diese Einstellung (1.) zutreffend.</v>
      </c>
      <c r="K718" s="2487"/>
      <c r="L718" s="2488"/>
      <c r="M718" s="2018" t="str">
        <f t="shared" si="65"/>
        <v>3. Eigene Kalkulation für den Regiepreis</v>
      </c>
      <c r="N718" s="1955" t="str">
        <f t="shared" si="65"/>
        <v>berechnen:</v>
      </c>
    </row>
    <row r="719" spans="1:18" ht="17.850000000000001" customHeight="1" x14ac:dyDescent="0.45">
      <c r="A719" s="863"/>
      <c r="B719" s="864"/>
      <c r="C719" s="864"/>
      <c r="D719" s="871" t="s">
        <v>703</v>
      </c>
      <c r="E719" s="870" t="e">
        <f ca="1">' K3 Regie5'!O$21</f>
        <v>#DIV/0!</v>
      </c>
      <c r="F719" s="867">
        <f ca="1">IFERROR(F718/E719,0)</f>
        <v>0</v>
      </c>
      <c r="G719" s="865" t="str">
        <f ca="1">IF(G718=0,"",$G$131)</f>
        <v/>
      </c>
      <c r="H719" s="1004">
        <f ca="1">IFERROR(H718*G719,0)</f>
        <v>0</v>
      </c>
      <c r="I719" s="610"/>
      <c r="J719" s="2487"/>
      <c r="K719" s="2487"/>
      <c r="L719" s="2488"/>
    </row>
    <row r="720" spans="1:18" ht="17.850000000000001" customHeight="1" x14ac:dyDescent="0.45">
      <c r="A720" s="392" t="s">
        <v>766</v>
      </c>
      <c r="B720" s="67"/>
      <c r="C720" s="346"/>
      <c r="D720" s="346"/>
      <c r="E720" s="346"/>
      <c r="F720" s="497"/>
      <c r="G720" s="346"/>
      <c r="H720" s="92">
        <f>IFERROR(IF(E716=M718,SUM(F719,H719),H716),"")</f>
        <v>0</v>
      </c>
      <c r="I720" s="610"/>
      <c r="J720" s="2487"/>
      <c r="K720" s="2487"/>
      <c r="L720" s="2488"/>
      <c r="M720" s="1962" t="str">
        <f>M$442</f>
        <v>DD Arbeitszeitzuschläge</v>
      </c>
      <c r="N720" s="1962"/>
      <c r="O720" s="1962"/>
      <c r="P720" s="1962" t="str">
        <f t="shared" ref="P720" si="66">P$442</f>
        <v>Text in K3</v>
      </c>
      <c r="Q720" s="1962" t="str">
        <f>Q$442</f>
        <v>Text in Kalk</v>
      </c>
      <c r="R720" s="1964"/>
    </row>
    <row r="721" spans="1:18" ht="17.850000000000001" customHeight="1" x14ac:dyDescent="0.45">
      <c r="A721" s="2491" t="s">
        <v>765</v>
      </c>
      <c r="B721" s="2492"/>
      <c r="C721" s="2492"/>
      <c r="D721" s="925" t="s">
        <v>768</v>
      </c>
      <c r="E721" s="2299" t="s">
        <v>879</v>
      </c>
      <c r="F721" s="2300"/>
      <c r="G721" s="2300"/>
      <c r="H721" s="1007">
        <f>VLOOKUP(E721,M721:N724,2,FALSE)</f>
        <v>0</v>
      </c>
      <c r="I721" s="611" t="str">
        <f>IF(E721&lt;&gt;M721,"X","")</f>
        <v/>
      </c>
      <c r="J721" s="2487"/>
      <c r="K721" s="2487"/>
      <c r="L721" s="2488"/>
      <c r="M721" s="2018" t="str">
        <f>M$443</f>
        <v>1. Standard (ÖN B 2110) ohne Zuschlag</v>
      </c>
      <c r="N721" s="2003">
        <f t="shared" ref="N721:Q721" si="67">N$443</f>
        <v>0</v>
      </c>
      <c r="O721" s="1955"/>
      <c r="P721" s="1955" t="str">
        <f t="shared" si="67"/>
        <v>Regiestunde</v>
      </c>
      <c r="Q721" s="1955" t="str">
        <f t="shared" si="67"/>
        <v>Hinweis zu R4.b - 1.) Wenn der Regiepreis keine Arbeitszeitzuschläge enthalten soll (Regelung gem ÖN B 2110) ist diese Einstellung (1.) zutreffend.</v>
      </c>
      <c r="R721" s="1969"/>
    </row>
    <row r="722" spans="1:18" ht="17.850000000000001" customHeight="1" x14ac:dyDescent="0.45">
      <c r="A722" s="2412" t="s">
        <v>561</v>
      </c>
      <c r="B722" s="2413"/>
      <c r="C722" s="2413"/>
      <c r="D722" s="2413"/>
      <c r="E722" s="551" t="s">
        <v>376</v>
      </c>
      <c r="F722" s="522" t="s">
        <v>192</v>
      </c>
      <c r="G722" s="923">
        <v>1</v>
      </c>
      <c r="H722" s="604"/>
      <c r="I722" s="611" t="str">
        <f>IF(AND(E721=M724,F722=_Ja),"X","")</f>
        <v/>
      </c>
      <c r="J722" s="2334" t="str">
        <f>IF(OR(F722=$Q$31,F722=$Q$32),"","Bitte Ja oder Nein wählen!")</f>
        <v/>
      </c>
      <c r="K722" s="2334"/>
      <c r="L722" s="2335"/>
      <c r="M722" s="2018" t="str">
        <f>M$444</f>
        <v>2. Regie mit Ø-Zuschlag wie K3 Zeile 8</v>
      </c>
      <c r="N722" s="2003">
        <f t="shared" ref="N722:Q722" ca="1" si="68">N$444</f>
        <v>2.5999999999999999E-2</v>
      </c>
      <c r="O722" s="1955"/>
      <c r="P722" s="1955" t="str">
        <f t="shared" si="68"/>
        <v>Regiestd. (Ø-% wie K3 Z 8)</v>
      </c>
      <c r="Q722" s="1955" t="str">
        <f t="shared" si="6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9"/>
    </row>
    <row r="723" spans="1:18" ht="17.850000000000001" customHeight="1" x14ac:dyDescent="0.45">
      <c r="A723" s="538" t="s">
        <v>377</v>
      </c>
      <c r="B723" s="2331"/>
      <c r="C723" s="2332"/>
      <c r="D723" s="2333"/>
      <c r="E723" s="540" t="str">
        <f>IF(OR(ISBLANK(B723),F722=_Nein),"",IFERROR(VLOOKUP(B723,Stammdaten!A$39:C$48,3,FALSE),KALKULATION!$M$283))</f>
        <v/>
      </c>
      <c r="F723" s="1098"/>
      <c r="G723" s="542"/>
      <c r="H723" s="605"/>
      <c r="I723" s="611"/>
      <c r="J723" s="2306" t="str">
        <f>IF(F722&lt;&gt;$Q$31,"",IF(AND(E723=KALKULATION!$M$283,F722=$Q$31),"Auswahl erneut vornehmen (ungültiger Verweis)!",IF(OR(AND(F722=$Q$31,B723=""),AND(F722=$Q$32,B723&lt;&gt;"")),"Eingabe unvollständig (ergänzen,  löschen od Nein wählen)!","")))</f>
        <v>Eingabe unvollständig (ergänzen,  löschen od Nein wählen)!</v>
      </c>
      <c r="K723" s="2306"/>
      <c r="L723" s="2307"/>
      <c r="M723" s="2018" t="str">
        <f>M$445</f>
        <v>3. Regie mit Std-Zuschlag wie K3</v>
      </c>
      <c r="N723" s="2003">
        <f t="shared" ref="N723:Q723" ca="1" si="69">N$445</f>
        <v>0.67330000000000001</v>
      </c>
      <c r="O723" s="1955"/>
      <c r="P723" s="1955" t="str">
        <f t="shared" si="69"/>
        <v>Regiestd. (Std-% analog K3)</v>
      </c>
      <c r="Q723" s="1955" t="str">
        <f t="shared" si="6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9"/>
    </row>
    <row r="724" spans="1:18" ht="17.850000000000001" customHeight="1" x14ac:dyDescent="0.45">
      <c r="A724" s="2480" t="s">
        <v>135</v>
      </c>
      <c r="B724" s="2481"/>
      <c r="C724" s="2481"/>
      <c r="D724" s="2481"/>
      <c r="E724" s="539">
        <f ca="1">IFERROR(IF(VLOOKUP(B723,Stammdaten!A$39:C$48,2,FALSE)=0,1,(VLOOKUP(B723,Stammdaten!A$39:C$48,2,FALSE))),"")</f>
        <v>1</v>
      </c>
      <c r="F724" s="1098"/>
      <c r="G724" s="543"/>
      <c r="H724" s="606"/>
      <c r="I724" s="611"/>
      <c r="L724" s="216"/>
      <c r="M724" s="2018" t="str">
        <f>M$446</f>
        <v>4. Regie berechnen</v>
      </c>
      <c r="N724" s="1955" t="str">
        <f t="shared" ref="N724:Q724" si="70">N$446</f>
        <v>berechnen:</v>
      </c>
      <c r="O724" s="1955"/>
      <c r="P724" s="1955"/>
      <c r="Q724" s="1955" t="str">
        <f t="shared" si="70"/>
        <v>Hinweis zu R4.b - 4.) Wenn ein Regiepreis unter kalkulatorischer Beachtung zeitlicher Rahmenbedingungen zu nennen ist, ist diese Auswahl zutreffend. Mehrarbeitszuschläge und Verr.std.zuschläge lassen sich individuell getrennt erfassen.</v>
      </c>
      <c r="R724" s="1969"/>
    </row>
    <row r="725" spans="1:18" ht="17.850000000000001" customHeight="1" x14ac:dyDescent="0.45">
      <c r="A725" s="2498" t="s">
        <v>558</v>
      </c>
      <c r="B725" s="2499"/>
      <c r="C725" s="2499"/>
      <c r="D725" s="2499"/>
      <c r="E725" s="2500"/>
      <c r="F725" s="351">
        <v>1</v>
      </c>
      <c r="G725" s="544">
        <f>IF(F725=1,1,IF(F725=2,((' K3 Regie5'!O$23+' K3 Regie5'!O$24)/' K3 Regie5'!O$23),IF(F725&gt;2,((' K3 Regie5'!O$23+' K3 Regie5'!O$24+' K3 Regie5'!O$25)/' K3 Regie5'!O$23),"")))</f>
        <v>1</v>
      </c>
      <c r="H725" s="605" t="str">
        <f ca="1">IFERROR(IF(AND(F722=$Q$31,F725&gt;0),(E723*E724*G725),""),"??")</f>
        <v>??</v>
      </c>
      <c r="I725" s="611"/>
      <c r="J725" s="1087" t="str">
        <f>IF(F722&lt;&gt;$Q$31,"",IF(AND(ISBLANK(F725),F722=$Q$31),"Kennzeichen setzen!",""))</f>
        <v/>
      </c>
      <c r="K725" s="1087"/>
      <c r="L725" s="365"/>
      <c r="M725" s="2072" t="s">
        <v>863</v>
      </c>
      <c r="R725" s="1969"/>
    </row>
    <row r="726" spans="1:18" ht="17.850000000000001" customHeight="1" x14ac:dyDescent="0.45">
      <c r="A726" s="2412" t="s">
        <v>563</v>
      </c>
      <c r="B726" s="2413"/>
      <c r="C726" s="2413"/>
      <c r="D726" s="2413"/>
      <c r="E726" s="551" t="s">
        <v>376</v>
      </c>
      <c r="F726" s="522" t="s">
        <v>192</v>
      </c>
      <c r="G726" s="541"/>
      <c r="H726" s="604"/>
      <c r="I726" s="611" t="str">
        <f>IF(AND(E721=M724,F726=_Ja),"X","")</f>
        <v/>
      </c>
      <c r="J726" s="2334"/>
      <c r="K726" s="2334"/>
      <c r="L726" s="2335"/>
      <c r="M726" s="1338" t="s">
        <v>856</v>
      </c>
      <c r="N726" s="2073" t="str">
        <f>IF(E721=M722,P722,IF(E721=M723,P723,IF(AND(E721=M724,F722=_Ja),B723,P721)))</f>
        <v>Regiestunde</v>
      </c>
      <c r="O726" s="2068"/>
      <c r="P726" s="2003" t="str">
        <f>IF(AND(E721=M724,F722=_Ja),TEXT(E723,"0%"),IF(N726=P722,TEXT(N722,"0,00%"),IF(N726=P723,TEXT($P$113,"0%"),"")))</f>
        <v/>
      </c>
      <c r="R726" s="1969"/>
    </row>
    <row r="727" spans="1:18" ht="17.850000000000001" customHeight="1" x14ac:dyDescent="0.45">
      <c r="A727" s="538" t="s">
        <v>377</v>
      </c>
      <c r="B727" s="2331"/>
      <c r="C727" s="2332"/>
      <c r="D727" s="2333"/>
      <c r="E727" s="547" t="str">
        <f>IF(OR(ISBLANK(B727),F726=_Nein),"",IFERROR(VLOOKUP(B727,Stammdaten!A$50:C$54,3,FALSE),KALKULATION!$M$283))</f>
        <v/>
      </c>
      <c r="F727" s="1098"/>
      <c r="G727" s="542"/>
      <c r="H727" s="605"/>
      <c r="I727" s="611"/>
      <c r="J727" s="2306" t="str">
        <f>IF(F726&lt;&gt;$Q$31,"",IF(AND(E727=KALKULATION!$M$283,F726=$Q$31),"Auswahl erneut vornehmen (ungültiger Verweis)!",IF(OR(AND(F726=$Q$31,B727=""),AND(F726=$Q$32,B727&lt;&gt;"")),"Eingabe unvollständig (ergänzen,  löschen od Nein wählen)!","")))</f>
        <v>Eingabe unvollständig (ergänzen,  löschen od Nein wählen)!</v>
      </c>
      <c r="K727" s="2306"/>
      <c r="L727" s="2307"/>
      <c r="M727" s="1338" t="s">
        <v>860</v>
      </c>
      <c r="N727" s="2074" t="str">
        <f>IF(AND(E721=M724,F726=_Ja),B727,"")</f>
        <v/>
      </c>
      <c r="O727" s="2075"/>
      <c r="P727" s="2003" t="str">
        <f>IF(N727="","",E727)</f>
        <v/>
      </c>
      <c r="Q727" s="1943"/>
      <c r="R727" s="2076"/>
    </row>
    <row r="728" spans="1:18" ht="17.850000000000001" customHeight="1" x14ac:dyDescent="0.45">
      <c r="A728" s="2403" t="s">
        <v>198</v>
      </c>
      <c r="B728" s="2404"/>
      <c r="C728" s="2404"/>
      <c r="D728" s="2404"/>
      <c r="E728" s="539">
        <f ca="1">IFERROR(IF(VLOOKUP(B727,Stammdaten!A$50:C$54,2,FALSE)=0,1,(VLOOKUP(B727,Stammdaten!A$50:C$54,2,FALSE))),"")</f>
        <v>1</v>
      </c>
      <c r="F728" s="1098"/>
      <c r="G728" s="543"/>
      <c r="H728" s="606"/>
      <c r="I728" s="611"/>
      <c r="L728" s="216"/>
      <c r="M728" s="1338" t="s">
        <v>861</v>
      </c>
      <c r="N728" s="2074" t="str">
        <f>IF(AND(E721=M724,F730=_Ja),B731,"")</f>
        <v/>
      </c>
      <c r="O728" s="2018"/>
      <c r="P728" s="2077" t="str">
        <f>IF(N728="","",E731)</f>
        <v/>
      </c>
      <c r="Q728" s="1943"/>
      <c r="R728" s="2076"/>
    </row>
    <row r="729" spans="1:18" ht="17.850000000000001" customHeight="1" x14ac:dyDescent="0.45">
      <c r="A729" s="2498" t="str">
        <f>A725</f>
        <v xml:space="preserve">  Basis für die Aufzahlung in % (siehe Pkt C0; KZ = 1, 2, 3 od. 4):  ↓</v>
      </c>
      <c r="B729" s="2499"/>
      <c r="C729" s="2499"/>
      <c r="D729" s="2499"/>
      <c r="E729" s="2500"/>
      <c r="F729" s="351">
        <v>1</v>
      </c>
      <c r="G729" s="544">
        <f>IF(F729=1,1,IF(F729=2,((' K3 Regie5'!O$23+' K3 Regie5'!O$24)/' K3 Regie5'!O$23),IF(F729&gt;2,((' K3 Regie5'!O$23+' K3 Regie5'!O$24+' K3 Regie5'!O$25)/' K3 Regie5'!O$23),"")))</f>
        <v>1</v>
      </c>
      <c r="H729" s="605" t="str">
        <f ca="1">IFERROR(IF(F726=$Q$31,(E727*E728*G729),""),"??")</f>
        <v>??</v>
      </c>
      <c r="I729" s="611"/>
      <c r="J729" s="2334" t="str">
        <f>IF(F726&lt;&gt;$Q$31,"",IF(AND(ISBLANK(F729),F726=$Q$31),"Kennzeichen setzen!",""))</f>
        <v/>
      </c>
      <c r="K729" s="2334"/>
      <c r="L729" s="360"/>
      <c r="M729" s="1338" t="s">
        <v>865</v>
      </c>
      <c r="N729" s="1338">
        <f>IF(AND(N727&lt;&gt;"",N728&lt;&gt;""),2,IF(N727&amp;N728="",0,1))</f>
        <v>0</v>
      </c>
      <c r="R729" s="1969"/>
    </row>
    <row r="730" spans="1:18" ht="17.850000000000001" customHeight="1" x14ac:dyDescent="0.45">
      <c r="A730" s="2412" t="s">
        <v>564</v>
      </c>
      <c r="B730" s="2413"/>
      <c r="C730" s="2413"/>
      <c r="D730" s="2413"/>
      <c r="E730" s="551" t="s">
        <v>376</v>
      </c>
      <c r="F730" s="522" t="s">
        <v>192</v>
      </c>
      <c r="G730" s="545"/>
      <c r="H730" s="607"/>
      <c r="I730" s="611" t="str">
        <f>IF(AND(E721=M724,F730=_Ja),"X","")</f>
        <v/>
      </c>
      <c r="J730" s="2334"/>
      <c r="K730" s="2334"/>
      <c r="L730" s="2335"/>
      <c r="M730" s="1971"/>
      <c r="N730" s="2078" t="str">
        <f>IF(N729=2," "&amp;N727&amp;" "&amp;", "&amp;N728,IF(N729=1," "&amp;N727&amp;N728,""))</f>
        <v/>
      </c>
      <c r="O730" s="2078"/>
      <c r="P730" s="1971"/>
      <c r="Q730" s="1971"/>
      <c r="R730" s="1978"/>
    </row>
    <row r="731" spans="1:18" ht="17.850000000000001" customHeight="1" x14ac:dyDescent="0.45">
      <c r="A731" s="550" t="s">
        <v>377</v>
      </c>
      <c r="B731" s="2332"/>
      <c r="C731" s="2332"/>
      <c r="D731" s="2332"/>
      <c r="E731" s="548" t="str">
        <f>IF(OR(ISBLANK(B731),F730=_Nein),"",IFERROR(VLOOKUP(B731,Stammdaten!A$57:C$61,2,FALSE),KALKULATION!$M$283))</f>
        <v/>
      </c>
      <c r="F731" s="549" t="s">
        <v>197</v>
      </c>
      <c r="G731" s="546" t="e">
        <f ca="1">' K3 Regie5'!$O$21</f>
        <v>#DIV/0!</v>
      </c>
      <c r="H731" s="608" t="str">
        <f ca="1">IFERROR(IF(F730=$Q$31,E731/G731,""),"??")</f>
        <v>??</v>
      </c>
      <c r="I731" s="611"/>
      <c r="J731" s="271" t="str">
        <f>IF(AND(F730=$Q$31,B731=""),"Eingabe unvollständig (ergänzen od Nein wählen)!","")</f>
        <v>Eingabe unvollständig (ergänzen od Nein wählen)!</v>
      </c>
      <c r="L731" s="216"/>
    </row>
    <row r="732" spans="1:18" ht="17.850000000000001" customHeight="1" x14ac:dyDescent="0.45">
      <c r="A732" s="2243" t="s">
        <v>389</v>
      </c>
      <c r="B732" s="2336"/>
      <c r="C732" s="2336"/>
      <c r="D732" s="2336"/>
      <c r="E732" s="373"/>
      <c r="F732" s="377">
        <f>IF(F726=$Q$31,B727,IF(F730=$Q$31,B731,""))</f>
        <v>0</v>
      </c>
      <c r="G732" s="377" t="str">
        <f ca="1">IF(F726=$Q$31,TEXT(H729,"0%"),IF(F730=$Q$31,TEXT(G731,"0,00€"),""))</f>
        <v>??</v>
      </c>
      <c r="H732" s="609">
        <f>IF(E721=M724,SUM(H722:H731),H721)</f>
        <v>0</v>
      </c>
      <c r="I732" s="612"/>
      <c r="L732" s="216"/>
    </row>
    <row r="733" spans="1:18" ht="17.850000000000001" customHeight="1" x14ac:dyDescent="0.45">
      <c r="A733" s="2532" t="s">
        <v>383</v>
      </c>
      <c r="B733" s="2533"/>
      <c r="C733" s="2533"/>
      <c r="D733" s="2534"/>
      <c r="E733" s="2399" t="s">
        <v>638</v>
      </c>
      <c r="F733" s="2399"/>
      <c r="G733" s="2399" t="str">
        <f>G$455</f>
        <v>Optional überschrei-ben mit:</v>
      </c>
      <c r="H733" s="2493" t="str">
        <f>H$455</f>
        <v>Übertrag in K3 Regie</v>
      </c>
      <c r="I733" s="612"/>
      <c r="L733" s="216"/>
    </row>
    <row r="734" spans="1:18" ht="17.850000000000001" customHeight="1" x14ac:dyDescent="0.45">
      <c r="A734" s="2535"/>
      <c r="B734" s="2536"/>
      <c r="C734" s="2536"/>
      <c r="D734" s="2537"/>
      <c r="E734" s="2400"/>
      <c r="F734" s="2400"/>
      <c r="G734" s="2400"/>
      <c r="H734" s="2494"/>
      <c r="I734" s="612"/>
      <c r="L734" s="216"/>
    </row>
    <row r="735" spans="1:18" ht="17.850000000000001" customHeight="1" thickBot="1" x14ac:dyDescent="0.5">
      <c r="A735" s="2538"/>
      <c r="B735" s="2539"/>
      <c r="C735" s="2539"/>
      <c r="D735" s="2540"/>
      <c r="E735" s="2401"/>
      <c r="F735" s="2401"/>
      <c r="G735" s="2401"/>
      <c r="H735" s="2495"/>
      <c r="I735" s="612"/>
      <c r="L735" s="216"/>
    </row>
    <row r="736" spans="1:18" ht="17.850000000000001" customHeight="1" thickTop="1" x14ac:dyDescent="0.45">
      <c r="A736" s="2243" t="s">
        <v>384</v>
      </c>
      <c r="B736" s="2336"/>
      <c r="C736" s="2336"/>
      <c r="D736" s="2244"/>
      <c r="E736" s="51">
        <f ca="1">$H$228</f>
        <v>3.3</v>
      </c>
      <c r="F736" s="1883" t="e">
        <f>H705/G705</f>
        <v>#DIV/0!</v>
      </c>
      <c r="G736" s="364"/>
      <c r="H736" s="361" t="e">
        <f ca="1">IF(ISBLANK(G736),E736*(1+F736),G736)</f>
        <v>#DIV/0!</v>
      </c>
      <c r="I736" s="611" t="str">
        <f>IF(ISBLANK(G736),"","X")</f>
        <v/>
      </c>
      <c r="L736" s="216"/>
    </row>
    <row r="737" spans="1:17" ht="17.850000000000001" customHeight="1" x14ac:dyDescent="0.45">
      <c r="A737" s="2285" t="s">
        <v>385</v>
      </c>
      <c r="B737" s="2286"/>
      <c r="C737" s="2286"/>
      <c r="D737" s="2287"/>
      <c r="E737" s="48">
        <f ca="1">IF(E716=M717,$G$227,$G$229)</f>
        <v>1.5</v>
      </c>
      <c r="F737" s="1884" t="e">
        <f>H705/G705</f>
        <v>#DIV/0!</v>
      </c>
      <c r="G737" s="341"/>
      <c r="H737" s="362" t="e">
        <f ca="1">IF(ISBLANK(G737),E737*(1+F737),G737)</f>
        <v>#DIV/0!</v>
      </c>
      <c r="I737" s="611" t="str">
        <f>IF(ISBLANK(G737),"","X")</f>
        <v/>
      </c>
      <c r="L737" s="216"/>
    </row>
    <row r="738" spans="1:17" ht="17.850000000000001" customHeight="1" x14ac:dyDescent="0.45">
      <c r="A738" s="2285" t="s">
        <v>386</v>
      </c>
      <c r="B738" s="2286"/>
      <c r="C738" s="2286"/>
      <c r="D738" s="2287"/>
      <c r="E738" s="157">
        <f ca="1">$H$236</f>
        <v>0.30270000000000002</v>
      </c>
      <c r="F738" s="156"/>
      <c r="G738" s="337"/>
      <c r="H738" s="363">
        <f ca="1">IF(ISBLANK(G738),E738,G738)</f>
        <v>0.30270000000000002</v>
      </c>
      <c r="I738" s="611" t="str">
        <f ca="1">IF(OR(G738&lt;&gt;0,E738&lt;&gt;H738),"X","")</f>
        <v/>
      </c>
      <c r="J738" s="2308" t="str">
        <f>IF(G738="","","Hinweis: DPNK lassen sich genau bestimmen/nachrechnen!")</f>
        <v/>
      </c>
      <c r="K738" s="2308"/>
      <c r="L738" s="2309"/>
    </row>
    <row r="739" spans="1:17" ht="17.850000000000001" customHeight="1" x14ac:dyDescent="0.45">
      <c r="A739" s="2285" t="s">
        <v>387</v>
      </c>
      <c r="B739" s="2286"/>
      <c r="C739" s="2286"/>
      <c r="D739" s="2287"/>
      <c r="E739" s="157">
        <f ca="1">$H$265</f>
        <v>0.66</v>
      </c>
      <c r="F739" s="156"/>
      <c r="G739" s="337"/>
      <c r="H739" s="363">
        <f ca="1">IF(ISBLANK(G739),E739,G739)</f>
        <v>0.66</v>
      </c>
      <c r="I739" s="611" t="str">
        <f ca="1">IF(OR(G739&lt;&gt;0,E739&lt;&gt;H739),"X","")</f>
        <v/>
      </c>
      <c r="L739" s="216"/>
    </row>
    <row r="740" spans="1:17" ht="17.850000000000001" customHeight="1" x14ac:dyDescent="0.45">
      <c r="A740" s="435" t="s">
        <v>388</v>
      </c>
      <c r="B740" s="67"/>
      <c r="C740" s="67"/>
      <c r="D740" s="436"/>
      <c r="E740" s="48">
        <f ca="1">H$276</f>
        <v>7.0000000000000007E-2</v>
      </c>
      <c r="F740" s="156"/>
      <c r="G740" s="565"/>
      <c r="H740" s="362">
        <f ca="1">IF(ISBLANK(G740),E740,G740)</f>
        <v>7.0000000000000007E-2</v>
      </c>
      <c r="I740" s="611" t="str">
        <f ca="1">IF(OR(G740&lt;&gt;0,E740&lt;&gt;H740),"X","")</f>
        <v/>
      </c>
      <c r="L740" s="216"/>
    </row>
    <row r="741" spans="1:17" ht="17.850000000000001" customHeight="1" x14ac:dyDescent="0.45">
      <c r="A741" s="2285" t="s">
        <v>592</v>
      </c>
      <c r="B741" s="2287"/>
      <c r="C741" s="199">
        <f>$E$306</f>
        <v>4.7500000000000001E-2</v>
      </c>
      <c r="D741" s="48">
        <f ca="1">$F$307</f>
        <v>3.21</v>
      </c>
      <c r="E741" s="338"/>
      <c r="F741" s="364"/>
      <c r="G741" s="363">
        <f>IF(ISBLANK(E741),C741,E741)</f>
        <v>4.7500000000000001E-2</v>
      </c>
      <c r="H741" s="361">
        <f ca="1">IF(ISBLANK(F741),D741,F741)</f>
        <v>3.21</v>
      </c>
      <c r="I741" s="611" t="str">
        <f>IF(OR(F741&lt;&gt;0,E741&lt;&gt;0),"X","")</f>
        <v/>
      </c>
      <c r="L741" s="216"/>
    </row>
    <row r="742" spans="1:17" ht="17.850000000000001" customHeight="1" x14ac:dyDescent="0.45">
      <c r="A742" s="2491" t="str">
        <f ca="1">"R5)"&amp;IF($G$327=0," Keine Umlagen unter Pkt H1 bzw H2 angelgt!"," Umlagen (K3 Spalte A)")</f>
        <v>R5) Keine Umlagen unter Pkt H1 bzw H2 angelgt!</v>
      </c>
      <c r="B742" s="2492"/>
      <c r="C742" s="2492"/>
      <c r="D742" s="2492"/>
      <c r="E742" s="2492"/>
      <c r="F742" s="2492"/>
      <c r="G742" s="2492"/>
      <c r="H742" s="2492"/>
      <c r="I742" s="612"/>
      <c r="L742" s="216"/>
    </row>
    <row r="743" spans="1:17" ht="17.850000000000001" customHeight="1" thickBot="1" x14ac:dyDescent="0.5">
      <c r="A743" s="2338" t="s">
        <v>560</v>
      </c>
      <c r="B743" s="2339"/>
      <c r="C743" s="2339"/>
      <c r="D743" s="2339"/>
      <c r="E743" s="521" t="str">
        <f ca="1">IF(SUM(F744:G746)&lt;&gt;$H$327,"!","")</f>
        <v/>
      </c>
      <c r="F743" s="712" t="s">
        <v>69</v>
      </c>
      <c r="G743" s="744" t="s">
        <v>671</v>
      </c>
      <c r="H743" s="1005" t="e">
        <f ca="1">' K3 Regie5'!O33</f>
        <v>#DIV/0!</v>
      </c>
      <c r="I743" s="612"/>
      <c r="J743" s="2329" t="str">
        <f ca="1">IF(E743="!","Hinweis: Es sind nicht alle oder andere Umlagen wie oben (Pkt H) für K3 ausgewählt! Berechnung erfolgt mit den hier ausgewählten Umlagen.","")</f>
        <v/>
      </c>
      <c r="K743" s="2329"/>
      <c r="L743" s="2330"/>
    </row>
    <row r="744" spans="1:17" ht="17.850000000000001" customHeight="1" thickTop="1" x14ac:dyDescent="0.45">
      <c r="A744" s="2337"/>
      <c r="B744" s="2337"/>
      <c r="C744" s="2337"/>
      <c r="D744" s="2337"/>
      <c r="E744" s="2337"/>
      <c r="F744" s="85" t="str">
        <f>IF(A744="","",IFERROR(VLOOKUP(A744,A$329:E$333,2,FALSE),KALKULATION!$M$283))</f>
        <v/>
      </c>
      <c r="G744" s="158" t="str">
        <f>IF(A744="","",IFERROR(VLOOKUP(A744,A$329:E$333,3,FALSE),""))</f>
        <v/>
      </c>
      <c r="H744" s="85" t="str">
        <f>IF(OR(G744="",G744=0),"",G744*H$743)</f>
        <v/>
      </c>
      <c r="I744" s="612"/>
      <c r="J744" s="2329"/>
      <c r="K744" s="2329"/>
      <c r="L744" s="2330"/>
    </row>
    <row r="745" spans="1:17" ht="17.850000000000001" customHeight="1" x14ac:dyDescent="0.45">
      <c r="A745" s="2402"/>
      <c r="B745" s="2402"/>
      <c r="C745" s="2402"/>
      <c r="D745" s="2402"/>
      <c r="E745" s="2402"/>
      <c r="F745" s="85" t="str">
        <f>IF(A745="","",IFERROR(VLOOKUP(A745,A$329:E$333,2,FALSE),KALKULATION!$M$283))</f>
        <v/>
      </c>
      <c r="G745" s="158" t="str">
        <f t="shared" ref="G745:G746" si="71">IF(A745="","",IFERROR(VLOOKUP(A745,A$329:E$333,3,FALSE),""))</f>
        <v/>
      </c>
      <c r="H745" s="85" t="str">
        <f t="shared" ref="H745:H746" si="72">IF(OR(G745="",G745=0),"",G745*H$743)</f>
        <v/>
      </c>
      <c r="I745" s="612"/>
      <c r="J745" s="2329"/>
      <c r="K745" s="2329"/>
      <c r="L745" s="2330"/>
    </row>
    <row r="746" spans="1:17" ht="17.850000000000001" customHeight="1" x14ac:dyDescent="0.45">
      <c r="A746" s="2402"/>
      <c r="B746" s="2402"/>
      <c r="C746" s="2402"/>
      <c r="D746" s="2402"/>
      <c r="E746" s="2402"/>
      <c r="F746" s="84" t="str">
        <f>IF(A746="","",IFERROR(VLOOKUP(A746,A$329:E$333,2,FALSE),KALKULATION!$M$283))</f>
        <v/>
      </c>
      <c r="G746" s="50" t="str">
        <f t="shared" si="71"/>
        <v/>
      </c>
      <c r="H746" s="84" t="str">
        <f t="shared" si="72"/>
        <v/>
      </c>
      <c r="I746" s="612"/>
      <c r="L746" s="216"/>
      <c r="M746" s="2098" t="s">
        <v>641</v>
      </c>
      <c r="N746" s="2098"/>
      <c r="O746" s="2098" t="str">
        <f>$A$413&amp;" gesamt"</f>
        <v>Regielohnpreis gesamt</v>
      </c>
      <c r="P746" s="2099"/>
    </row>
    <row r="747" spans="1:17" ht="17.850000000000001" customHeight="1" x14ac:dyDescent="0.45">
      <c r="A747" s="2391" t="str">
        <f>IF(SUM(F744:H746)=0,"R5.b) GZ auf UMLAGEN - keine Umlagen ausgewählt (oder in Pkt H1 angelegt)","R5.b) GZ auf Umlagen")</f>
        <v>R5.b) GZ auf UMLAGEN - keine Umlagen ausgewählt (oder in Pkt H1 angelegt)</v>
      </c>
      <c r="B747" s="2392"/>
      <c r="C747" s="2392"/>
      <c r="D747" s="2392"/>
      <c r="E747" s="2392"/>
      <c r="F747" s="2393"/>
      <c r="G747" s="2393"/>
      <c r="H747" s="2392"/>
      <c r="I747" s="612"/>
      <c r="L747" s="216"/>
      <c r="M747" s="2100" t="s">
        <v>642</v>
      </c>
      <c r="N747" s="2100"/>
      <c r="O747" s="2100" t="str">
        <f>IF(D692=""," [? Keine Bezeichnung vorhanden ?"," ["&amp;D692&amp;"]")</f>
        <v xml:space="preserve"> [? Keine Bezeichnung vorhanden ?</v>
      </c>
      <c r="P747" s="2101"/>
    </row>
    <row r="748" spans="1:17" ht="17.850000000000001" customHeight="1" x14ac:dyDescent="0.45">
      <c r="A748" s="2243" t="s">
        <v>559</v>
      </c>
      <c r="B748" s="2336"/>
      <c r="C748" s="2336"/>
      <c r="D748" s="2299"/>
      <c r="E748" s="2300"/>
      <c r="F748" s="2328"/>
      <c r="G748" s="196" t="str">
        <f>IF(D748="","",IFERROR(VLOOKUP(D748,'K2 GZ'!I$25:M$32,5,FALSE),KALKULATION!$M$283))</f>
        <v/>
      </c>
      <c r="H748" s="1006" t="str">
        <f ca="1">IF($G$327=0,"",IF(G748=KALKULATION!$M$283,"",IF(SUM(F744:H746)=0,"",IF(D748="",$G$346,G748))))</f>
        <v/>
      </c>
      <c r="I748" s="611" t="str">
        <f>IF(AND(D748&lt;&gt;"",SUM(F744:H746)&lt;&gt;0),"X","")</f>
        <v/>
      </c>
      <c r="J748" s="2306" t="str">
        <f ca="1">IF(G748=KALKULATION!$M$283,"Auswahl erneut vornehmen (ungült. Verweis)/Text löschen!",IF(AND(H748="",SUM(F744:G746)&lt;&gt;0),"GZ fehlt oder gleich 0!)",""))</f>
        <v/>
      </c>
      <c r="K748" s="2306"/>
      <c r="L748" s="2307"/>
      <c r="M748" s="2100" t="s">
        <v>412</v>
      </c>
      <c r="N748" s="2100"/>
      <c r="O748" s="2100" t="str">
        <f>IF(AND(COUNTA(A695:C699)=1,E695=1)," für ["&amp;A695&amp;"]","")</f>
        <v/>
      </c>
      <c r="P748" s="2101"/>
      <c r="Q748" s="2101" t="str">
        <f>IF(O748="",IF(KALKULATION!H693="Ø"," als Ø-Preis pro Person und Stunde"," als Partiepreis pro Stunde"),O748)</f>
        <v xml:space="preserve"> als Partiepreis pro Stunde</v>
      </c>
    </row>
    <row r="749" spans="1:17" ht="17.850000000000001" customHeight="1" x14ac:dyDescent="0.45">
      <c r="A749" s="2519"/>
      <c r="B749" s="2520"/>
      <c r="C749" s="2520"/>
      <c r="D749" s="2520"/>
      <c r="E749" s="2520"/>
      <c r="F749" s="2520"/>
      <c r="G749" s="2520"/>
      <c r="H749" s="2520"/>
      <c r="I749" s="611"/>
      <c r="L749" s="216"/>
      <c r="M749" s="2102" t="s">
        <v>706</v>
      </c>
      <c r="N749" s="2100"/>
      <c r="O749" s="2103" t="str">
        <f>IF(O748="",IF(KALKULATION!H693="Ø"," als Ø-Preis pro Person und Stunde"," als Partiepreis pro Stunde für ["&amp;TEXT(E700,"0")&amp;" Personen]"),O748)</f>
        <v xml:space="preserve"> als Partiepreis pro Stunde für [0 Personen]</v>
      </c>
      <c r="P749" s="2101"/>
    </row>
    <row r="750" spans="1:17" ht="17.850000000000001" customHeight="1" x14ac:dyDescent="0.45">
      <c r="A750" s="2391" t="str">
        <f>A$472</f>
        <v>R6) GZ auf PERSONALKOSTEN (K3 Spalte B)</v>
      </c>
      <c r="B750" s="2392"/>
      <c r="C750" s="2392"/>
      <c r="D750" s="2521"/>
      <c r="E750" s="2521"/>
      <c r="F750" s="2521"/>
      <c r="G750" s="2521"/>
      <c r="H750" s="2521"/>
      <c r="I750" s="610"/>
      <c r="L750" s="216"/>
      <c r="M750" s="2083" t="s">
        <v>639</v>
      </c>
      <c r="N750" s="2084" t="str">
        <f ca="1">IF(AND(E721=M724,H725&lt;&gt;"")," als ["&amp;B723&amp;TEXT(E723," (0%)")&amp;"]",IF(E721=M722," mit [Ø Zuschlag gem K3 Mittelpersonalpreis Z 8]",IF(E721=M723," mit [Aufzahlung pro Std gem K3 Mittelpersonalpreis]","")))</f>
        <v/>
      </c>
      <c r="O750" s="2083"/>
      <c r="P750" s="2085"/>
    </row>
    <row r="751" spans="1:17" ht="17.850000000000001" customHeight="1" x14ac:dyDescent="0.45">
      <c r="A751" s="2485" t="s">
        <v>559</v>
      </c>
      <c r="B751" s="2486"/>
      <c r="C751" s="2486"/>
      <c r="D751" s="2394"/>
      <c r="E751" s="2395"/>
      <c r="F751" s="2396"/>
      <c r="G751" s="831" t="str">
        <f>IF(D751="","",IFERROR(VLOOKUP(D751,'K2 GZ'!I$25:M$32,5,FALSE),KALKULATION!$M$283))</f>
        <v/>
      </c>
      <c r="H751" s="1134">
        <f>IF(G751=KALKULATION!$M$283,"",IF(D751="",$G$345,G751))</f>
        <v>0.28000000000000003</v>
      </c>
      <c r="I751" s="611" t="str">
        <f>IF(D751&lt;&gt;"","X","")</f>
        <v/>
      </c>
      <c r="J751" s="2306" t="str">
        <f>IF(G751=KALKULATION!$M$283,"Auswahl erneut vornehmen (ungültiger Verweis)!",IF(H751=KALKULATION!$M$283,"GZ aus K2-Blatt wählen!",""))</f>
        <v/>
      </c>
      <c r="K751" s="2306"/>
      <c r="L751" s="2307"/>
      <c r="M751" s="2086" t="s">
        <v>640</v>
      </c>
      <c r="N751" s="2087" t="str">
        <f>IF(N730="",""," in ["&amp;N730&amp;"]")</f>
        <v/>
      </c>
      <c r="O751" s="2086"/>
      <c r="P751" s="2088"/>
    </row>
    <row r="752" spans="1:17" ht="20" customHeight="1" x14ac:dyDescent="0.45">
      <c r="A752" s="1190" t="s">
        <v>382</v>
      </c>
      <c r="B752" s="829"/>
      <c r="C752" s="829"/>
      <c r="D752" s="2409" t="str">
        <f>D714</f>
        <v>Regiepartie gesamt 0 Personen</v>
      </c>
      <c r="E752" s="2409"/>
      <c r="F752" s="2409"/>
      <c r="G752" s="829"/>
      <c r="H752" s="830">
        <f ca="1">' K3 Regie5'!N45</f>
        <v>0</v>
      </c>
      <c r="I752" s="614"/>
      <c r="J752" s="383"/>
      <c r="K752" s="383"/>
      <c r="L752" s="384"/>
      <c r="M752" s="2083"/>
      <c r="N752" s="2089"/>
      <c r="O752" s="2083"/>
      <c r="P752" s="2085"/>
    </row>
    <row r="753" spans="1:16" ht="17.850000000000001" customHeight="1" x14ac:dyDescent="0.45">
      <c r="A753" s="2416" t="s">
        <v>711</v>
      </c>
      <c r="B753" s="2484"/>
      <c r="C753" s="2512" t="str">
        <f>IFERROR(VLOOKUP(A755,M756:N763,2,FALSE),KALKULATION!$M$283)</f>
        <v>Regielohnpreis gesamt als Partiepreis pro Stunde für [0 Personen]</v>
      </c>
      <c r="D753" s="2512"/>
      <c r="E753" s="2512"/>
      <c r="F753" s="2512"/>
      <c r="G753" s="2512"/>
      <c r="H753" s="2512"/>
      <c r="I753" s="721"/>
      <c r="J753" s="2340" t="str">
        <f ca="1">IF(OR(H751&lt;Report!$G$13,KALKULATION!H751&gt;Report!$F$13,AND(SUM(KALKULATION!F744:H746)&lt;&gt;0,OR(H748&lt;Report!$G$13,KALKULATION!H748&gt;Report!$F$13))),"Hinweis: GZ in R5.b oder R6 liegt außerhalb der empfohlenen Grenzwerte gem Blatt REPORT!","")</f>
        <v/>
      </c>
      <c r="K753" s="2340"/>
      <c r="L753" s="2341"/>
      <c r="M753" s="2081"/>
      <c r="N753" s="2090"/>
      <c r="O753" s="2081"/>
      <c r="P753" s="2082"/>
    </row>
    <row r="754" spans="1:16" ht="17.850000000000001" customHeight="1" x14ac:dyDescent="0.45">
      <c r="A754" s="2317"/>
      <c r="B754" s="2316"/>
      <c r="C754" s="2512"/>
      <c r="D754" s="2512"/>
      <c r="E754" s="2512"/>
      <c r="F754" s="2512"/>
      <c r="G754" s="2512"/>
      <c r="H754" s="2512"/>
      <c r="I754" s="721"/>
      <c r="J754" s="2342"/>
      <c r="K754" s="2342"/>
      <c r="L754" s="2343"/>
      <c r="M754" s="2104" t="s">
        <v>707</v>
      </c>
      <c r="N754" s="2104" t="str">
        <f ca="1">N750&amp;N751</f>
        <v/>
      </c>
      <c r="P754" s="2105"/>
    </row>
    <row r="755" spans="1:16" ht="17.850000000000001" customHeight="1" x14ac:dyDescent="0.45">
      <c r="A755" s="2407" t="s">
        <v>716</v>
      </c>
      <c r="B755" s="2408"/>
      <c r="C755" s="2513"/>
      <c r="D755" s="2513"/>
      <c r="E755" s="2513"/>
      <c r="F755" s="2513"/>
      <c r="G755" s="2513"/>
      <c r="H755" s="2513"/>
      <c r="I755" s="721"/>
      <c r="L755" s="216"/>
      <c r="M755" s="1962" t="s">
        <v>708</v>
      </c>
      <c r="N755" s="1988"/>
    </row>
    <row r="756" spans="1:16" ht="17.850000000000001" customHeight="1" x14ac:dyDescent="0.45">
      <c r="A756" s="2416" t="s">
        <v>709</v>
      </c>
      <c r="B756" s="2417"/>
      <c r="C756" s="2529" t="s">
        <v>970</v>
      </c>
      <c r="D756" s="2529"/>
      <c r="E756" s="2529"/>
      <c r="F756" s="2529"/>
      <c r="G756" s="2529"/>
      <c r="H756" s="2529"/>
      <c r="I756" s="721"/>
      <c r="L756" s="216"/>
      <c r="M756" s="1952" t="s">
        <v>715</v>
      </c>
      <c r="N756" s="2106" t="str">
        <f>O746&amp;Q748</f>
        <v>Regielohnpreis gesamt als Partiepreis pro Stunde</v>
      </c>
    </row>
    <row r="757" spans="1:16" ht="17.850000000000001" customHeight="1" x14ac:dyDescent="0.45">
      <c r="A757" s="2317"/>
      <c r="B757" s="2315"/>
      <c r="C757" s="2507"/>
      <c r="D757" s="2507"/>
      <c r="E757" s="2507"/>
      <c r="F757" s="2507"/>
      <c r="G757" s="2507"/>
      <c r="H757" s="2507"/>
      <c r="I757" s="721"/>
      <c r="L757" s="216"/>
      <c r="M757" s="1952" t="s">
        <v>716</v>
      </c>
      <c r="N757" s="2106" t="str">
        <f>O746&amp;O749</f>
        <v>Regielohnpreis gesamt als Partiepreis pro Stunde für [0 Personen]</v>
      </c>
    </row>
    <row r="758" spans="1:16" ht="17.850000000000001" customHeight="1" x14ac:dyDescent="0.45">
      <c r="A758" s="2317"/>
      <c r="B758" s="2315"/>
      <c r="C758" s="2507"/>
      <c r="D758" s="2507"/>
      <c r="E758" s="2507"/>
      <c r="F758" s="2507"/>
      <c r="G758" s="2507"/>
      <c r="H758" s="2507"/>
      <c r="I758" s="721"/>
      <c r="L758" s="216"/>
      <c r="M758" s="1952" t="s">
        <v>717</v>
      </c>
      <c r="N758" s="2106" t="str">
        <f>O746&amp;O747&amp;Q748</f>
        <v>Regielohnpreis gesamt [? Keine Bezeichnung vorhanden ? als Partiepreis pro Stunde</v>
      </c>
    </row>
    <row r="759" spans="1:16" ht="17.850000000000001" customHeight="1" x14ac:dyDescent="0.45">
      <c r="A759" s="2418"/>
      <c r="B759" s="2419"/>
      <c r="C759" s="2419"/>
      <c r="D759" s="2419"/>
      <c r="E759" s="2419"/>
      <c r="F759" s="2419"/>
      <c r="G759" s="2419"/>
      <c r="H759" s="2419"/>
      <c r="I759" s="2419"/>
      <c r="L759" s="216"/>
      <c r="M759" s="1952" t="s">
        <v>718</v>
      </c>
      <c r="N759" s="2107" t="str">
        <f>O746&amp;O747&amp;O749</f>
        <v>Regielohnpreis gesamt [? Keine Bezeichnung vorhanden ? als Partiepreis pro Stunde für [0 Personen]</v>
      </c>
    </row>
    <row r="760" spans="1:16" ht="17.850000000000001" customHeight="1" x14ac:dyDescent="0.45">
      <c r="A760" s="2317" t="s">
        <v>670</v>
      </c>
      <c r="B760" s="2472"/>
      <c r="C760" s="2472"/>
      <c r="D760" s="2472"/>
      <c r="E760" s="2472"/>
      <c r="F760" s="2472"/>
      <c r="G760" s="2472"/>
      <c r="H760" s="2472"/>
      <c r="I760" s="2472"/>
      <c r="J760" s="45"/>
      <c r="L760" s="216"/>
      <c r="M760" s="1952" t="s">
        <v>719</v>
      </c>
      <c r="N760" s="2108" t="str">
        <f ca="1">O746&amp;Q748&amp;N754</f>
        <v>Regielohnpreis gesamt als Partiepreis pro Stunde</v>
      </c>
    </row>
    <row r="761" spans="1:16" ht="17.850000000000001" customHeight="1" x14ac:dyDescent="0.45">
      <c r="A761" s="2317"/>
      <c r="B761" s="2472"/>
      <c r="C761" s="2472"/>
      <c r="D761" s="2472"/>
      <c r="E761" s="2472"/>
      <c r="F761" s="2472"/>
      <c r="G761" s="2472"/>
      <c r="H761" s="2472"/>
      <c r="I761" s="2472"/>
      <c r="J761" s="46"/>
      <c r="K761" s="47"/>
      <c r="L761" s="591"/>
      <c r="M761" s="1952" t="s">
        <v>720</v>
      </c>
      <c r="N761" s="2107" t="str">
        <f ca="1">O746&amp;O747&amp;Q748&amp;N754</f>
        <v>Regielohnpreis gesamt [? Keine Bezeichnung vorhanden ? als Partiepreis pro Stunde</v>
      </c>
    </row>
    <row r="762" spans="1:16" ht="17.850000000000001" customHeight="1" x14ac:dyDescent="0.45">
      <c r="A762" s="2468"/>
      <c r="B762" s="2468"/>
      <c r="C762" s="2468"/>
      <c r="D762" s="2468"/>
      <c r="E762" s="2468"/>
      <c r="F762" s="2468"/>
      <c r="G762" s="2468"/>
      <c r="H762" s="2468"/>
      <c r="I762" s="2468"/>
      <c r="L762" s="216"/>
      <c r="M762" s="1952" t="s">
        <v>884</v>
      </c>
      <c r="N762" s="2107" t="str">
        <f ca="1">O746&amp;O747&amp;O749&amp;N754</f>
        <v>Regielohnpreis gesamt [? Keine Bezeichnung vorhanden ? als Partiepreis pro Stunde für [0 Personen]</v>
      </c>
    </row>
    <row r="763" spans="1:16" ht="25.05" customHeight="1" x14ac:dyDescent="0.45">
      <c r="A763" s="2397" t="str">
        <f>IF(A769="","Regie 6 -  [keine Beschäftigungsgruppe ausgewählt]",IF(D769=KALKULATION!$M$283," Regie 6 - [nicht vorhandene Beschäftigungsgruppe]",M764&amp;M765))</f>
        <v>Regie 6 -  [keine Beschäftigungsgruppe ausgewählt]</v>
      </c>
      <c r="B763" s="2398"/>
      <c r="C763" s="2398"/>
      <c r="D763" s="2398"/>
      <c r="E763" s="2398"/>
      <c r="F763" s="2398"/>
      <c r="G763" s="2398"/>
      <c r="H763" s="2398"/>
      <c r="I763" s="2398"/>
      <c r="J763" s="2530" t="str">
        <f>IF(AND(A770&amp;A771&amp;A772&amp;A773&lt;&gt;"",A769=""),"Die erste Eintragung muss in der 1. Zeile von R1 erfolgen!","")</f>
        <v/>
      </c>
      <c r="K763" s="2530"/>
      <c r="L763" s="2531"/>
      <c r="M763" s="1952" t="s">
        <v>714</v>
      </c>
      <c r="N763" s="2107" t="str">
        <f>C756</f>
        <v># Ihre individuelle Bezeichnung für die Auswahl in R7.a können Sie in R7.b eintragen.</v>
      </c>
    </row>
    <row r="764" spans="1:16" ht="17.850000000000001" customHeight="1" x14ac:dyDescent="0.45">
      <c r="A764" s="2317" t="s">
        <v>531</v>
      </c>
      <c r="B764" s="2501"/>
      <c r="C764" s="2502"/>
      <c r="D764" s="2506"/>
      <c r="E764" s="2507"/>
      <c r="F764" s="2507"/>
      <c r="G764" s="2507"/>
      <c r="H764" s="2507"/>
      <c r="I764" s="988"/>
      <c r="J764" s="2353" t="str">
        <f>IF(AND(COUNTA(A769:C773)=1,E769&lt;&gt;1),"Hinweis: Wenn nur eine Beschäftigungsgruppe angelegt wird, sollte die Anzahl 1,00 sein (wie Regie 1 bis Regie 4). Gfg korrigieren oder weitere Beschäftigte zur Bildung einer Partie hinzufügen","")</f>
        <v/>
      </c>
      <c r="K764" s="2353"/>
      <c r="L764" s="2353"/>
      <c r="M764" s="2097"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45">
      <c r="A765" s="2503"/>
      <c r="B765" s="2504"/>
      <c r="C765" s="2505"/>
      <c r="D765" s="2508"/>
      <c r="E765" s="2509"/>
      <c r="F765" s="2509"/>
      <c r="G765" s="2509"/>
      <c r="H765" s="2509"/>
      <c r="I765" s="814"/>
      <c r="J765" s="2353"/>
      <c r="K765" s="2353"/>
      <c r="L765" s="2353"/>
      <c r="M765" s="2109" t="str">
        <f>IF(AND(COUNTA(A769:C773)&gt;1,A769&lt;&gt;""),O820&amp;" 6 - 'Regiepartie' mit Ergebnis "&amp;IF(H767="Ø"," Ø-Preis/Person",IF(H767="∑"," Gesamtpreis der Partie"," (??) KZ in R0.b wählen!")),"")</f>
        <v/>
      </c>
    </row>
    <row r="766" spans="1:16" ht="17.850000000000001" customHeight="1" x14ac:dyDescent="0.45">
      <c r="A766" s="2285" t="s">
        <v>643</v>
      </c>
      <c r="B766" s="2286"/>
      <c r="C766" s="2287"/>
      <c r="D766" s="2459"/>
      <c r="E766" s="2510"/>
      <c r="F766" s="2510"/>
      <c r="G766" s="2510"/>
      <c r="H766" s="2510"/>
      <c r="I766" s="814"/>
      <c r="J766" s="2353"/>
      <c r="K766" s="2353"/>
      <c r="L766" s="2353"/>
    </row>
    <row r="767" spans="1:16" ht="17.850000000000001" customHeight="1" x14ac:dyDescent="0.45">
      <c r="A767" s="2285" t="s">
        <v>394</v>
      </c>
      <c r="B767" s="2286"/>
      <c r="C767" s="2286"/>
      <c r="D767" s="2286"/>
      <c r="E767" s="2286"/>
      <c r="F767" s="2286"/>
      <c r="G767" s="2286"/>
      <c r="H767" s="1208" t="s">
        <v>379</v>
      </c>
      <c r="I767" s="814"/>
      <c r="J767" s="1117" t="str">
        <f>IF(H767="","KZ für Berechnung der ges. Partie (∑) od. des Ø/Person?","")</f>
        <v/>
      </c>
    </row>
    <row r="768" spans="1:16" ht="17.850000000000001" customHeight="1" thickBot="1" x14ac:dyDescent="0.5">
      <c r="A768" s="2511" t="s">
        <v>393</v>
      </c>
      <c r="B768" s="2511"/>
      <c r="C768" s="2511"/>
      <c r="D768" s="2511"/>
      <c r="E768" s="712" t="s">
        <v>18</v>
      </c>
      <c r="F768" s="712"/>
      <c r="G768" s="1008" t="s">
        <v>72</v>
      </c>
      <c r="H768" s="1116" t="s">
        <v>73</v>
      </c>
      <c r="I768" s="814"/>
    </row>
    <row r="769" spans="1:13" ht="17.850000000000001" customHeight="1" thickTop="1" x14ac:dyDescent="0.45">
      <c r="A769" s="2337"/>
      <c r="B769" s="2337"/>
      <c r="C769" s="2337"/>
      <c r="D769" s="51">
        <f ca="1">IFERROR(VLOOKUP(A769,Stammdaten!A$7:D$33,4,FALSE),KALKULATION!$M$283)</f>
        <v>0</v>
      </c>
      <c r="E769" s="327"/>
      <c r="F769" s="1221" t="str">
        <f>IF(A769="","",IFERROR(E769/E$774,""))</f>
        <v/>
      </c>
      <c r="G769" s="136" t="str">
        <f ca="1">IFERROR(VLOOKUP(A769,Stammdaten!A$7:F$33,4,FALSE)*F769,"")</f>
        <v/>
      </c>
      <c r="H769" s="1217" t="str">
        <f ca="1">IFERROR(VLOOKUP(A769,Stammdaten!A$7:F$33,6,FALSE)*F769,"")</f>
        <v/>
      </c>
      <c r="I769" s="814"/>
      <c r="J769" s="2306" t="str">
        <f ca="1">IF(OR(COUNTA(A769,E769)=2,COUNTA(A769,E769)=0),IF(D769=KALKULATION!$M$283,"Auswahl erneut vornehmen (ungültiger Verweis)!",""),"Eingabe unvollständig (ergänzen oder löschen)!")</f>
        <v/>
      </c>
      <c r="K769" s="2306"/>
      <c r="L769" s="2307"/>
    </row>
    <row r="770" spans="1:13" ht="17.850000000000001" customHeight="1" x14ac:dyDescent="0.45">
      <c r="A770" s="2402"/>
      <c r="B770" s="2402"/>
      <c r="C770" s="2402"/>
      <c r="D770" s="48">
        <f ca="1">IFERROR(VLOOKUP(A770,Stammdaten!A$7:D$33,4,FALSE),KALKULATION!$M$283)</f>
        <v>0</v>
      </c>
      <c r="E770" s="380"/>
      <c r="F770" s="1222" t="str">
        <f t="shared" ref="F770:F773" si="73">IFERROR(E770/E$774,"")</f>
        <v/>
      </c>
      <c r="G770" s="54" t="str">
        <f ca="1">IFERROR(VLOOKUP(A770,Stammdaten!A$7:F$33,4,FALSE)*F770,"")</f>
        <v/>
      </c>
      <c r="H770" s="1218" t="str">
        <f ca="1">IFERROR(VLOOKUP(A770,Stammdaten!A$7:F$33,6,FALSE)*F770,"")</f>
        <v/>
      </c>
      <c r="I770" s="814"/>
      <c r="J770" s="2306" t="str">
        <f ca="1">IF(OR(COUNTA(A770,E770)=2,COUNTA(A770,E770)=0),IF(D770=KALKULATION!$M$283,"Auswahl erneut vornehmen (ungültiger Verweis)!",""),"Eingabe unvollständig (ergänzen oder löschen)!")</f>
        <v/>
      </c>
      <c r="K770" s="2306"/>
      <c r="L770" s="2307"/>
    </row>
    <row r="771" spans="1:13" ht="17.850000000000001" customHeight="1" x14ac:dyDescent="0.45">
      <c r="A771" s="2299"/>
      <c r="B771" s="2300"/>
      <c r="C771" s="2328"/>
      <c r="D771" s="48">
        <f ca="1">IFERROR(VLOOKUP(A771,Stammdaten!A$7:D$33,4,FALSE),KALKULATION!$M$283)</f>
        <v>0</v>
      </c>
      <c r="E771" s="380"/>
      <c r="F771" s="1222" t="str">
        <f t="shared" si="73"/>
        <v/>
      </c>
      <c r="G771" s="54" t="str">
        <f ca="1">IFERROR(VLOOKUP(A771,Stammdaten!A$7:F$33,4,FALSE)*F771,"")</f>
        <v/>
      </c>
      <c r="H771" s="1218" t="str">
        <f ca="1">IFERROR(VLOOKUP(A771,Stammdaten!A$7:F$33,6,FALSE)*F771,"")</f>
        <v/>
      </c>
      <c r="I771" s="814"/>
      <c r="J771" s="2306" t="str">
        <f ca="1">IF(OR(COUNTA(A771,E771)=2,COUNTA(A771,E771)=0),IF(D771=KALKULATION!$M$283,"Auswahl erneut vornehmen (ungültiger Verweis)!",""),"Eingabe unvollständig (ergänzen oder löschen)!")</f>
        <v/>
      </c>
      <c r="K771" s="2306"/>
      <c r="L771" s="2307"/>
    </row>
    <row r="772" spans="1:13" ht="17.850000000000001" customHeight="1" x14ac:dyDescent="0.45">
      <c r="A772" s="2402"/>
      <c r="B772" s="2402"/>
      <c r="C772" s="2402"/>
      <c r="D772" s="48">
        <f ca="1">IFERROR(VLOOKUP(A772,Stammdaten!A$7:D$33,4,FALSE),KALKULATION!$M$283)</f>
        <v>0</v>
      </c>
      <c r="E772" s="380"/>
      <c r="F772" s="1222" t="str">
        <f t="shared" si="73"/>
        <v/>
      </c>
      <c r="G772" s="54" t="str">
        <f ca="1">IFERROR(VLOOKUP(A772,Stammdaten!A$7:F$33,4,FALSE)*F772,"")</f>
        <v/>
      </c>
      <c r="H772" s="1218" t="str">
        <f ca="1">IFERROR(VLOOKUP(A772,Stammdaten!A$7:F$33,6,FALSE)*F772,"")</f>
        <v/>
      </c>
      <c r="I772" s="814"/>
      <c r="J772" s="2306" t="str">
        <f ca="1">IF(OR(COUNTA(A772,E772)=2,COUNTA(A772,E772)=0),IF(D772=KALKULATION!$M$283,"Auswahl erneut vornehmen (ungültiger Verweis)!",""),"Eingabe unvollständig (ergänzen oder löschen)!")</f>
        <v/>
      </c>
      <c r="K772" s="2306"/>
      <c r="L772" s="2307"/>
    </row>
    <row r="773" spans="1:13" ht="17.850000000000001" customHeight="1" thickBot="1" x14ac:dyDescent="0.5">
      <c r="A773" s="2909"/>
      <c r="B773" s="2909"/>
      <c r="C773" s="2909"/>
      <c r="D773" s="60">
        <f ca="1">IFERROR(VLOOKUP(A773,Stammdaten!A$7:D$33,4,FALSE),KALKULATION!$M$283)</f>
        <v>0</v>
      </c>
      <c r="E773" s="328"/>
      <c r="F773" s="1223" t="str">
        <f t="shared" si="73"/>
        <v/>
      </c>
      <c r="G773" s="213" t="str">
        <f ca="1">IFERROR(VLOOKUP(A773,Stammdaten!A$7:F$33,4,FALSE)*F773,"")</f>
        <v/>
      </c>
      <c r="H773" s="1219" t="str">
        <f ca="1">IFERROR(VLOOKUP(A773,Stammdaten!A$7:F$33,6,FALSE)*F773,"")</f>
        <v/>
      </c>
      <c r="I773" s="814"/>
      <c r="J773" s="2306" t="str">
        <f ca="1">IF(OR(COUNTA(A773,E773)=2,COUNTA(A773,E773)=0),IF(D773=KALKULATION!$M$283,"Auswahl erneut vornehmen (ungültiger Verweis)!",""),"Eingabe unvollständig (ergänzen oder löschen)!")</f>
        <v/>
      </c>
      <c r="K773" s="2306"/>
      <c r="L773" s="2307"/>
    </row>
    <row r="774" spans="1:13" ht="17.850000000000001" customHeight="1" x14ac:dyDescent="0.45">
      <c r="A774" s="2243" t="s">
        <v>92</v>
      </c>
      <c r="B774" s="2336"/>
      <c r="C774" s="2336"/>
      <c r="D774" s="2244"/>
      <c r="E774" s="49">
        <f>SUM(E769:E773)</f>
        <v>0</v>
      </c>
      <c r="F774" s="382">
        <f>SUM(F769:F773)</f>
        <v>0</v>
      </c>
      <c r="G774" s="51">
        <f ca="1">IF(AND(_OK?="OK!",_OK_KV?="OK_KV!"),SUM(G769:G773),ROUNDUP(SUM(G769:G773),0))</f>
        <v>0</v>
      </c>
      <c r="H774" s="84">
        <f ca="1">SUM(H769:H773)</f>
        <v>0</v>
      </c>
      <c r="I774" s="815" t="str">
        <f ca="1">IF(OR(_OK?&lt;&gt;"OK!",_OK_KV?&lt;&gt;"OK_KV!"),"X","")</f>
        <v/>
      </c>
      <c r="J774" s="2329" t="str">
        <f>IF(E774&lt;1,M775,IF(H767="∑",IF(INT(E774)&lt;&gt;E774,"Hinweis: Partien bestehen aus ganzen 'Köpfen'! Ev. Eingaben ändern oder KZ auf Ø stellen.",""),""))</f>
        <v>Anzahl darf nicht unter 1,00 liegen!!</v>
      </c>
      <c r="K774" s="2329"/>
      <c r="L774" s="2330"/>
    </row>
    <row r="775" spans="1:13" ht="17.850000000000001" customHeight="1" x14ac:dyDescent="0.45">
      <c r="A775" s="2491" t="s">
        <v>891</v>
      </c>
      <c r="B775" s="2492"/>
      <c r="C775" s="2492"/>
      <c r="D775" s="2492"/>
      <c r="E775" s="2492"/>
      <c r="F775" s="2492"/>
      <c r="G775" s="2492"/>
      <c r="H775" s="2492"/>
      <c r="I775" s="814"/>
      <c r="J775" s="2329"/>
      <c r="K775" s="2329"/>
      <c r="L775" s="2330"/>
      <c r="M775" s="1338" t="str">
        <f>M701</f>
        <v>Anzahl darf nicht unter 1,00 liegen!!</v>
      </c>
    </row>
    <row r="776" spans="1:13" ht="17.850000000000001" customHeight="1" thickBot="1" x14ac:dyDescent="0.5">
      <c r="A776" s="2446"/>
      <c r="B776" s="2447"/>
      <c r="C776" s="2448"/>
      <c r="D776" s="60">
        <f ca="1">IFERROR(VLOOKUP(A776,Stammdaten!A$7:D$33,4,FALSE),$M$283)</f>
        <v>0</v>
      </c>
      <c r="E776" s="359"/>
      <c r="F776" s="53" t="str">
        <f>IFERROR(IF(A776&lt;&gt;"",E776/E777,""),"")</f>
        <v/>
      </c>
      <c r="G776" s="60" t="str">
        <f ca="1">IFERROR(VLOOKUP(A776,Stammdaten!A$7:F$33,4,FALSE)*F776,"")</f>
        <v/>
      </c>
      <c r="H776" s="569" t="str">
        <f ca="1">IFERROR(VLOOKUP(A776,Stammdaten!A$7:F$33,6,FALSE)*F776,"")</f>
        <v/>
      </c>
      <c r="I776" s="816"/>
      <c r="J776" s="2306" t="str">
        <f ca="1">IF(OR(COUNTA(A776,E776)=2,COUNTA(A776,E776)=0),IF(D776=KALKULATION!$M$283,"Auswahl erneut vornehmen (ungültiger Verweis)!",""),"Eingabe unvollständig (ergänzen oder löschen)!")</f>
        <v/>
      </c>
      <c r="K776" s="2306"/>
      <c r="L776" s="2307"/>
    </row>
    <row r="777" spans="1:13" ht="17.850000000000001" customHeight="1" x14ac:dyDescent="0.45">
      <c r="A777" s="392" t="s">
        <v>92</v>
      </c>
      <c r="B777" s="373"/>
      <c r="C777" s="373"/>
      <c r="D777" s="212"/>
      <c r="E777" s="64">
        <f>SUM(E776:E776)</f>
        <v>0</v>
      </c>
      <c r="F777" s="50">
        <f>SUM(F776:F776)</f>
        <v>0</v>
      </c>
      <c r="G777" s="51">
        <f ca="1">SUM(G776:G776)</f>
        <v>0</v>
      </c>
      <c r="H777" s="84">
        <f ca="1">SUM(H776:H776)</f>
        <v>0</v>
      </c>
      <c r="I777" s="814"/>
      <c r="J777" s="2306" t="str">
        <f>IF(E777&gt;=E774,"Unzulässige Umlage (R2 größer/gleich R1)!!!",IF(AND(E777&lt;&gt;0,G774=0),"Beschäftigungsgruppe in R1 wählen!",""))</f>
        <v>Unzulässige Umlage (R2 größer/gleich R1)!!!</v>
      </c>
      <c r="K777" s="2306"/>
      <c r="L777" s="2307"/>
    </row>
    <row r="778" spans="1:13" ht="17.850000000000001" customHeight="1" x14ac:dyDescent="0.45">
      <c r="A778" s="2285" t="s">
        <v>838</v>
      </c>
      <c r="B778" s="2286"/>
      <c r="C778" s="2286"/>
      <c r="D778" s="2286"/>
      <c r="E778" s="2286"/>
      <c r="F778" s="2286"/>
      <c r="G778" s="2286"/>
      <c r="H778" s="570">
        <v>0</v>
      </c>
      <c r="I778" s="817"/>
      <c r="L778" s="216"/>
    </row>
    <row r="779" spans="1:13" ht="17.850000000000001" customHeight="1" x14ac:dyDescent="0.45">
      <c r="A779" s="2482"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483"/>
      <c r="C779" s="2483"/>
      <c r="D779" s="2483"/>
      <c r="E779" s="2483"/>
      <c r="F779" s="2483"/>
      <c r="G779" s="367">
        <f>IF(H778=1,E774,E774-E777)</f>
        <v>0</v>
      </c>
      <c r="H779" s="367">
        <f>E777</f>
        <v>0</v>
      </c>
      <c r="I779" s="814"/>
      <c r="J779" s="2334" t="str">
        <f>IF(AND(ISBLANK(H778),E777&lt;&gt;0),"Kennzeichen eingeben! Es sind unprod. Zeiten kalkuliert.","")</f>
        <v/>
      </c>
      <c r="K779" s="2334"/>
      <c r="L779" s="2335"/>
    </row>
    <row r="780" spans="1:13" ht="17.850000000000001" customHeight="1" x14ac:dyDescent="0.45">
      <c r="A780" s="2496"/>
      <c r="B780" s="2497"/>
      <c r="C780" s="2497"/>
      <c r="D780" s="2497"/>
      <c r="E780" s="2497"/>
      <c r="F780" s="2497"/>
      <c r="G780" s="2497"/>
      <c r="H780" s="2497"/>
      <c r="I780" s="814"/>
      <c r="J780" s="2414" t="str">
        <f>IFERROR(IF(H779/G779&gt;Report!$F$7,"Hinweis: Unproduktiver Anteil erscheint hoch!",""),"Der unprod. Anteil löst eine Division mit 0 aus!")</f>
        <v>Der unprod. Anteil löst eine Division mit 0 aus!</v>
      </c>
      <c r="K780" s="2414"/>
      <c r="L780" s="2415"/>
    </row>
    <row r="781" spans="1:13" ht="17.850000000000001" customHeight="1" thickBot="1" x14ac:dyDescent="0.5">
      <c r="A781" s="2324" t="s">
        <v>380</v>
      </c>
      <c r="B781" s="2325"/>
      <c r="C781" s="2526"/>
      <c r="D781" s="857" t="s">
        <v>72</v>
      </c>
      <c r="E781" s="858" t="s">
        <v>73</v>
      </c>
      <c r="F781" s="859" t="s">
        <v>118</v>
      </c>
      <c r="G781" s="860" t="s">
        <v>85</v>
      </c>
      <c r="H781" s="861" t="s">
        <v>73</v>
      </c>
      <c r="I781" s="814"/>
      <c r="L781" s="216"/>
    </row>
    <row r="782" spans="1:13" ht="17.850000000000001" customHeight="1" x14ac:dyDescent="0.45">
      <c r="A782" s="700" t="str">
        <f>A$498</f>
        <v>Verrechenbare Zeit</v>
      </c>
      <c r="B782" s="701"/>
      <c r="C782" s="877">
        <f>G779</f>
        <v>0</v>
      </c>
      <c r="D782" s="703">
        <f ca="1">G774*C782</f>
        <v>0</v>
      </c>
      <c r="E782" s="704">
        <f ca="1">H774*C782</f>
        <v>0</v>
      </c>
      <c r="F782" s="705" t="s">
        <v>204</v>
      </c>
      <c r="G782" s="682">
        <f ca="1">D782</f>
        <v>0</v>
      </c>
      <c r="H782" s="683">
        <f ca="1">IF(D785=_Ja,"",D784)</f>
        <v>0</v>
      </c>
      <c r="I782" s="814"/>
      <c r="L782" s="216"/>
    </row>
    <row r="783" spans="1:13" ht="17.850000000000001" customHeight="1" thickBot="1" x14ac:dyDescent="0.5">
      <c r="A783" s="684" t="str">
        <f>A$499</f>
        <v>Nicht verrechenb. Zeit</v>
      </c>
      <c r="B783" s="685"/>
      <c r="C783" s="878">
        <f>H779</f>
        <v>0</v>
      </c>
      <c r="D783" s="687">
        <f ca="1">G777*C783</f>
        <v>0</v>
      </c>
      <c r="E783" s="688">
        <f ca="1">H777*C783</f>
        <v>0</v>
      </c>
      <c r="F783" s="706" t="s">
        <v>203</v>
      </c>
      <c r="G783" s="690">
        <f ca="1">D783</f>
        <v>0</v>
      </c>
      <c r="H783" s="691">
        <f ca="1">IF(D785=_Ja,"",E784)</f>
        <v>0</v>
      </c>
      <c r="I783" s="814"/>
      <c r="L783" s="216"/>
    </row>
    <row r="784" spans="1:13" ht="17.850000000000001" customHeight="1" x14ac:dyDescent="0.45">
      <c r="A784" s="692"/>
      <c r="B784" s="693"/>
      <c r="C784" s="694" t="s">
        <v>56</v>
      </c>
      <c r="D784" s="695">
        <f ca="1">SUM(D782:D783)</f>
        <v>0</v>
      </c>
      <c r="E784" s="696">
        <f ca="1">SUM(E782:E783)</f>
        <v>0</v>
      </c>
      <c r="F784" s="707" t="s">
        <v>86</v>
      </c>
      <c r="G784" s="708" t="e">
        <f ca="1">G783/G782</f>
        <v>#DIV/0!</v>
      </c>
      <c r="H784" s="709" t="e">
        <f ca="1">IF(D785=_Ja,$H$73,H783/H782)</f>
        <v>#DIV/0!</v>
      </c>
      <c r="I784" s="815" t="str">
        <f>IF(D785=_Ja,"X","")</f>
        <v/>
      </c>
      <c r="L784" s="216"/>
    </row>
    <row r="785" spans="1:18" ht="17.850000000000001" customHeight="1" thickBot="1" x14ac:dyDescent="0.5">
      <c r="A785" s="2469" t="str">
        <f ca="1">"Ø AKV Pkt B ist "&amp;TEXT($H$73,"0,00%")&amp;". Beibehalten?"</f>
        <v>Ø AKV Pkt B ist 15,10%. Beibehalten?</v>
      </c>
      <c r="B785" s="2470"/>
      <c r="C785" s="2471"/>
      <c r="D785" s="823" t="s">
        <v>193</v>
      </c>
      <c r="E785" s="2517" t="s">
        <v>381</v>
      </c>
      <c r="F785" s="2518"/>
      <c r="G785" s="378"/>
      <c r="H785" s="379"/>
      <c r="I785" s="815" t="str">
        <f>IF(OR(G785&lt;&gt;0,H785&lt;&gt;0),"X","")</f>
        <v/>
      </c>
      <c r="L785" s="216"/>
    </row>
    <row r="786" spans="1:18" ht="17.850000000000001" customHeight="1" x14ac:dyDescent="0.45">
      <c r="A786" s="2514"/>
      <c r="B786" s="2515"/>
      <c r="C786" s="2515"/>
      <c r="D786" s="2515"/>
      <c r="E786" s="2527" t="s">
        <v>554</v>
      </c>
      <c r="F786" s="2528"/>
      <c r="G786" s="86" t="e">
        <f ca="1">SUM(G784,G785)</f>
        <v>#DIV/0!</v>
      </c>
      <c r="H786" s="154" t="e">
        <f ca="1">SUM(H784,H785)</f>
        <v>#DIV/0!</v>
      </c>
      <c r="I786" s="814"/>
      <c r="L786" s="216"/>
    </row>
    <row r="787" spans="1:18" ht="17.850000000000001" customHeight="1" x14ac:dyDescent="0.45">
      <c r="A787" s="2478"/>
      <c r="B787" s="2516"/>
      <c r="C787" s="2516"/>
      <c r="D787" s="2516"/>
      <c r="E787" s="2478"/>
      <c r="F787" s="2479"/>
      <c r="G787" s="368" t="s">
        <v>121</v>
      </c>
      <c r="H787" s="369" t="s">
        <v>122</v>
      </c>
      <c r="I787" s="814"/>
      <c r="L787" s="216"/>
    </row>
    <row r="788" spans="1:18" ht="17.850000000000001" customHeight="1" x14ac:dyDescent="0.45">
      <c r="A788" s="1191" t="s">
        <v>382</v>
      </c>
      <c r="B788" s="827"/>
      <c r="C788" s="827"/>
      <c r="D788" s="2473" t="str">
        <f>IF(H767="∑","Regiepartie gesamt "&amp;TEXT(E774,"0")&amp;" Personen","Ø-Preis pro Person")</f>
        <v>Ø-Preis pro Person</v>
      </c>
      <c r="E788" s="2473"/>
      <c r="F788" s="2473"/>
      <c r="G788" s="828"/>
      <c r="H788" s="826">
        <f ca="1">' K3 Regie6'!N45</f>
        <v>0</v>
      </c>
      <c r="I788" s="827"/>
      <c r="L788" s="216"/>
    </row>
    <row r="789" spans="1:18" ht="17.850000000000001" customHeight="1" x14ac:dyDescent="0.45">
      <c r="A789" s="2410" t="s">
        <v>630</v>
      </c>
      <c r="B789" s="2411"/>
      <c r="C789" s="2411"/>
      <c r="D789" s="2411"/>
      <c r="E789" s="2411"/>
      <c r="F789" s="2411"/>
      <c r="G789" s="2411"/>
      <c r="H789" s="2411"/>
      <c r="I789" s="814"/>
      <c r="J789" s="2487" t="str">
        <f>IF(OR(I790="X",I795="X"),M$301,"")</f>
        <v/>
      </c>
      <c r="K789" s="2487"/>
      <c r="L789" s="2488"/>
    </row>
    <row r="790" spans="1:18" ht="17.850000000000001" customHeight="1" x14ac:dyDescent="0.45">
      <c r="A790" s="2285" t="s">
        <v>702</v>
      </c>
      <c r="B790" s="2286"/>
      <c r="C790" s="2287"/>
      <c r="D790" s="862" t="s">
        <v>700</v>
      </c>
      <c r="E790" s="2299" t="s">
        <v>898</v>
      </c>
      <c r="F790" s="2300"/>
      <c r="G790" s="2328"/>
      <c r="H790" s="1007">
        <f>IFERROR(VLOOKUP(E790,M790:N792,2,FALSE),M369)</f>
        <v>0</v>
      </c>
      <c r="I790" s="815" t="str">
        <f>IF(E790&lt;&gt;M790,"X","")</f>
        <v/>
      </c>
      <c r="J790" s="2487"/>
      <c r="K790" s="2487"/>
      <c r="L790" s="2488"/>
      <c r="M790" s="2018" t="str">
        <f t="shared" ref="M790:N792" si="74">M438</f>
        <v>1. Standard (ÖN B 2110) ohne Zulagen</v>
      </c>
      <c r="N790" s="2094">
        <f t="shared" si="74"/>
        <v>0</v>
      </c>
    </row>
    <row r="791" spans="1:18" ht="17.850000000000001" customHeight="1" thickBot="1" x14ac:dyDescent="0.5">
      <c r="A791" s="669" t="s">
        <v>628</v>
      </c>
      <c r="B791" s="670"/>
      <c r="C791" s="671" t="s">
        <v>627</v>
      </c>
      <c r="D791" s="671" t="s">
        <v>629</v>
      </c>
      <c r="E791" s="671" t="s">
        <v>159</v>
      </c>
      <c r="F791" s="671" t="s">
        <v>8</v>
      </c>
      <c r="G791" s="671" t="s">
        <v>9</v>
      </c>
      <c r="H791" s="672" t="s">
        <v>10</v>
      </c>
      <c r="I791" s="814"/>
      <c r="L791" s="216"/>
      <c r="M791" s="2018" t="str">
        <f t="shared" si="74"/>
        <v>2. Wert gem Kalkulation Pkt D (K3_PP)</v>
      </c>
      <c r="N791" s="2094">
        <f ca="1">N439</f>
        <v>0.03</v>
      </c>
    </row>
    <row r="792" spans="1:18" ht="30" customHeight="1" thickTop="1" x14ac:dyDescent="0.45">
      <c r="A792" s="2389"/>
      <c r="B792" s="2390"/>
      <c r="C792" s="763">
        <v>1</v>
      </c>
      <c r="D792" s="868">
        <v>1</v>
      </c>
      <c r="E792" s="869" t="str">
        <f>IF(ISBLANK(A792),"",IF(L$27="",IFERROR(VLOOKUP(A792,Stammdaten!$A$70:$C$96,3,FALSE),KALKULATION!$M$283),"ungültig"))</f>
        <v/>
      </c>
      <c r="F792" s="673" t="str">
        <f>IFERROR(C792*D792*E792,"")</f>
        <v/>
      </c>
      <c r="G792" s="674">
        <f ca="1">IFERROR(VLOOKUP(A792,Stammdaten!$A$70:$C$96,2,FALSE),"")</f>
        <v>0</v>
      </c>
      <c r="H792" s="675">
        <f ca="1">IFERROR(C792*D792*G792,"")</f>
        <v>0</v>
      </c>
      <c r="I792" s="814"/>
      <c r="J792" s="2487" t="str">
        <f>VLOOKUP(E795,M795:Q798,5,FALSE)</f>
        <v>Hinweis zu R4.b - 1.) Wenn der Regiepreis keine Arbeitszeitzuschläge enthalten soll (Regelung gem ÖN B 2110) ist diese Einstellung (1.) zutreffend.</v>
      </c>
      <c r="K792" s="2487"/>
      <c r="L792" s="2488"/>
      <c r="M792" s="2018" t="str">
        <f t="shared" si="74"/>
        <v>3. Eigene Kalkulation für den Regiepreis</v>
      </c>
      <c r="N792" s="1955" t="str">
        <f t="shared" si="74"/>
        <v>berechnen:</v>
      </c>
    </row>
    <row r="793" spans="1:18" ht="17.850000000000001" customHeight="1" x14ac:dyDescent="0.45">
      <c r="A793" s="863"/>
      <c r="B793" s="864"/>
      <c r="C793" s="864"/>
      <c r="D793" s="871" t="s">
        <v>703</v>
      </c>
      <c r="E793" s="870" t="e">
        <f ca="1">' K3 Regie6'!O$21</f>
        <v>#DIV/0!</v>
      </c>
      <c r="F793" s="867">
        <f ca="1">IFERROR(F792/E793,0)</f>
        <v>0</v>
      </c>
      <c r="G793" s="865" t="str">
        <f ca="1">IF(G792=0,"",$G$131)</f>
        <v/>
      </c>
      <c r="H793" s="1004">
        <f ca="1">IFERROR(H792*G793,0)</f>
        <v>0</v>
      </c>
      <c r="I793" s="814"/>
      <c r="J793" s="2487"/>
      <c r="K793" s="2487"/>
      <c r="L793" s="2488"/>
    </row>
    <row r="794" spans="1:18" ht="17.850000000000001" customHeight="1" x14ac:dyDescent="0.45">
      <c r="A794" s="392" t="s">
        <v>766</v>
      </c>
      <c r="B794" s="67"/>
      <c r="C794" s="346"/>
      <c r="D794" s="346"/>
      <c r="E794" s="346"/>
      <c r="F794" s="497"/>
      <c r="G794" s="346"/>
      <c r="H794" s="92">
        <f>IF(E790=M792,SUM(F793,H793),H790)</f>
        <v>0</v>
      </c>
      <c r="I794" s="814"/>
      <c r="J794" s="2487"/>
      <c r="K794" s="2487"/>
      <c r="L794" s="2488"/>
      <c r="M794" s="1962" t="str">
        <f>M$442</f>
        <v>DD Arbeitszeitzuschläge</v>
      </c>
      <c r="N794" s="1962"/>
      <c r="O794" s="1962"/>
      <c r="P794" s="1962" t="str">
        <f t="shared" ref="P794" si="75">P$442</f>
        <v>Text in K3</v>
      </c>
      <c r="Q794" s="1962" t="str">
        <f>Q$442</f>
        <v>Text in Kalk</v>
      </c>
      <c r="R794" s="1964"/>
    </row>
    <row r="795" spans="1:18" ht="17.850000000000001" customHeight="1" x14ac:dyDescent="0.45">
      <c r="A795" s="2491" t="s">
        <v>562</v>
      </c>
      <c r="B795" s="2492"/>
      <c r="C795" s="2492"/>
      <c r="D795" s="925" t="s">
        <v>767</v>
      </c>
      <c r="E795" s="2299" t="s">
        <v>879</v>
      </c>
      <c r="F795" s="2300"/>
      <c r="G795" s="2300"/>
      <c r="H795" s="1007">
        <f>VLOOKUP(E795,M795:N798,2,FALSE)</f>
        <v>0</v>
      </c>
      <c r="I795" s="815" t="str">
        <f>IF(E795&lt;&gt;M795,"X","")</f>
        <v/>
      </c>
      <c r="J795" s="2487"/>
      <c r="K795" s="2487"/>
      <c r="L795" s="2488"/>
      <c r="M795" s="2018" t="str">
        <f>M$443</f>
        <v>1. Standard (ÖN B 2110) ohne Zuschlag</v>
      </c>
      <c r="N795" s="2003">
        <f t="shared" ref="N795:Q795" si="76">N$443</f>
        <v>0</v>
      </c>
      <c r="O795" s="1955"/>
      <c r="P795" s="1955" t="str">
        <f t="shared" si="76"/>
        <v>Regiestunde</v>
      </c>
      <c r="Q795" s="1955" t="str">
        <f t="shared" si="76"/>
        <v>Hinweis zu R4.b - 1.) Wenn der Regiepreis keine Arbeitszeitzuschläge enthalten soll (Regelung gem ÖN B 2110) ist diese Einstellung (1.) zutreffend.</v>
      </c>
      <c r="R795" s="1969"/>
    </row>
    <row r="796" spans="1:18" ht="17.850000000000001" customHeight="1" x14ac:dyDescent="0.45">
      <c r="A796" s="2412" t="s">
        <v>561</v>
      </c>
      <c r="B796" s="2413"/>
      <c r="C796" s="2413"/>
      <c r="D796" s="2413"/>
      <c r="E796" s="551" t="s">
        <v>376</v>
      </c>
      <c r="F796" s="522" t="s">
        <v>192</v>
      </c>
      <c r="G796" s="922">
        <v>1</v>
      </c>
      <c r="H796" s="604"/>
      <c r="I796" s="815" t="str">
        <f>IF(AND(E795=M797,F796=_Ja),"X","")</f>
        <v/>
      </c>
      <c r="J796" s="2334" t="str">
        <f>IF(OR(F796=$Q$31,F796=$Q$32),"","Bitte Ja oder Nein wählen!")</f>
        <v/>
      </c>
      <c r="K796" s="2334"/>
      <c r="L796" s="2335"/>
      <c r="M796" s="2018" t="str">
        <f>M$444</f>
        <v>2. Regie mit Ø-Zuschlag wie K3 Zeile 8</v>
      </c>
      <c r="N796" s="2003">
        <f t="shared" ref="N796:Q796" ca="1" si="77">N$444</f>
        <v>2.5999999999999999E-2</v>
      </c>
      <c r="O796" s="1955"/>
      <c r="P796" s="1955" t="str">
        <f t="shared" si="77"/>
        <v>Regiestd. (Ø-% wie K3 Z 8)</v>
      </c>
      <c r="Q796" s="1955" t="str">
        <f t="shared" si="77"/>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9"/>
    </row>
    <row r="797" spans="1:18" ht="17.850000000000001" customHeight="1" x14ac:dyDescent="0.45">
      <c r="A797" s="538" t="s">
        <v>377</v>
      </c>
      <c r="B797" s="2331"/>
      <c r="C797" s="2332"/>
      <c r="D797" s="2333"/>
      <c r="E797" s="540" t="str">
        <f>IF(OR(ISBLANK(B797),F796=_Nein),"",IFERROR(VLOOKUP(B797,Stammdaten!A$39:C$48,3,FALSE),KALKULATION!$M$283))</f>
        <v/>
      </c>
      <c r="F797" s="1098"/>
      <c r="G797" s="542"/>
      <c r="H797" s="605"/>
      <c r="I797" s="815"/>
      <c r="J797" s="2306" t="str">
        <f>IF(F796&lt;&gt;$Q$31,"",IF(AND(E797=KALKULATION!$M$283,F796=$Q$31),"Auswahl erneut vornehmen (ungültiger Verweis)!",IF(OR(AND(F796=$Q$31,B797=""),AND(F796=$Q$32,B797&lt;&gt;"")),"Eingabe unvollständig (ergänzen,  löschen od Nein wählen)!","")))</f>
        <v>Eingabe unvollständig (ergänzen,  löschen od Nein wählen)!</v>
      </c>
      <c r="K797" s="2306"/>
      <c r="L797" s="2307"/>
      <c r="M797" s="2018" t="str">
        <f>M$445</f>
        <v>3. Regie mit Std-Zuschlag wie K3</v>
      </c>
      <c r="N797" s="2003">
        <f t="shared" ref="N797:Q797" ca="1" si="78">N$445</f>
        <v>0.67330000000000001</v>
      </c>
      <c r="O797" s="1955"/>
      <c r="P797" s="1955" t="str">
        <f t="shared" si="78"/>
        <v>Regiestd. (Std-% analog K3)</v>
      </c>
      <c r="Q797" s="1955" t="str">
        <f t="shared" si="78"/>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9"/>
    </row>
    <row r="798" spans="1:18" ht="17.850000000000001" customHeight="1" x14ac:dyDescent="0.45">
      <c r="A798" s="2480" t="s">
        <v>135</v>
      </c>
      <c r="B798" s="2481"/>
      <c r="C798" s="2481"/>
      <c r="D798" s="2481"/>
      <c r="E798" s="539">
        <f ca="1">IFERROR(IF(VLOOKUP(B797,Stammdaten!A$39:C$48,2,FALSE)=0,1,(VLOOKUP(B797,Stammdaten!A$39:C$48,2,FALSE))),"")</f>
        <v>1</v>
      </c>
      <c r="F798" s="1098"/>
      <c r="G798" s="543"/>
      <c r="H798" s="606"/>
      <c r="I798" s="815"/>
      <c r="L798" s="216"/>
      <c r="M798" s="2018" t="str">
        <f>M$446</f>
        <v>4. Regie berechnen</v>
      </c>
      <c r="N798" s="1955" t="str">
        <f t="shared" ref="N798:Q798" si="79">N$446</f>
        <v>berechnen:</v>
      </c>
      <c r="O798" s="1955"/>
      <c r="P798" s="1955"/>
      <c r="Q798" s="1955" t="str">
        <f t="shared" si="79"/>
        <v>Hinweis zu R4.b - 4.) Wenn ein Regiepreis unter kalkulatorischer Beachtung zeitlicher Rahmenbedingungen zu nennen ist, ist diese Auswahl zutreffend. Mehrarbeitszuschläge und Verr.std.zuschläge lassen sich individuell getrennt erfassen.</v>
      </c>
      <c r="R798" s="1969"/>
    </row>
    <row r="799" spans="1:18" ht="17.850000000000001" customHeight="1" x14ac:dyDescent="0.45">
      <c r="A799" s="2498" t="s">
        <v>558</v>
      </c>
      <c r="B799" s="2499"/>
      <c r="C799" s="2499"/>
      <c r="D799" s="2499"/>
      <c r="E799" s="2500"/>
      <c r="F799" s="351">
        <v>1</v>
      </c>
      <c r="G799" s="544">
        <f>IF(F799=1,1,IF(F799=2,((' K3 Regie6'!O$23+' K3 Regie6'!O$24)/' K3 Regie6'!O$23),IF(F799&gt;2,((' K3 Regie6'!O$23+' K3 Regie6'!O$24+' K3 Regie6'!O$25)/' K3 Regie6'!O$23),"")))</f>
        <v>1</v>
      </c>
      <c r="H799" s="605" t="str">
        <f ca="1">IFERROR(IF(AND(F796=$Q$31,F799&gt;0),(E797*E798*G799),""),"??")</f>
        <v>??</v>
      </c>
      <c r="I799" s="815"/>
      <c r="J799" s="1087" t="str">
        <f>IF(F796&lt;&gt;$Q$31,"",IF(AND(ISBLANK(F799),F796=$Q$31),"Kennzeichen setzen!",""))</f>
        <v/>
      </c>
      <c r="K799" s="1087"/>
      <c r="L799" s="365"/>
      <c r="M799" s="2072" t="s">
        <v>863</v>
      </c>
      <c r="R799" s="1969"/>
    </row>
    <row r="800" spans="1:18" ht="17.850000000000001" customHeight="1" x14ac:dyDescent="0.45">
      <c r="A800" s="2412" t="s">
        <v>563</v>
      </c>
      <c r="B800" s="2413"/>
      <c r="C800" s="2413"/>
      <c r="D800" s="2413"/>
      <c r="E800" s="551" t="s">
        <v>376</v>
      </c>
      <c r="F800" s="522" t="s">
        <v>192</v>
      </c>
      <c r="G800" s="541"/>
      <c r="H800" s="604"/>
      <c r="I800" s="815" t="str">
        <f>IF(AND(E795=M797,F800=_Ja),"X","")</f>
        <v/>
      </c>
      <c r="J800" s="2334"/>
      <c r="K800" s="2334"/>
      <c r="L800" s="2335"/>
      <c r="M800" s="1338" t="s">
        <v>856</v>
      </c>
      <c r="N800" s="2073" t="str">
        <f>IF(E795=M796,P796,IF(E795=M797,P797,IF(AND(E795=M798,F796=_Ja),B797,P795)))</f>
        <v>Regiestunde</v>
      </c>
      <c r="O800" s="2068"/>
      <c r="P800" s="2003" t="str">
        <f>IF(AND(E795=M798,F796=_Ja),TEXT(E797,"0%"),IF(N800=P796,TEXT(N796,"0,00%"),IF(N800=P797,TEXT($P$113,"0%"),"")))</f>
        <v/>
      </c>
      <c r="R800" s="1969"/>
    </row>
    <row r="801" spans="1:18" ht="17.850000000000001" customHeight="1" x14ac:dyDescent="0.45">
      <c r="A801" s="538" t="s">
        <v>377</v>
      </c>
      <c r="B801" s="2331"/>
      <c r="C801" s="2332"/>
      <c r="D801" s="2333"/>
      <c r="E801" s="547" t="str">
        <f>IF(OR(ISBLANK(B801),F800=_Nein),"",IFERROR(VLOOKUP(B801,Stammdaten!A$50:C$54,3,FALSE),KALKULATION!$M$283))</f>
        <v/>
      </c>
      <c r="F801" s="1098"/>
      <c r="G801" s="542"/>
      <c r="H801" s="605"/>
      <c r="I801" s="815"/>
      <c r="J801" s="2306" t="str">
        <f>IF(F800&lt;&gt;$Q$31,"",IF(AND(E801=KALKULATION!$M$283,F800=$Q$31),"Auswahl erneut vornehmen (ungültiger Verweis)!",IF(OR(AND(F800=$Q$31,B801=""),AND(F800=$Q$32,B801&lt;&gt;"")),"Eingabe unvollständig (ergänzen,  löschen od Nein wählen)!","")))</f>
        <v>Eingabe unvollständig (ergänzen,  löschen od Nein wählen)!</v>
      </c>
      <c r="K801" s="2306"/>
      <c r="L801" s="2307"/>
      <c r="M801" s="1338" t="s">
        <v>860</v>
      </c>
      <c r="N801" s="2074" t="str">
        <f>IF(AND(E795=M798,F800=_Ja),B801,"")</f>
        <v/>
      </c>
      <c r="O801" s="2075"/>
      <c r="P801" s="2003" t="str">
        <f>IF(N801="","",E801)</f>
        <v/>
      </c>
      <c r="Q801" s="1943"/>
      <c r="R801" s="2076"/>
    </row>
    <row r="802" spans="1:18" ht="17.850000000000001" customHeight="1" x14ac:dyDescent="0.45">
      <c r="A802" s="2403" t="s">
        <v>198</v>
      </c>
      <c r="B802" s="2404"/>
      <c r="C802" s="2404"/>
      <c r="D802" s="2404"/>
      <c r="E802" s="539">
        <f ca="1">IFERROR(IF(VLOOKUP(B801,Stammdaten!A$50:C$54,2,FALSE)=0,1,(VLOOKUP(B801,Stammdaten!A$50:C$54,2,FALSE))),"")</f>
        <v>1</v>
      </c>
      <c r="F802" s="1098"/>
      <c r="G802" s="543"/>
      <c r="H802" s="606"/>
      <c r="I802" s="815"/>
      <c r="L802" s="216"/>
      <c r="M802" s="1338" t="s">
        <v>861</v>
      </c>
      <c r="N802" s="2074" t="str">
        <f>IF(AND(E795=M798,F804=_Ja),B805,"")</f>
        <v/>
      </c>
      <c r="O802" s="2018"/>
      <c r="P802" s="2077" t="str">
        <f>IF(N802="","",E805)</f>
        <v/>
      </c>
      <c r="Q802" s="1943"/>
      <c r="R802" s="2076"/>
    </row>
    <row r="803" spans="1:18" ht="17.850000000000001" customHeight="1" x14ac:dyDescent="0.45">
      <c r="A803" s="2498" t="str">
        <f>A799</f>
        <v xml:space="preserve">  Basis für die Aufzahlung in % (siehe Pkt C0; KZ = 1, 2, 3 od. 4):  ↓</v>
      </c>
      <c r="B803" s="2499"/>
      <c r="C803" s="2499"/>
      <c r="D803" s="2499"/>
      <c r="E803" s="2500"/>
      <c r="F803" s="351">
        <v>1</v>
      </c>
      <c r="G803" s="544">
        <f>IF(F803=1,1,IF(F803=2,((' K3 Regie6'!O$23+' K3 Regie6'!O$24)/' K3 Regie6'!O$23),IF(F803&gt;2,((' K3 Regie6'!O$23+' K3 Regie6'!O$24+' K3 Regie6'!O$25)/' K3 Regie6'!O$23),"")))</f>
        <v>1</v>
      </c>
      <c r="H803" s="605" t="str">
        <f ca="1">IFERROR(IF(F800=$Q$31,(E801*E802*G803),""),"??")</f>
        <v>??</v>
      </c>
      <c r="I803" s="815"/>
      <c r="J803" s="2334" t="str">
        <f>IF(F800&lt;&gt;$Q$31,"",IF(AND(ISBLANK(F803),F800=$Q$31),"Kennzeichen setzen!",""))</f>
        <v/>
      </c>
      <c r="K803" s="2334"/>
      <c r="L803" s="360"/>
      <c r="M803" s="1338" t="s">
        <v>865</v>
      </c>
      <c r="N803" s="1338">
        <f>IF(AND(N801&lt;&gt;"",N802&lt;&gt;""),2,IF(N801&amp;N802="",0,1))</f>
        <v>0</v>
      </c>
      <c r="R803" s="1969"/>
    </row>
    <row r="804" spans="1:18" ht="17.850000000000001" customHeight="1" x14ac:dyDescent="0.45">
      <c r="A804" s="2412" t="s">
        <v>564</v>
      </c>
      <c r="B804" s="2413"/>
      <c r="C804" s="2413"/>
      <c r="D804" s="2413"/>
      <c r="E804" s="551" t="s">
        <v>376</v>
      </c>
      <c r="F804" s="522" t="s">
        <v>192</v>
      </c>
      <c r="G804" s="545"/>
      <c r="H804" s="607"/>
      <c r="I804" s="815" t="str">
        <f>IF(AND(E795=M797,F804=_Ja),"X","")</f>
        <v/>
      </c>
      <c r="J804" s="2334"/>
      <c r="K804" s="2334"/>
      <c r="L804" s="2335"/>
      <c r="M804" s="1971"/>
      <c r="N804" s="2078" t="str">
        <f>IF(N803=2," "&amp;N801&amp;" "&amp;", "&amp;N802,IF(N803=1," "&amp;N801&amp;N802,""))</f>
        <v/>
      </c>
      <c r="O804" s="2078"/>
      <c r="P804" s="1971"/>
      <c r="Q804" s="1971"/>
      <c r="R804" s="1978"/>
    </row>
    <row r="805" spans="1:18" ht="17.850000000000001" customHeight="1" x14ac:dyDescent="0.45">
      <c r="A805" s="550" t="s">
        <v>377</v>
      </c>
      <c r="B805" s="2332"/>
      <c r="C805" s="2332"/>
      <c r="D805" s="2332"/>
      <c r="E805" s="548" t="str">
        <f>IF(OR(ISBLANK(B805),F804=_Nein),"",IFERROR(VLOOKUP(B805,Stammdaten!A$57:C$61,2,FALSE),KALKULATION!$M$283))</f>
        <v/>
      </c>
      <c r="F805" s="549" t="s">
        <v>197</v>
      </c>
      <c r="G805" s="546" t="e">
        <f ca="1">' K3 Regie6'!$O$21</f>
        <v>#DIV/0!</v>
      </c>
      <c r="H805" s="608" t="str">
        <f ca="1">IFERROR(IF(F804=$Q$31,E805/G805,""),"??")</f>
        <v>??</v>
      </c>
      <c r="I805" s="815"/>
      <c r="J805" s="271" t="str">
        <f>IF(AND(F804=$Q$31,B805=""),"Eingabe unvollständig (ergänzen od Nein wählen)!","")</f>
        <v>Eingabe unvollständig (ergänzen od Nein wählen)!</v>
      </c>
      <c r="L805" s="216"/>
    </row>
    <row r="806" spans="1:18" ht="17.850000000000001" customHeight="1" x14ac:dyDescent="0.45">
      <c r="A806" s="2243" t="s">
        <v>389</v>
      </c>
      <c r="B806" s="2336"/>
      <c r="C806" s="2336"/>
      <c r="D806" s="2336"/>
      <c r="E806" s="373"/>
      <c r="F806" s="377">
        <f>IF(F800=$Q$31,B801,IF(F804=$Q$31,B805,""))</f>
        <v>0</v>
      </c>
      <c r="G806" s="377" t="str">
        <f ca="1">IF(F800=$Q$31,TEXT(H803,"0%"),IF(F804=$Q$31,TEXT(G805,"0,00€"),""))</f>
        <v>??</v>
      </c>
      <c r="H806" s="609">
        <f>IF(E795=M798,SUM(H796:H805),H795)</f>
        <v>0</v>
      </c>
      <c r="I806" s="816"/>
      <c r="L806" s="216"/>
    </row>
    <row r="807" spans="1:18" ht="17.850000000000001" customHeight="1" x14ac:dyDescent="0.45">
      <c r="A807" s="2532" t="s">
        <v>383</v>
      </c>
      <c r="B807" s="2533"/>
      <c r="C807" s="2533"/>
      <c r="D807" s="2534"/>
      <c r="E807" s="2399" t="s">
        <v>638</v>
      </c>
      <c r="F807" s="2399"/>
      <c r="G807" s="2399" t="str">
        <f>G$455</f>
        <v>Optional überschrei-ben mit:</v>
      </c>
      <c r="H807" s="2493" t="str">
        <f>H$455</f>
        <v>Übertrag in K3 Regie</v>
      </c>
      <c r="I807" s="816"/>
      <c r="L807" s="216"/>
    </row>
    <row r="808" spans="1:18" ht="17.850000000000001" customHeight="1" x14ac:dyDescent="0.45">
      <c r="A808" s="2535"/>
      <c r="B808" s="2536"/>
      <c r="C808" s="2536"/>
      <c r="D808" s="2537"/>
      <c r="E808" s="2400"/>
      <c r="F808" s="2400"/>
      <c r="G808" s="2400"/>
      <c r="H808" s="2494"/>
      <c r="I808" s="816"/>
      <c r="L808" s="216"/>
    </row>
    <row r="809" spans="1:18" ht="17.850000000000001" customHeight="1" thickBot="1" x14ac:dyDescent="0.5">
      <c r="A809" s="2538"/>
      <c r="B809" s="2539"/>
      <c r="C809" s="2539"/>
      <c r="D809" s="2540"/>
      <c r="E809" s="2401"/>
      <c r="F809" s="2401"/>
      <c r="G809" s="2401"/>
      <c r="H809" s="2495"/>
      <c r="I809" s="816"/>
      <c r="L809" s="216"/>
    </row>
    <row r="810" spans="1:18" ht="17.850000000000001" customHeight="1" thickTop="1" x14ac:dyDescent="0.45">
      <c r="A810" s="2243" t="s">
        <v>384</v>
      </c>
      <c r="B810" s="2336"/>
      <c r="C810" s="2336"/>
      <c r="D810" s="2244"/>
      <c r="E810" s="51">
        <f ca="1">$H$228</f>
        <v>3.3</v>
      </c>
      <c r="F810" s="1883" t="e">
        <f>H779/G779</f>
        <v>#DIV/0!</v>
      </c>
      <c r="G810" s="364"/>
      <c r="H810" s="361" t="e">
        <f ca="1">IF(ISBLANK(G810),E810*(1+F810),G810)</f>
        <v>#DIV/0!</v>
      </c>
      <c r="I810" s="815" t="str">
        <f>IF(ISBLANK(G810),"","X")</f>
        <v/>
      </c>
      <c r="L810" s="216"/>
    </row>
    <row r="811" spans="1:18" ht="17.850000000000001" customHeight="1" x14ac:dyDescent="0.45">
      <c r="A811" s="2285" t="s">
        <v>385</v>
      </c>
      <c r="B811" s="2286"/>
      <c r="C811" s="2286"/>
      <c r="D811" s="2287"/>
      <c r="E811" s="48">
        <f ca="1">IF(E790=M791,$G$227,$G$229)</f>
        <v>1.5</v>
      </c>
      <c r="F811" s="1884" t="e">
        <f>H779/G779</f>
        <v>#DIV/0!</v>
      </c>
      <c r="G811" s="341"/>
      <c r="H811" s="362" t="e">
        <f ca="1">IF(ISBLANK(G811),E811*(1+F811),G811)</f>
        <v>#DIV/0!</v>
      </c>
      <c r="I811" s="815" t="str">
        <f>IF(ISBLANK(G811),"","X")</f>
        <v/>
      </c>
      <c r="L811" s="216"/>
    </row>
    <row r="812" spans="1:18" ht="17.850000000000001" customHeight="1" x14ac:dyDescent="0.45">
      <c r="A812" s="2285" t="s">
        <v>386</v>
      </c>
      <c r="B812" s="2286"/>
      <c r="C812" s="2286"/>
      <c r="D812" s="2287"/>
      <c r="E812" s="157">
        <f ca="1">$H$236</f>
        <v>0.30270000000000002</v>
      </c>
      <c r="F812" s="156"/>
      <c r="G812" s="337"/>
      <c r="H812" s="363">
        <f ca="1">IF(ISBLANK(G812),E812,G812)</f>
        <v>0.30270000000000002</v>
      </c>
      <c r="I812" s="815" t="str">
        <f ca="1">IF(OR(G812&lt;&gt;0,E812&lt;&gt;H812),"X","")</f>
        <v/>
      </c>
      <c r="J812" s="2308" t="str">
        <f>IF(G812="","","Hinweis: DPNK lassen sich genau bestimmen/nachrechnen!")</f>
        <v/>
      </c>
      <c r="K812" s="2308"/>
      <c r="L812" s="2309"/>
    </row>
    <row r="813" spans="1:18" ht="17.850000000000001" customHeight="1" x14ac:dyDescent="0.45">
      <c r="A813" s="2285" t="s">
        <v>387</v>
      </c>
      <c r="B813" s="2286"/>
      <c r="C813" s="2286"/>
      <c r="D813" s="2287"/>
      <c r="E813" s="157">
        <f ca="1">$H$265</f>
        <v>0.66</v>
      </c>
      <c r="F813" s="156"/>
      <c r="G813" s="337"/>
      <c r="H813" s="363">
        <f ca="1">IF(ISBLANK(G813),E813,G813)</f>
        <v>0.66</v>
      </c>
      <c r="I813" s="815" t="str">
        <f ca="1">IF(OR(G813&lt;&gt;0,E813&lt;&gt;H813),"X","")</f>
        <v/>
      </c>
      <c r="L813" s="216"/>
    </row>
    <row r="814" spans="1:18" ht="17.850000000000001" customHeight="1" x14ac:dyDescent="0.45">
      <c r="A814" s="435" t="s">
        <v>388</v>
      </c>
      <c r="B814" s="67"/>
      <c r="C814" s="67"/>
      <c r="D814" s="436"/>
      <c r="E814" s="48">
        <f ca="1">H$276</f>
        <v>7.0000000000000007E-2</v>
      </c>
      <c r="F814" s="156"/>
      <c r="G814" s="565"/>
      <c r="H814" s="362">
        <f ca="1">IF(ISBLANK(G814),E814,G814)</f>
        <v>7.0000000000000007E-2</v>
      </c>
      <c r="I814" s="815" t="str">
        <f ca="1">IF(OR(G814&lt;&gt;0,E814&lt;&gt;H814),"X","")</f>
        <v/>
      </c>
      <c r="L814" s="216"/>
    </row>
    <row r="815" spans="1:18" ht="17.850000000000001" customHeight="1" x14ac:dyDescent="0.45">
      <c r="A815" s="2285" t="s">
        <v>592</v>
      </c>
      <c r="B815" s="2287"/>
      <c r="C815" s="199">
        <f>$E$306</f>
        <v>4.7500000000000001E-2</v>
      </c>
      <c r="D815" s="48">
        <f ca="1">$F$307</f>
        <v>3.21</v>
      </c>
      <c r="E815" s="338"/>
      <c r="F815" s="364"/>
      <c r="G815" s="363">
        <f>IF(ISBLANK(E815),C815,E815)</f>
        <v>4.7500000000000001E-2</v>
      </c>
      <c r="H815" s="361">
        <f ca="1">IF(ISBLANK(F815),D815,F815)</f>
        <v>3.21</v>
      </c>
      <c r="I815" s="815" t="str">
        <f>IF(OR(F815&lt;&gt;0,E815&lt;&gt;0),"X","")</f>
        <v/>
      </c>
      <c r="L815" s="216"/>
    </row>
    <row r="816" spans="1:18" ht="17.850000000000001" customHeight="1" x14ac:dyDescent="0.45">
      <c r="A816" s="2491" t="str">
        <f ca="1">"R5)"&amp;IF($G$327=0," Keine Umlagen unter Pkt H1 bzw H2 angelgt!"," Umlagen (K3 Spalte A)")</f>
        <v>R5) Keine Umlagen unter Pkt H1 bzw H2 angelgt!</v>
      </c>
      <c r="B816" s="2492"/>
      <c r="C816" s="2492"/>
      <c r="D816" s="2492"/>
      <c r="E816" s="2492"/>
      <c r="F816" s="2492"/>
      <c r="G816" s="2492"/>
      <c r="H816" s="2492"/>
      <c r="I816" s="816"/>
      <c r="L816" s="216"/>
    </row>
    <row r="817" spans="1:17" ht="17.850000000000001" customHeight="1" thickBot="1" x14ac:dyDescent="0.5">
      <c r="A817" s="2338" t="s">
        <v>560</v>
      </c>
      <c r="B817" s="2339"/>
      <c r="C817" s="2339"/>
      <c r="D817" s="2339"/>
      <c r="E817" s="521" t="str">
        <f ca="1">IF(SUM(F818:G820)&lt;&gt;$H$327,"!","")</f>
        <v/>
      </c>
      <c r="F817" s="712" t="s">
        <v>69</v>
      </c>
      <c r="G817" s="744" t="s">
        <v>671</v>
      </c>
      <c r="H817" s="1005">
        <f>' K3 Regie5'!O133</f>
        <v>0</v>
      </c>
      <c r="I817" s="816"/>
      <c r="J817" s="2329" t="str">
        <f ca="1">IF(E817="!","Hinweis: Es sind nicht alle oder andere Umlagen wie oben (Pkt H) für K3 ausgewählt! Berechnung erfolgt mit den hier ausgewählten Umlagen.","")</f>
        <v/>
      </c>
      <c r="K817" s="2329"/>
      <c r="L817" s="2330"/>
    </row>
    <row r="818" spans="1:17" ht="17.850000000000001" customHeight="1" thickTop="1" x14ac:dyDescent="0.45">
      <c r="A818" s="2337"/>
      <c r="B818" s="2337"/>
      <c r="C818" s="2337"/>
      <c r="D818" s="2337"/>
      <c r="E818" s="2337"/>
      <c r="F818" s="85" t="str">
        <f>IF(A818="","",IFERROR(VLOOKUP(A818,A$329:E$333,2,FALSE),KALKULATION!$M$283))</f>
        <v/>
      </c>
      <c r="G818" s="158" t="str">
        <f>IF(A818="","",IFERROR(VLOOKUP(A818,A$329:E$333,3,FALSE),""))</f>
        <v/>
      </c>
      <c r="H818" s="85" t="str">
        <f>IF(OR(G818="",G818=0),"",G818*H$743)</f>
        <v/>
      </c>
      <c r="I818" s="816"/>
      <c r="J818" s="2329"/>
      <c r="K818" s="2329"/>
      <c r="L818" s="2330"/>
    </row>
    <row r="819" spans="1:17" ht="17.850000000000001" customHeight="1" x14ac:dyDescent="0.45">
      <c r="A819" s="2402"/>
      <c r="B819" s="2402"/>
      <c r="C819" s="2402"/>
      <c r="D819" s="2402"/>
      <c r="E819" s="2402"/>
      <c r="F819" s="85" t="str">
        <f>IF(A819="","",IFERROR(VLOOKUP(A819,A$329:E$333,2,FALSE),KALKULATION!$M$283))</f>
        <v/>
      </c>
      <c r="G819" s="158" t="str">
        <f t="shared" ref="G819:G820" si="80">IF(A819="","",IFERROR(VLOOKUP(A819,A$329:E$333,3,FALSE),""))</f>
        <v/>
      </c>
      <c r="H819" s="85" t="str">
        <f t="shared" ref="H819:H820" si="81">IF(OR(G819="",G819=0),"",G819*H$743)</f>
        <v/>
      </c>
      <c r="I819" s="816"/>
      <c r="J819" s="2329"/>
      <c r="K819" s="2329"/>
      <c r="L819" s="2330"/>
    </row>
    <row r="820" spans="1:17" ht="17.850000000000001" customHeight="1" x14ac:dyDescent="0.45">
      <c r="A820" s="2402"/>
      <c r="B820" s="2402"/>
      <c r="C820" s="2402"/>
      <c r="D820" s="2402"/>
      <c r="E820" s="2402"/>
      <c r="F820" s="84" t="str">
        <f>IF(A820="","",IFERROR(VLOOKUP(A820,A$329:E$333,2,FALSE),KALKULATION!$M$283))</f>
        <v/>
      </c>
      <c r="G820" s="50" t="str">
        <f t="shared" si="80"/>
        <v/>
      </c>
      <c r="H820" s="84" t="str">
        <f t="shared" si="81"/>
        <v/>
      </c>
      <c r="I820" s="816"/>
      <c r="L820" s="216"/>
      <c r="M820" s="2098" t="s">
        <v>641</v>
      </c>
      <c r="N820" s="2098"/>
      <c r="O820" s="2098" t="str">
        <f>$A$413&amp;" gesamt"</f>
        <v>Regielohnpreis gesamt</v>
      </c>
      <c r="P820" s="2099"/>
    </row>
    <row r="821" spans="1:17" ht="17.850000000000001" customHeight="1" x14ac:dyDescent="0.45">
      <c r="A821" s="2391" t="str">
        <f>IF(SUM(F818:H820)=0,"R5.b) GZ auf UMLAGEN - keine Umlagen ausgewählt (oder in Pkt H1 angelegt)","R5.b) GZ auf Umlagen")</f>
        <v>R5.b) GZ auf UMLAGEN - keine Umlagen ausgewählt (oder in Pkt H1 angelegt)</v>
      </c>
      <c r="B821" s="2392"/>
      <c r="C821" s="2392"/>
      <c r="D821" s="2392"/>
      <c r="E821" s="2392"/>
      <c r="F821" s="2393"/>
      <c r="G821" s="2393"/>
      <c r="H821" s="2392"/>
      <c r="I821" s="816"/>
      <c r="L821" s="216"/>
      <c r="M821" s="2100" t="s">
        <v>642</v>
      </c>
      <c r="N821" s="2100"/>
      <c r="O821" s="2100" t="str">
        <f>IF(D766="","[-? Keine Bezeichnung vorhanden ?-"," ["&amp;D766&amp;"]")</f>
        <v>[-? Keine Bezeichnung vorhanden ?-</v>
      </c>
      <c r="P821" s="2101"/>
    </row>
    <row r="822" spans="1:17" ht="17.850000000000001" customHeight="1" x14ac:dyDescent="0.45">
      <c r="A822" s="2243" t="s">
        <v>559</v>
      </c>
      <c r="B822" s="2336"/>
      <c r="C822" s="2336"/>
      <c r="D822" s="2299"/>
      <c r="E822" s="2300"/>
      <c r="F822" s="2328"/>
      <c r="G822" s="196" t="str">
        <f>IF(D822="","",IFERROR(VLOOKUP(D822,'K2 GZ'!I$25:M$32,5,FALSE),KALKULATION!$M$283))</f>
        <v/>
      </c>
      <c r="H822" s="1006" t="str">
        <f ca="1">IF($G$327=0,"",IF(G822=KALKULATION!$M$283,"",IF(SUM(F818:H820)=0,"",IF(D822="",$G$346,G822))))</f>
        <v/>
      </c>
      <c r="I822" s="815" t="str">
        <f>IF(AND(D822&lt;&gt;"",SUM(F818:H820)&lt;&gt;0),"X","")</f>
        <v/>
      </c>
      <c r="J822" s="2306" t="str">
        <f ca="1">IF(G822=KALKULATION!$M$283,"Auswahl erneut vornehmen (ungült. Verweis)/Text löschen!",IF(AND(H822="",SUM(F818:G820)&lt;&gt;0),"GZ fehlt oder gleich 0!)",""))</f>
        <v/>
      </c>
      <c r="K822" s="2306"/>
      <c r="L822" s="2307"/>
      <c r="M822" s="2100" t="s">
        <v>412</v>
      </c>
      <c r="N822" s="2100"/>
      <c r="O822" s="2100" t="str">
        <f>IF(AND(COUNTA(A769:C773)=1,E769=1)," für ["&amp;A769&amp;"]","")</f>
        <v/>
      </c>
      <c r="P822" s="2101"/>
      <c r="Q822" s="2101" t="str">
        <f>IF(O822="",IF(H767="Ø"," als Ø-Preis pro Person und Stunde"," als Partiepreis pro Stunde"),O822)</f>
        <v xml:space="preserve"> als Ø-Preis pro Person und Stunde</v>
      </c>
    </row>
    <row r="823" spans="1:17" ht="17.850000000000001" customHeight="1" x14ac:dyDescent="0.45">
      <c r="A823" s="2519"/>
      <c r="B823" s="2520"/>
      <c r="C823" s="2520"/>
      <c r="D823" s="2520"/>
      <c r="E823" s="2520"/>
      <c r="F823" s="2520"/>
      <c r="G823" s="2520"/>
      <c r="H823" s="2520"/>
      <c r="I823" s="815"/>
      <c r="L823" s="216"/>
      <c r="M823" s="2102" t="s">
        <v>706</v>
      </c>
      <c r="N823" s="2100"/>
      <c r="O823" s="2103" t="str">
        <f>IF(O822="",IF(H767="Ø"," als Ø-Preis pro Person und Stunde"," als Partiepreis pro Stunde für ["&amp;TEXT(E774,"0")&amp;" Personen]"),O822)</f>
        <v xml:space="preserve"> als Ø-Preis pro Person und Stunde</v>
      </c>
      <c r="P823" s="2101"/>
    </row>
    <row r="824" spans="1:17" ht="17.850000000000001" customHeight="1" x14ac:dyDescent="0.45">
      <c r="A824" s="2391" t="str">
        <f>A$472</f>
        <v>R6) GZ auf PERSONALKOSTEN (K3 Spalte B)</v>
      </c>
      <c r="B824" s="2392"/>
      <c r="C824" s="2392"/>
      <c r="D824" s="2521"/>
      <c r="E824" s="2521"/>
      <c r="F824" s="2521"/>
      <c r="G824" s="2521"/>
      <c r="H824" s="2521"/>
      <c r="I824" s="814"/>
      <c r="L824" s="216"/>
      <c r="M824" s="2083" t="s">
        <v>639</v>
      </c>
      <c r="N824" s="2084" t="str">
        <f ca="1">IF(AND(E795=M798,H799&lt;&gt;"")," als ["&amp;B797&amp;TEXT(E797," (0%)")&amp;"]",IF(E795=M796," mit [Ø Zuschlag gem K3 Mittelpersonalpreis Z 8]",IF(E795=M797," mit [Aufzahlung pro Std gem K3 Mittelpersonalpreis]","")))</f>
        <v/>
      </c>
      <c r="O824" s="2083"/>
      <c r="P824" s="2085"/>
    </row>
    <row r="825" spans="1:17" ht="17.850000000000001" customHeight="1" x14ac:dyDescent="0.45">
      <c r="A825" s="2243" t="s">
        <v>559</v>
      </c>
      <c r="B825" s="2336"/>
      <c r="C825" s="2336"/>
      <c r="D825" s="2299"/>
      <c r="E825" s="2300"/>
      <c r="F825" s="2328"/>
      <c r="G825" s="196" t="str">
        <f>IF(D825="","",IFERROR(VLOOKUP(D825,'K2 GZ'!I$25:M$32,5,FALSE),KALKULATION!$M$283))</f>
        <v/>
      </c>
      <c r="H825" s="1054">
        <f>IF(G825=KALKULATION!$M$283,"",IF(D825="",$G$345,G825))</f>
        <v>0.28000000000000003</v>
      </c>
      <c r="I825" s="815" t="str">
        <f>IF(D825&lt;&gt;"","X","")</f>
        <v/>
      </c>
      <c r="J825" s="2306" t="str">
        <f>IF(G825=KALKULATION!$M$283,"Auswahl erneut vornehmen (ungültiger Verweis)!",IF(H825=KALKULATION!$M$283,"GZ aus K2-Blatt wählen!",""))</f>
        <v/>
      </c>
      <c r="K825" s="2306"/>
      <c r="L825" s="2307"/>
      <c r="M825" s="2086" t="s">
        <v>640</v>
      </c>
      <c r="N825" s="2087" t="str">
        <f>IF(N804="",""," in ["&amp;N804&amp;"]")</f>
        <v/>
      </c>
      <c r="O825" s="2086"/>
      <c r="P825" s="2088"/>
    </row>
    <row r="826" spans="1:17" ht="17.850000000000001" customHeight="1" x14ac:dyDescent="0.45">
      <c r="A826" s="1192" t="s">
        <v>382</v>
      </c>
      <c r="B826" s="825"/>
      <c r="C826" s="825"/>
      <c r="D826" s="2473" t="str">
        <f>D788</f>
        <v>Ø-Preis pro Person</v>
      </c>
      <c r="E826" s="2473"/>
      <c r="F826" s="2473"/>
      <c r="G826" s="828"/>
      <c r="H826" s="826">
        <f ca="1">' K3 Regie6'!N45</f>
        <v>0</v>
      </c>
      <c r="I826" s="814"/>
      <c r="J826" s="383"/>
      <c r="K826" s="383"/>
      <c r="L826" s="384"/>
      <c r="M826" s="2083"/>
      <c r="N826" s="2089"/>
      <c r="O826" s="2083"/>
      <c r="P826" s="2085"/>
    </row>
    <row r="827" spans="1:17" ht="17.850000000000001" customHeight="1" x14ac:dyDescent="0.45">
      <c r="A827" s="2522" t="s">
        <v>712</v>
      </c>
      <c r="B827" s="2523"/>
      <c r="C827" s="3024" t="str">
        <f>IFERROR(VLOOKUP(A829,M830:N837,2,FALSE),KALKULATION!$M$283)</f>
        <v>Regielohnpreis gesamt als Ø-Preis pro Person und Stunde</v>
      </c>
      <c r="D827" s="3025"/>
      <c r="E827" s="3025"/>
      <c r="F827" s="3025"/>
      <c r="G827" s="3025"/>
      <c r="H827" s="3025"/>
      <c r="I827" s="818"/>
      <c r="J827" s="2340" t="str">
        <f ca="1">IF(OR(H825&lt;Report!$G$13,KALKULATION!H825&gt;Report!$F$13,AND(SUM(KALKULATION!F818:H820)&lt;&gt;0,OR(H822&lt;Report!$G$13,KALKULATION!H822&gt;Report!$F$13))),"Hinweis: GZ in R5.b oder R6 liegt außerhalb der empfohlenen Grenzwerte gem Blatt REPORT!","")</f>
        <v/>
      </c>
      <c r="K827" s="2340"/>
      <c r="L827" s="2341"/>
      <c r="M827" s="2081"/>
      <c r="N827" s="2090"/>
      <c r="O827" s="2081"/>
      <c r="P827" s="2082"/>
    </row>
    <row r="828" spans="1:17" ht="17.850000000000001" customHeight="1" x14ac:dyDescent="0.45">
      <c r="A828" s="2524"/>
      <c r="B828" s="2525"/>
      <c r="C828" s="3026"/>
      <c r="D828" s="3027"/>
      <c r="E828" s="3027"/>
      <c r="F828" s="3027"/>
      <c r="G828" s="3027"/>
      <c r="H828" s="3027"/>
      <c r="I828" s="818"/>
      <c r="J828" s="2342"/>
      <c r="K828" s="2342"/>
      <c r="L828" s="2343"/>
      <c r="M828" s="2104" t="s">
        <v>707</v>
      </c>
      <c r="N828" s="2104" t="str">
        <f ca="1">N824&amp;N825</f>
        <v/>
      </c>
      <c r="P828" s="2105"/>
    </row>
    <row r="829" spans="1:17" ht="17.850000000000001" customHeight="1" x14ac:dyDescent="0.45">
      <c r="A829" s="3014" t="s">
        <v>716</v>
      </c>
      <c r="B829" s="3015"/>
      <c r="C829" s="3028"/>
      <c r="D829" s="3029"/>
      <c r="E829" s="3029"/>
      <c r="F829" s="3029"/>
      <c r="G829" s="3029"/>
      <c r="H829" s="3029"/>
      <c r="I829" s="818"/>
      <c r="L829" s="216"/>
      <c r="M829" s="2110" t="s">
        <v>708</v>
      </c>
      <c r="N829" s="2111"/>
    </row>
    <row r="830" spans="1:17" ht="17.850000000000001" customHeight="1" x14ac:dyDescent="0.45">
      <c r="A830" s="2522" t="s">
        <v>709</v>
      </c>
      <c r="B830" s="2586"/>
      <c r="C830" s="3018" t="s">
        <v>1078</v>
      </c>
      <c r="D830" s="3019"/>
      <c r="E830" s="3019"/>
      <c r="F830" s="3019"/>
      <c r="G830" s="3019"/>
      <c r="H830" s="3019"/>
      <c r="I830" s="818"/>
      <c r="L830" s="216"/>
      <c r="M830" s="1952" t="s">
        <v>715</v>
      </c>
      <c r="N830" s="2106" t="str">
        <f>O820&amp;Q822</f>
        <v>Regielohnpreis gesamt als Ø-Preis pro Person und Stunde</v>
      </c>
    </row>
    <row r="831" spans="1:17" ht="17.850000000000001" customHeight="1" x14ac:dyDescent="0.45">
      <c r="A831" s="3016"/>
      <c r="B831" s="3017"/>
      <c r="C831" s="3020"/>
      <c r="D831" s="3021"/>
      <c r="E831" s="3021"/>
      <c r="F831" s="3021"/>
      <c r="G831" s="3021"/>
      <c r="H831" s="3021"/>
      <c r="I831" s="818"/>
      <c r="L831" s="216"/>
      <c r="M831" s="1952" t="s">
        <v>716</v>
      </c>
      <c r="N831" s="2106" t="str">
        <f>O820&amp;O823</f>
        <v>Regielohnpreis gesamt als Ø-Preis pro Person und Stunde</v>
      </c>
    </row>
    <row r="832" spans="1:17" ht="17.850000000000001" customHeight="1" x14ac:dyDescent="0.45">
      <c r="A832" s="2524"/>
      <c r="B832" s="2587"/>
      <c r="C832" s="3022"/>
      <c r="D832" s="3023"/>
      <c r="E832" s="3023"/>
      <c r="F832" s="3023"/>
      <c r="G832" s="3023"/>
      <c r="H832" s="3023"/>
      <c r="I832" s="818"/>
      <c r="L832" s="216"/>
      <c r="M832" s="1952" t="s">
        <v>717</v>
      </c>
      <c r="N832" s="2106" t="str">
        <f>O820&amp;O821&amp;Q822</f>
        <v>Regielohnpreis gesamt[-? Keine Bezeichnung vorhanden ?- als Ø-Preis pro Person und Stunde</v>
      </c>
    </row>
    <row r="833" spans="1:14" ht="17.850000000000001" customHeight="1" x14ac:dyDescent="0.45">
      <c r="A833" s="2921"/>
      <c r="B833" s="2922"/>
      <c r="C833" s="2922"/>
      <c r="D833" s="2922"/>
      <c r="E833" s="2922"/>
      <c r="F833" s="2922"/>
      <c r="G833" s="2922"/>
      <c r="H833" s="2922"/>
      <c r="I833" s="818"/>
      <c r="L833" s="216"/>
      <c r="M833" s="1952" t="s">
        <v>718</v>
      </c>
      <c r="N833" s="2107" t="str">
        <f>O820&amp;O821&amp;O823</f>
        <v>Regielohnpreis gesamt[-? Keine Bezeichnung vorhanden ?- als Ø-Preis pro Person und Stunde</v>
      </c>
    </row>
    <row r="834" spans="1:14" ht="17.850000000000001" customHeight="1" x14ac:dyDescent="0.45">
      <c r="A834" s="2416" t="s">
        <v>670</v>
      </c>
      <c r="B834" s="2472"/>
      <c r="C834" s="2472"/>
      <c r="D834" s="2472"/>
      <c r="E834" s="2472"/>
      <c r="F834" s="2472"/>
      <c r="G834" s="2472"/>
      <c r="H834" s="2472"/>
      <c r="I834" s="2472"/>
      <c r="J834" s="45"/>
      <c r="L834" s="216"/>
      <c r="M834" s="1952" t="s">
        <v>719</v>
      </c>
      <c r="N834" s="2108" t="str">
        <f ca="1">O820&amp;Q822&amp;N828</f>
        <v>Regielohnpreis gesamt als Ø-Preis pro Person und Stunde</v>
      </c>
    </row>
    <row r="835" spans="1:14" ht="17.850000000000001" customHeight="1" x14ac:dyDescent="0.45">
      <c r="A835" s="2317"/>
      <c r="B835" s="2472"/>
      <c r="C835" s="2472"/>
      <c r="D835" s="2472"/>
      <c r="E835" s="2472"/>
      <c r="F835" s="2472"/>
      <c r="G835" s="2472"/>
      <c r="H835" s="2472"/>
      <c r="I835" s="2472"/>
      <c r="J835" s="46"/>
      <c r="K835" s="47"/>
      <c r="L835" s="591"/>
      <c r="M835" s="1952" t="s">
        <v>720</v>
      </c>
      <c r="N835" s="2107" t="str">
        <f ca="1">O820&amp;O821&amp;Q822&amp;N828</f>
        <v>Regielohnpreis gesamt[-? Keine Bezeichnung vorhanden ?- als Ø-Preis pro Person und Stunde</v>
      </c>
    </row>
    <row r="836" spans="1:14" ht="17.850000000000001" customHeight="1" x14ac:dyDescent="0.45">
      <c r="A836" s="2297"/>
      <c r="B836" s="2297"/>
      <c r="C836" s="2297"/>
      <c r="D836" s="2297"/>
      <c r="E836" s="2297"/>
      <c r="F836" s="2297"/>
      <c r="G836" s="2297"/>
      <c r="H836" s="2297"/>
      <c r="I836" s="2297"/>
      <c r="L836" s="216"/>
      <c r="M836" s="1952" t="s">
        <v>884</v>
      </c>
      <c r="N836" s="2107" t="str">
        <f ca="1">O820&amp;O821&amp;O823&amp;N828</f>
        <v>Regielohnpreis gesamt[-? Keine Bezeichnung vorhanden ?- als Ø-Preis pro Person und Stunde</v>
      </c>
    </row>
    <row r="837" spans="1:14" ht="25.05" customHeight="1" x14ac:dyDescent="0.45">
      <c r="A837" s="2372" t="s">
        <v>428</v>
      </c>
      <c r="B837" s="2373"/>
      <c r="C837" s="2373"/>
      <c r="D837" s="2373"/>
      <c r="E837" s="2373"/>
      <c r="F837" s="2373"/>
      <c r="G837" s="2373"/>
      <c r="H837" s="2373"/>
      <c r="I837" s="2373"/>
      <c r="J837" s="59"/>
      <c r="K837" s="59"/>
      <c r="L837" s="590"/>
      <c r="M837" s="2112" t="s">
        <v>714</v>
      </c>
      <c r="N837" s="2113" t="str">
        <f>C830</f>
        <v>#Ihre individuelle Bezeichnung für die Auswahl in R7.a können Sie in R7.b eintragen.</v>
      </c>
    </row>
    <row r="838" spans="1:14" ht="17.850000000000001" customHeight="1" x14ac:dyDescent="0.45">
      <c r="A838" s="58"/>
      <c r="B838" s="59"/>
      <c r="C838" s="2275" t="s">
        <v>72</v>
      </c>
      <c r="D838" s="2399" t="s">
        <v>971</v>
      </c>
      <c r="E838" s="2744" t="s">
        <v>274</v>
      </c>
      <c r="F838" s="1112" t="s">
        <v>685</v>
      </c>
      <c r="G838" s="2399" t="s">
        <v>684</v>
      </c>
      <c r="H838" s="2744" t="s">
        <v>275</v>
      </c>
      <c r="I838" s="438"/>
      <c r="L838" s="216"/>
    </row>
    <row r="839" spans="1:14" ht="17.850000000000001" customHeight="1" x14ac:dyDescent="0.45">
      <c r="A839" s="45"/>
      <c r="C839" s="2278"/>
      <c r="D839" s="2400"/>
      <c r="E839" s="2745"/>
      <c r="F839" s="2399" t="s">
        <v>683</v>
      </c>
      <c r="G839" s="2400"/>
      <c r="H839" s="2745"/>
      <c r="I839" s="438"/>
      <c r="L839" s="216"/>
    </row>
    <row r="840" spans="1:14" ht="17.850000000000001" customHeight="1" thickBot="1" x14ac:dyDescent="0.5">
      <c r="A840" s="45"/>
      <c r="C840" s="2278"/>
      <c r="D840" s="2400"/>
      <c r="E840" s="2745"/>
      <c r="F840" s="2920"/>
      <c r="G840" s="907" t="s">
        <v>86</v>
      </c>
      <c r="H840" s="2745"/>
      <c r="I840" s="438"/>
      <c r="L840" s="216"/>
    </row>
    <row r="841" spans="1:14" ht="17.850000000000001" customHeight="1" x14ac:dyDescent="0.45">
      <c r="A841" s="2918" t="s">
        <v>272</v>
      </c>
      <c r="B841" s="2919"/>
      <c r="C841" s="223">
        <f ca="1">' K3 PP'!O21</f>
        <v>17.66</v>
      </c>
      <c r="D841" s="224">
        <f ca="1">' K3 PP'!O23</f>
        <v>18.170000000000002</v>
      </c>
      <c r="E841" s="223">
        <f ca="1">' K3 PP'!O28</f>
        <v>25.23</v>
      </c>
      <c r="F841" s="51">
        <f ca="1">SUM(' K3 PP'!O29)</f>
        <v>1.6</v>
      </c>
      <c r="G841" s="51">
        <f ca="1">SUM(' K3 PP'!O34)</f>
        <v>5.64</v>
      </c>
      <c r="H841" s="601"/>
      <c r="I841" s="438"/>
      <c r="L841" s="216"/>
    </row>
    <row r="842" spans="1:14" ht="17.850000000000001" customHeight="1" x14ac:dyDescent="0.45">
      <c r="A842" s="765"/>
      <c r="B842" s="766"/>
      <c r="C842" s="767"/>
      <c r="D842" s="768"/>
      <c r="E842" s="767"/>
      <c r="F842" s="93">
        <f ca="1">SUM(' K3 PP'!O30:P32)</f>
        <v>24.36</v>
      </c>
      <c r="G842" s="93">
        <f>SUM(' K3 PP'!M39)</f>
        <v>0</v>
      </c>
      <c r="H842" s="73">
        <f ca="1">SUM(' K3 PP'!M43,' K3 PP'!O43)</f>
        <v>15.91</v>
      </c>
      <c r="I842" s="438"/>
      <c r="L842" s="216"/>
    </row>
    <row r="843" spans="1:14" ht="17.850000000000001" customHeight="1" x14ac:dyDescent="0.45">
      <c r="A843" s="1096"/>
      <c r="B843" s="1097"/>
      <c r="C843" s="218"/>
      <c r="D843" s="93"/>
      <c r="E843" s="218"/>
      <c r="F843" s="225">
        <f ca="1">SUM(E841,F841,F842)</f>
        <v>51.19</v>
      </c>
      <c r="G843" s="225">
        <f ca="1">SUM(F843,G841,G842)</f>
        <v>56.83</v>
      </c>
      <c r="H843" s="1045">
        <f ca="1">SUM(G843,H842)</f>
        <v>72.739999999999995</v>
      </c>
      <c r="I843" s="438"/>
      <c r="L843" s="216"/>
    </row>
    <row r="844" spans="1:14" ht="17.850000000000001" customHeight="1" thickBot="1" x14ac:dyDescent="0.5">
      <c r="A844" s="1105"/>
      <c r="B844" s="1106"/>
      <c r="C844" s="220" t="s">
        <v>59</v>
      </c>
      <c r="D844" s="221">
        <f ca="1">D841/$C841-1</f>
        <v>2.8899999999999999E-2</v>
      </c>
      <c r="E844" s="222">
        <f ca="1">E841/$C841-1</f>
        <v>0.42870000000000003</v>
      </c>
      <c r="F844" s="221">
        <f ca="1">F843/$C841-1</f>
        <v>1.8986000000000001</v>
      </c>
      <c r="G844" s="221">
        <f ca="1">G843/$C841-1</f>
        <v>2.218</v>
      </c>
      <c r="H844" s="222">
        <f ca="1">H843/$C841-1</f>
        <v>3.1189</v>
      </c>
      <c r="I844" s="438"/>
      <c r="L844" s="216"/>
    </row>
    <row r="845" spans="1:14" ht="17.850000000000001" customHeight="1" thickBot="1" x14ac:dyDescent="0.5">
      <c r="A845" s="2466"/>
      <c r="B845" s="2467"/>
      <c r="C845" s="2467"/>
      <c r="D845" s="2467"/>
      <c r="E845" s="2467"/>
      <c r="F845" s="2467"/>
      <c r="G845" s="2467"/>
      <c r="H845" s="2467"/>
      <c r="I845" s="438"/>
      <c r="L845" s="216"/>
    </row>
    <row r="846" spans="1:14" ht="17.850000000000001" customHeight="1" x14ac:dyDescent="0.45">
      <c r="A846" s="2923" t="s">
        <v>273</v>
      </c>
      <c r="B846" s="2924"/>
      <c r="C846" s="226">
        <f ca="1">' K3 Regie1'!O21</f>
        <v>19.91</v>
      </c>
      <c r="D846" s="227">
        <f ca="1">' K3 Regie1'!O23</f>
        <v>19.91</v>
      </c>
      <c r="E846" s="226">
        <f ca="1">' K3 Regie1'!O28</f>
        <v>26.22</v>
      </c>
      <c r="F846" s="219">
        <f ca="1">SUM(' K3 Regie1'!O29)</f>
        <v>1.5</v>
      </c>
      <c r="G846" s="219">
        <f ca="1">SUM(' K3 Regie1'!O34)</f>
        <v>5.73</v>
      </c>
      <c r="H846" s="1046"/>
      <c r="I846" s="438"/>
      <c r="L846" s="216"/>
    </row>
    <row r="847" spans="1:14" ht="17.850000000000001" customHeight="1" x14ac:dyDescent="0.45">
      <c r="A847" s="765"/>
      <c r="B847" s="766"/>
      <c r="C847" s="767"/>
      <c r="D847" s="768"/>
      <c r="E847" s="767"/>
      <c r="F847" s="93">
        <f ca="1">SUM(' K3 Regie1'!O30:P32)</f>
        <v>25.32</v>
      </c>
      <c r="G847" s="93">
        <f>SUM(' K3 Regie1'!M39)</f>
        <v>0</v>
      </c>
      <c r="H847" s="218">
        <f ca="1">SUM(' K3 Regie1'!M43:P43)</f>
        <v>16.46</v>
      </c>
      <c r="I847" s="438"/>
      <c r="L847" s="216"/>
    </row>
    <row r="848" spans="1:14" ht="17.850000000000001" customHeight="1" x14ac:dyDescent="0.45">
      <c r="A848" s="765" t="str">
        <f>' K3 Regie1'!B10</f>
        <v>LG 2 Qualifizierter Facharbeiter</v>
      </c>
      <c r="B848" s="1097"/>
      <c r="C848" s="218"/>
      <c r="D848" s="93"/>
      <c r="E848" s="218"/>
      <c r="F848" s="228">
        <f ca="1">SUM(E846,F846,F847)</f>
        <v>53.04</v>
      </c>
      <c r="G848" s="228">
        <f ca="1">SUM(F848,G846,G847)</f>
        <v>58.77</v>
      </c>
      <c r="H848" s="1047">
        <f ca="1">SUM(G848,H847)</f>
        <v>75.23</v>
      </c>
      <c r="I848" s="438"/>
      <c r="L848" s="216"/>
    </row>
    <row r="849" spans="1:12" ht="17.850000000000001" customHeight="1" thickBot="1" x14ac:dyDescent="0.5">
      <c r="A849" s="1101" t="str">
        <f>' K3 Regie1'!K11</f>
        <v>Regiestunde</v>
      </c>
      <c r="B849" s="1106"/>
      <c r="C849" s="220" t="s">
        <v>59</v>
      </c>
      <c r="D849" s="221">
        <f ca="1">D846/$C846-1</f>
        <v>0</v>
      </c>
      <c r="E849" s="222">
        <f ca="1">E846/$C846-1</f>
        <v>0.31690000000000002</v>
      </c>
      <c r="F849" s="221">
        <f ca="1">F848/$C846-1</f>
        <v>1.6639999999999999</v>
      </c>
      <c r="G849" s="221">
        <f ca="1">G848/$C846-1</f>
        <v>1.9518</v>
      </c>
      <c r="H849" s="222">
        <f ca="1">H848/$C846-1</f>
        <v>2.7785000000000002</v>
      </c>
      <c r="I849" s="438"/>
      <c r="L849" s="216"/>
    </row>
    <row r="850" spans="1:12" ht="17.850000000000001" customHeight="1" thickBot="1" x14ac:dyDescent="0.5">
      <c r="A850" s="2464"/>
      <c r="B850" s="2465"/>
      <c r="C850" s="2465"/>
      <c r="D850" s="2465"/>
      <c r="E850" s="2465"/>
      <c r="F850" s="2465"/>
      <c r="G850" s="2465"/>
      <c r="H850" s="2465"/>
      <c r="I850" s="438"/>
      <c r="L850" s="216"/>
    </row>
    <row r="851" spans="1:12" ht="17.850000000000001" customHeight="1" x14ac:dyDescent="0.45">
      <c r="A851" s="2475" t="s">
        <v>277</v>
      </c>
      <c r="B851" s="2476"/>
      <c r="C851" s="238">
        <f ca="1">' K3 Regie2'!O21</f>
        <v>15.39</v>
      </c>
      <c r="D851" s="239">
        <f ca="1">' K3 Regie2'!O23</f>
        <v>15.39</v>
      </c>
      <c r="E851" s="238">
        <f ca="1">' K3 Regie2'!O28</f>
        <v>21.01</v>
      </c>
      <c r="F851" s="219">
        <f ca="1">SUM(' K3 Regie2'!O29)</f>
        <v>1.5</v>
      </c>
      <c r="G851" s="219">
        <f ca="1">SUM(' K3 Regie2'!O34)</f>
        <v>5.24</v>
      </c>
      <c r="H851" s="1046"/>
      <c r="I851" s="438"/>
      <c r="L851" s="216"/>
    </row>
    <row r="852" spans="1:12" ht="17.850000000000001" customHeight="1" x14ac:dyDescent="0.45">
      <c r="A852" s="769"/>
      <c r="B852" s="770"/>
      <c r="C852" s="771"/>
      <c r="D852" s="772"/>
      <c r="E852" s="771"/>
      <c r="F852" s="93">
        <f ca="1">SUM(' K3 Regie2'!O30:P32)</f>
        <v>20.3</v>
      </c>
      <c r="G852" s="93">
        <f>SUM(' K3 Regie2'!M39)</f>
        <v>0</v>
      </c>
      <c r="H852" s="218">
        <f ca="1">SUM(' K3 Regie2'!M43:P43)</f>
        <v>13.45</v>
      </c>
      <c r="I852" s="438"/>
      <c r="L852" s="216"/>
    </row>
    <row r="853" spans="1:12" ht="17.850000000000001" customHeight="1" x14ac:dyDescent="0.45">
      <c r="A853" s="765" t="str">
        <f>' K3 Regie2'!B10</f>
        <v>LG 5 Qualifizierter Arbeitnehmer</v>
      </c>
      <c r="B853" s="1097"/>
      <c r="C853" s="218"/>
      <c r="D853" s="93"/>
      <c r="E853" s="218"/>
      <c r="F853" s="240">
        <f ca="1">SUM(E851,F851,F852)</f>
        <v>42.81</v>
      </c>
      <c r="G853" s="240">
        <f ca="1">SUM(F853,G851,G852)</f>
        <v>48.05</v>
      </c>
      <c r="H853" s="1048">
        <f ca="1">SUM(G853,H852)</f>
        <v>61.5</v>
      </c>
      <c r="I853" s="438"/>
      <c r="L853" s="216"/>
    </row>
    <row r="854" spans="1:12" ht="17.850000000000001" customHeight="1" thickBot="1" x14ac:dyDescent="0.5">
      <c r="A854" s="1101" t="str">
        <f>' K3 Regie2'!K11</f>
        <v>Regiestunde</v>
      </c>
      <c r="B854" s="1106"/>
      <c r="C854" s="220" t="s">
        <v>59</v>
      </c>
      <c r="D854" s="221">
        <f ca="1">D851/$C851-1</f>
        <v>0</v>
      </c>
      <c r="E854" s="222">
        <f ca="1">E851/$C851-1</f>
        <v>0.36520000000000002</v>
      </c>
      <c r="F854" s="221">
        <f ca="1">F853/$C851-1</f>
        <v>1.7817000000000001</v>
      </c>
      <c r="G854" s="221">
        <f ca="1">G853/$C851-1</f>
        <v>2.1221999999999999</v>
      </c>
      <c r="H854" s="222">
        <f ca="1">H853/$C851-1</f>
        <v>2.9961000000000002</v>
      </c>
      <c r="I854" s="438"/>
      <c r="L854" s="216"/>
    </row>
    <row r="855" spans="1:12" ht="17.850000000000001" customHeight="1" thickBot="1" x14ac:dyDescent="0.5">
      <c r="A855" s="2464"/>
      <c r="B855" s="2465"/>
      <c r="C855" s="2465"/>
      <c r="D855" s="2465"/>
      <c r="E855" s="2465"/>
      <c r="F855" s="2465"/>
      <c r="G855" s="2465"/>
      <c r="H855" s="2465"/>
      <c r="I855" s="438"/>
      <c r="L855" s="216"/>
    </row>
    <row r="856" spans="1:12" ht="17.850000000000001" customHeight="1" x14ac:dyDescent="0.45">
      <c r="A856" s="245" t="s">
        <v>276</v>
      </c>
      <c r="B856" s="241"/>
      <c r="C856" s="229">
        <f ca="1">' K3 Regie3'!O21</f>
        <v>0</v>
      </c>
      <c r="D856" s="230" t="e">
        <f ca="1">' K3 Regie3'!O23</f>
        <v>#DIV/0!</v>
      </c>
      <c r="E856" s="229" t="e">
        <f ca="1">' K3 Regie3'!O28</f>
        <v>#DIV/0!</v>
      </c>
      <c r="F856" s="219">
        <f ca="1">SUM(' K3 Regie3'!O29)</f>
        <v>1.5</v>
      </c>
      <c r="G856" s="219" t="e">
        <f ca="1">SUM(' K3 Regie3'!O34)</f>
        <v>#DIV/0!</v>
      </c>
      <c r="H856" s="1046"/>
      <c r="I856" s="438"/>
      <c r="L856" s="216"/>
    </row>
    <row r="857" spans="1:12" ht="17.850000000000001" customHeight="1" x14ac:dyDescent="0.45">
      <c r="A857" s="769"/>
      <c r="B857" s="770"/>
      <c r="C857" s="771"/>
      <c r="D857" s="772"/>
      <c r="E857" s="771"/>
      <c r="F857" s="93" t="e">
        <f ca="1">SUM(' K3 Regie3'!O30:P32)</f>
        <v>#DIV/0!</v>
      </c>
      <c r="G857" s="93">
        <f>SUM(' K3 Regie3'!M39)</f>
        <v>0</v>
      </c>
      <c r="H857" s="218" t="e">
        <f ca="1">SUM(' K3 Regie3'!M43:P43)</f>
        <v>#DIV/0!</v>
      </c>
      <c r="I857" s="438"/>
      <c r="L857" s="216"/>
    </row>
    <row r="858" spans="1:12" ht="17.850000000000001" customHeight="1" x14ac:dyDescent="0.45">
      <c r="A858" s="765">
        <f>' K3 Regie3'!B10</f>
        <v>0</v>
      </c>
      <c r="B858" s="1097"/>
      <c r="C858" s="218"/>
      <c r="D858" s="93"/>
      <c r="E858" s="218"/>
      <c r="F858" s="231" t="e">
        <f ca="1">SUM(E856,F856,F857)</f>
        <v>#DIV/0!</v>
      </c>
      <c r="G858" s="231" t="e">
        <f ca="1">SUM(F858,G856,G857)</f>
        <v>#DIV/0!</v>
      </c>
      <c r="H858" s="1049" t="e">
        <f ca="1">SUM(G858,H857)</f>
        <v>#DIV/0!</v>
      </c>
      <c r="I858" s="438"/>
      <c r="L858" s="216"/>
    </row>
    <row r="859" spans="1:12" ht="17.850000000000001" customHeight="1" thickBot="1" x14ac:dyDescent="0.5">
      <c r="A859" s="1101" t="str">
        <f>' K3 Regie3'!K11</f>
        <v>Regiestunde</v>
      </c>
      <c r="B859" s="1106"/>
      <c r="C859" s="220" t="s">
        <v>59</v>
      </c>
      <c r="D859" s="221" t="e">
        <f ca="1">D856/$C856-1</f>
        <v>#DIV/0!</v>
      </c>
      <c r="E859" s="222" t="e">
        <f ca="1">E856/$C856-1</f>
        <v>#DIV/0!</v>
      </c>
      <c r="F859" s="221" t="e">
        <f ca="1">F858/$C856-1</f>
        <v>#DIV/0!</v>
      </c>
      <c r="G859" s="221" t="e">
        <f ca="1">G858/$C856-1</f>
        <v>#DIV/0!</v>
      </c>
      <c r="H859" s="222" t="e">
        <f ca="1">H858/$C856-1</f>
        <v>#DIV/0!</v>
      </c>
      <c r="I859" s="438"/>
      <c r="L859" s="216"/>
    </row>
    <row r="860" spans="1:12" ht="17.850000000000001" customHeight="1" thickBot="1" x14ac:dyDescent="0.5">
      <c r="A860" s="2464"/>
      <c r="B860" s="2465"/>
      <c r="C860" s="2465"/>
      <c r="D860" s="2465"/>
      <c r="E860" s="2465"/>
      <c r="F860" s="2465"/>
      <c r="G860" s="2465"/>
      <c r="H860" s="2465"/>
      <c r="I860" s="438"/>
      <c r="L860" s="216"/>
    </row>
    <row r="861" spans="1:12" ht="17.850000000000001" customHeight="1" x14ac:dyDescent="0.45">
      <c r="A861" s="246" t="s">
        <v>278</v>
      </c>
      <c r="B861" s="242"/>
      <c r="C861" s="232">
        <f ca="1">' K3 Regie4'!O21</f>
        <v>0</v>
      </c>
      <c r="D861" s="233" t="e">
        <f ca="1">' K3 Regie4'!O23</f>
        <v>#DIV/0!</v>
      </c>
      <c r="E861" s="232" t="e">
        <f ca="1">' K3 Regie4'!O28</f>
        <v>#DIV/0!</v>
      </c>
      <c r="F861" s="219">
        <f ca="1">SUM(' K3 Regie4'!O29)</f>
        <v>1.5</v>
      </c>
      <c r="G861" s="219" t="e">
        <f ca="1">SUM(' K3 Regie4'!O34)</f>
        <v>#DIV/0!</v>
      </c>
      <c r="H861" s="1046"/>
      <c r="I861" s="438"/>
      <c r="L861" s="216"/>
    </row>
    <row r="862" spans="1:12" ht="17.850000000000001" customHeight="1" x14ac:dyDescent="0.45">
      <c r="A862" s="773"/>
      <c r="B862" s="774"/>
      <c r="C862" s="771"/>
      <c r="D862" s="772"/>
      <c r="E862" s="771"/>
      <c r="F862" s="93" t="e">
        <f ca="1">SUM(' K3 Regie4'!O30:P32)</f>
        <v>#DIV/0!</v>
      </c>
      <c r="G862" s="93">
        <f>SUM(' K3 Regie4'!M39)</f>
        <v>0</v>
      </c>
      <c r="H862" s="218" t="e">
        <f ca="1">SUM(' K3 Regie4'!M43:P43)</f>
        <v>#DIV/0!</v>
      </c>
      <c r="I862" s="438"/>
      <c r="L862" s="216"/>
    </row>
    <row r="863" spans="1:12" ht="17.850000000000001" customHeight="1" x14ac:dyDescent="0.45">
      <c r="A863" s="87">
        <f>' K3 Regie4'!B10</f>
        <v>0</v>
      </c>
      <c r="B863" s="160"/>
      <c r="C863" s="218"/>
      <c r="D863" s="93"/>
      <c r="E863" s="218"/>
      <c r="F863" s="234" t="e">
        <f ca="1">SUM(E861,F861,F862)</f>
        <v>#DIV/0!</v>
      </c>
      <c r="G863" s="234" t="e">
        <f ca="1">SUM(F863,G861,G862)</f>
        <v>#DIV/0!</v>
      </c>
      <c r="H863" s="1050" t="e">
        <f ca="1">SUM(G863,H862)</f>
        <v>#DIV/0!</v>
      </c>
      <c r="I863" s="438"/>
      <c r="L863" s="216"/>
    </row>
    <row r="864" spans="1:12" ht="17.850000000000001" customHeight="1" thickBot="1" x14ac:dyDescent="0.5">
      <c r="A864" s="68" t="str">
        <f>' K3 Regie4'!K11</f>
        <v>Regiestunde</v>
      </c>
      <c r="B864" s="62"/>
      <c r="C864" s="220" t="s">
        <v>59</v>
      </c>
      <c r="D864" s="221" t="e">
        <f ca="1">D861/$C861-1</f>
        <v>#DIV/0!</v>
      </c>
      <c r="E864" s="222" t="e">
        <f ca="1">E861/$C861-1</f>
        <v>#DIV/0!</v>
      </c>
      <c r="F864" s="221" t="e">
        <f ca="1">F863/$C861-1</f>
        <v>#DIV/0!</v>
      </c>
      <c r="G864" s="221" t="e">
        <f ca="1">G863/$C861-1</f>
        <v>#DIV/0!</v>
      </c>
      <c r="H864" s="222" t="e">
        <f ca="1">H863/$C861-1</f>
        <v>#DIV/0!</v>
      </c>
      <c r="I864" s="438"/>
      <c r="L864" s="216"/>
    </row>
    <row r="865" spans="1:13" ht="17.75" customHeight="1" thickBot="1" x14ac:dyDescent="0.5">
      <c r="A865" s="2464"/>
      <c r="B865" s="2465"/>
      <c r="C865" s="2465"/>
      <c r="D865" s="2465"/>
      <c r="E865" s="2465"/>
      <c r="F865" s="2465"/>
      <c r="G865" s="2465"/>
      <c r="H865" s="2465"/>
      <c r="I865" s="438"/>
      <c r="L865" s="216"/>
    </row>
    <row r="866" spans="1:13" ht="17.850000000000001" customHeight="1" x14ac:dyDescent="0.45">
      <c r="A866" s="247" t="s">
        <v>691</v>
      </c>
      <c r="B866" s="243"/>
      <c r="C866" s="235" t="e">
        <f ca="1">' K3 Regie5'!O21</f>
        <v>#DIV/0!</v>
      </c>
      <c r="D866" s="236" t="e">
        <f ca="1">' K3 Regie5'!O23</f>
        <v>#DIV/0!</v>
      </c>
      <c r="E866" s="235" t="e">
        <f ca="1">' K3 Regie5'!O28</f>
        <v>#DIV/0!</v>
      </c>
      <c r="F866" s="219" t="e">
        <f ca="1">SUM(' K3 Regie5'!O29)</f>
        <v>#DIV/0!</v>
      </c>
      <c r="G866" s="219" t="e">
        <f ca="1">SUM(' K3 Regie5'!O34)</f>
        <v>#DIV/0!</v>
      </c>
      <c r="H866" s="1046"/>
      <c r="I866" s="438"/>
      <c r="L866" s="216"/>
    </row>
    <row r="867" spans="1:13" ht="17.850000000000001" customHeight="1" x14ac:dyDescent="0.45">
      <c r="A867" s="1096" t="str">
        <f>H693</f>
        <v>∑</v>
      </c>
      <c r="B867" s="774"/>
      <c r="C867" s="771"/>
      <c r="D867" s="772"/>
      <c r="E867" s="771"/>
      <c r="F867" s="93" t="e">
        <f ca="1">SUM(' K3 Regie5'!O30:P32)</f>
        <v>#DIV/0!</v>
      </c>
      <c r="G867" s="93">
        <f>SUM(' K3 Regie5'!M39)</f>
        <v>0</v>
      </c>
      <c r="H867" s="218" t="e">
        <f ca="1">SUM(' K3 Regie5'!M43:P43)</f>
        <v>#DIV/0!</v>
      </c>
      <c r="I867" s="438"/>
      <c r="L867" s="216"/>
    </row>
    <row r="868" spans="1:13" ht="17.850000000000001" customHeight="1" x14ac:dyDescent="0.45">
      <c r="A868" s="87" t="str">
        <f>IF(COUNTA(A695:C699)=1,A695,"Regiepartie")</f>
        <v>Regiepartie</v>
      </c>
      <c r="B868" s="160"/>
      <c r="C868" s="218"/>
      <c r="D868" s="93"/>
      <c r="E868" s="218"/>
      <c r="F868" s="237" t="e">
        <f ca="1">SUM(E866,F866,F867)</f>
        <v>#DIV/0!</v>
      </c>
      <c r="G868" s="237" t="e">
        <f ca="1">SUM(F868,G866,G867)</f>
        <v>#DIV/0!</v>
      </c>
      <c r="H868" s="1051" t="e">
        <f ca="1">SUM(G868,H867)</f>
        <v>#DIV/0!</v>
      </c>
      <c r="I868" s="438"/>
      <c r="L868" s="216"/>
    </row>
    <row r="869" spans="1:13" ht="17.850000000000001" customHeight="1" thickBot="1" x14ac:dyDescent="0.5">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5">
      <c r="A870" s="2464"/>
      <c r="B870" s="2465"/>
      <c r="C870" s="2465"/>
      <c r="D870" s="2465"/>
      <c r="E870" s="2465"/>
      <c r="F870" s="2465"/>
      <c r="G870" s="2465"/>
      <c r="H870" s="2465"/>
      <c r="I870" s="438"/>
      <c r="L870" s="216"/>
    </row>
    <row r="871" spans="1:13" ht="17.850000000000001" customHeight="1" x14ac:dyDescent="0.45">
      <c r="A871" s="819" t="s">
        <v>692</v>
      </c>
      <c r="B871" s="1055"/>
      <c r="C871" s="820" t="e">
        <f ca="1">' K3 Regie6'!O21</f>
        <v>#DIV/0!</v>
      </c>
      <c r="D871" s="821" t="e">
        <f ca="1">' K3 Regie6'!O23</f>
        <v>#DIV/0!</v>
      </c>
      <c r="E871" s="820" t="e">
        <f ca="1">' K3 Regie6'!O28</f>
        <v>#DIV/0!</v>
      </c>
      <c r="F871" s="219" t="e">
        <f ca="1">SUM(' K3 Regie6'!O29)</f>
        <v>#DIV/0!</v>
      </c>
      <c r="G871" s="219" t="e">
        <f ca="1">SUM(' K3 Regie6'!O34)</f>
        <v>#DIV/0!</v>
      </c>
      <c r="H871" s="1046"/>
      <c r="I871" s="438"/>
      <c r="L871" s="216"/>
    </row>
    <row r="872" spans="1:13" ht="17.850000000000001" customHeight="1" x14ac:dyDescent="0.45">
      <c r="A872" s="1096" t="str">
        <f>H767</f>
        <v>Ø</v>
      </c>
      <c r="B872" s="774"/>
      <c r="C872" s="771"/>
      <c r="D872" s="772"/>
      <c r="E872" s="771"/>
      <c r="F872" s="93" t="e">
        <f ca="1">SUM(' K3 Regie6'!O30:P32)</f>
        <v>#DIV/0!</v>
      </c>
      <c r="G872" s="93">
        <f>SUM(' K3 Regie6'!M39)</f>
        <v>0</v>
      </c>
      <c r="H872" s="218" t="e">
        <f ca="1">SUM(' K3 Regie6'!M43:P43)</f>
        <v>#DIV/0!</v>
      </c>
      <c r="I872" s="438"/>
      <c r="L872" s="216"/>
    </row>
    <row r="873" spans="1:13" ht="17.850000000000001" customHeight="1" x14ac:dyDescent="0.45">
      <c r="A873" s="87" t="str">
        <f>IF(COUNTA(A769:C773)=1,A769,"Regiepartie")</f>
        <v>Regiepartie</v>
      </c>
      <c r="B873" s="160"/>
      <c r="C873" s="218"/>
      <c r="D873" s="93"/>
      <c r="E873" s="218"/>
      <c r="F873" s="822" t="e">
        <f ca="1">SUM(E871,F871,F872)</f>
        <v>#DIV/0!</v>
      </c>
      <c r="G873" s="822" t="e">
        <f ca="1">SUM(F873,G871,G872)</f>
        <v>#DIV/0!</v>
      </c>
      <c r="H873" s="1052" t="e">
        <f ca="1">SUM(G873,H872)</f>
        <v>#DIV/0!</v>
      </c>
      <c r="I873" s="438"/>
      <c r="L873" s="216"/>
    </row>
    <row r="874" spans="1:13" ht="17.850000000000001" customHeight="1" thickBot="1" x14ac:dyDescent="0.5">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45">
      <c r="A875" s="1193"/>
      <c r="B875" s="438"/>
      <c r="C875" s="438"/>
      <c r="D875" s="438"/>
      <c r="E875" s="438"/>
      <c r="F875" s="438"/>
      <c r="G875" s="438"/>
      <c r="H875" s="438"/>
      <c r="I875" s="438"/>
      <c r="L875" s="216"/>
    </row>
    <row r="876" spans="1:13" ht="17.850000000000001" customHeight="1" x14ac:dyDescent="0.45">
      <c r="A876" s="2324" t="s">
        <v>901</v>
      </c>
      <c r="B876" s="2325"/>
      <c r="C876" s="2325"/>
      <c r="D876" s="2325"/>
      <c r="E876" s="2325"/>
      <c r="F876" s="2325"/>
      <c r="G876" s="2325"/>
      <c r="H876" s="2325"/>
      <c r="I876" s="438"/>
      <c r="L876" s="216"/>
    </row>
    <row r="877" spans="1:13" ht="17.850000000000001" customHeight="1" x14ac:dyDescent="0.45">
      <c r="A877" s="2740" t="s">
        <v>895</v>
      </c>
      <c r="B877" s="3009"/>
      <c r="C877" s="1064" t="s">
        <v>896</v>
      </c>
      <c r="D877" s="1064" t="s">
        <v>136</v>
      </c>
      <c r="E877" s="1064" t="s">
        <v>903</v>
      </c>
      <c r="F877" s="1064" t="s">
        <v>904</v>
      </c>
      <c r="G877" s="1056" t="s">
        <v>904</v>
      </c>
      <c r="H877" s="1073" t="s">
        <v>614</v>
      </c>
      <c r="I877" s="438"/>
      <c r="L877" s="216"/>
    </row>
    <row r="878" spans="1:13" ht="17.850000000000001" customHeight="1" x14ac:dyDescent="0.45">
      <c r="A878" s="1053" t="s">
        <v>18</v>
      </c>
      <c r="B878" s="212" t="s">
        <v>227</v>
      </c>
      <c r="C878" s="1065" t="s">
        <v>897</v>
      </c>
      <c r="D878" s="1069"/>
      <c r="E878" s="1069" t="s">
        <v>902</v>
      </c>
      <c r="F878" s="196" t="s">
        <v>76</v>
      </c>
      <c r="G878" s="1057" t="s">
        <v>905</v>
      </c>
      <c r="H878" s="500"/>
      <c r="I878" s="438"/>
      <c r="L878" s="216"/>
    </row>
    <row r="879" spans="1:13" ht="17.850000000000001" customHeight="1" x14ac:dyDescent="0.45">
      <c r="A879" s="1058">
        <f t="shared" ref="A879:A884" ca="1" si="82">INDIRECT("E"&amp;M879)</f>
        <v>0</v>
      </c>
      <c r="B879" s="1059">
        <f t="shared" ref="B879:B884" ca="1" si="83">INDIRECT("H"&amp;(M879+1))</f>
        <v>0</v>
      </c>
      <c r="C879" s="1066" t="str">
        <f t="shared" ref="C879:C884" ca="1" si="84">INDIRECT("D"&amp;(M879+8))</f>
        <v>Ja</v>
      </c>
      <c r="D879" s="1066" t="str">
        <f t="shared" ref="D879:D884" ca="1" si="85">INDIRECT("E"&amp;(M879+13))</f>
        <v>1. Standard (ÖN B 2110) ohne Zulagen</v>
      </c>
      <c r="E879" s="1066" t="str">
        <f t="shared" ref="E879:E884" ca="1" si="86">INDIRECT("E"&amp;(M879+18))</f>
        <v>1. Standard (ÖN B 2110) ohne Zuschlag</v>
      </c>
      <c r="F879" s="1070" t="str">
        <f t="shared" ref="F879:F884" ca="1" si="87">INDIRECT("H"&amp;(M879+45))</f>
        <v/>
      </c>
      <c r="G879" s="1194">
        <f t="shared" ref="G879:G884" ca="1" si="88">INDIRECT("H"&amp;(M879+48))</f>
        <v>0.28000000000000003</v>
      </c>
      <c r="H879" s="1070" t="str">
        <f ca="1">INDIRECT("A"&amp;(M879+52))</f>
        <v>Auswahl 2</v>
      </c>
      <c r="I879" s="438"/>
      <c r="L879" s="216"/>
      <c r="M879" s="1338">
        <v>425</v>
      </c>
    </row>
    <row r="880" spans="1:13" ht="17.850000000000001" customHeight="1" x14ac:dyDescent="0.45">
      <c r="A880" s="1060">
        <f t="shared" ca="1" si="82"/>
        <v>0</v>
      </c>
      <c r="B880" s="1061">
        <f t="shared" ca="1" si="83"/>
        <v>0</v>
      </c>
      <c r="C880" s="1067" t="str">
        <f t="shared" ca="1" si="84"/>
        <v>Ja</v>
      </c>
      <c r="D880" s="1067" t="str">
        <f t="shared" ca="1" si="85"/>
        <v>1. Standard (ÖN B 2110) ohne Zulagen</v>
      </c>
      <c r="E880" s="1067" t="str">
        <f t="shared" ca="1" si="86"/>
        <v>1. Standard (ÖN B 2110) ohne Zuschlag</v>
      </c>
      <c r="F880" s="1071" t="str">
        <f t="shared" ca="1" si="87"/>
        <v/>
      </c>
      <c r="G880" s="1195">
        <f t="shared" ca="1" si="88"/>
        <v>0.28000000000000003</v>
      </c>
      <c r="H880" s="1071" t="str">
        <f t="shared" ref="H880:H884" ca="1" si="89">INDIRECT("A"&amp;(M880+52))</f>
        <v>Auswahl 5</v>
      </c>
      <c r="I880" s="438"/>
      <c r="L880" s="216"/>
      <c r="M880" s="1338">
        <v>493</v>
      </c>
    </row>
    <row r="881" spans="1:13" ht="17.850000000000001" customHeight="1" x14ac:dyDescent="0.45">
      <c r="A881" s="1075">
        <f t="shared" ca="1" si="82"/>
        <v>0</v>
      </c>
      <c r="B881" s="1076">
        <f t="shared" ca="1" si="83"/>
        <v>0</v>
      </c>
      <c r="C881" s="1077" t="str">
        <f t="shared" ca="1" si="84"/>
        <v>Ja</v>
      </c>
      <c r="D881" s="1077" t="str">
        <f t="shared" ca="1" si="85"/>
        <v>1. Standard (ÖN B 2110) ohne Zulagen</v>
      </c>
      <c r="E881" s="1077" t="str">
        <f t="shared" ca="1" si="86"/>
        <v>1. Standard (ÖN B 2110) ohne Zuschlag</v>
      </c>
      <c r="F881" s="1078" t="str">
        <f t="shared" ca="1" si="87"/>
        <v/>
      </c>
      <c r="G881" s="1196">
        <f t="shared" ca="1" si="88"/>
        <v>0.28000000000000003</v>
      </c>
      <c r="H881" s="1078" t="str">
        <f t="shared" ca="1" si="89"/>
        <v>Auswahl 5</v>
      </c>
      <c r="I881" s="438"/>
      <c r="L881" s="216"/>
      <c r="M881" s="1338">
        <v>561</v>
      </c>
    </row>
    <row r="882" spans="1:13" ht="17.850000000000001" customHeight="1" x14ac:dyDescent="0.45">
      <c r="A882" s="1079">
        <f t="shared" ca="1" si="82"/>
        <v>0</v>
      </c>
      <c r="B882" s="1080">
        <f t="shared" ca="1" si="83"/>
        <v>0</v>
      </c>
      <c r="C882" s="1081" t="str">
        <f t="shared" ca="1" si="84"/>
        <v>Ja</v>
      </c>
      <c r="D882" s="1081" t="str">
        <f t="shared" ca="1" si="85"/>
        <v>1. Standard (ÖN B 2110) ohne Zulagen</v>
      </c>
      <c r="E882" s="1081" t="str">
        <f t="shared" ca="1" si="86"/>
        <v>1. Standard (ÖN B 2110) ohne Zuschlag</v>
      </c>
      <c r="F882" s="1082" t="str">
        <f t="shared" ca="1" si="87"/>
        <v/>
      </c>
      <c r="G882" s="1197">
        <f t="shared" ca="1" si="88"/>
        <v>0.28000000000000003</v>
      </c>
      <c r="H882" s="1082" t="str">
        <f t="shared" ca="1" si="89"/>
        <v>Auswahl 5</v>
      </c>
      <c r="I882" s="438"/>
      <c r="L882" s="216"/>
      <c r="M882" s="1338">
        <v>629</v>
      </c>
    </row>
    <row r="883" spans="1:13" ht="17.850000000000001" customHeight="1" x14ac:dyDescent="0.45">
      <c r="A883" s="1083">
        <f t="shared" ca="1" si="82"/>
        <v>0</v>
      </c>
      <c r="B883" s="1084">
        <f t="shared" ca="1" si="83"/>
        <v>0</v>
      </c>
      <c r="C883" s="1085" t="str">
        <f t="shared" ca="1" si="84"/>
        <v>Ja</v>
      </c>
      <c r="D883" s="1085" t="str">
        <f t="shared" ca="1" si="85"/>
        <v>1. Standard (ÖN B 2110) ohne Zulagen</v>
      </c>
      <c r="E883" s="1085" t="str">
        <f t="shared" ca="1" si="86"/>
        <v>1. Standard (ÖN B 2110) ohne Zuschlag</v>
      </c>
      <c r="F883" s="1074" t="str">
        <f t="shared" ca="1" si="87"/>
        <v/>
      </c>
      <c r="G883" s="1198">
        <f t="shared" ca="1" si="88"/>
        <v>0.28000000000000003</v>
      </c>
      <c r="H883" s="1074" t="str">
        <f t="shared" ca="1" si="89"/>
        <v>Auswahl 2</v>
      </c>
      <c r="I883" s="438"/>
      <c r="L883" s="216"/>
      <c r="M883" s="1338">
        <v>703</v>
      </c>
    </row>
    <row r="884" spans="1:13" ht="17.850000000000001" customHeight="1" x14ac:dyDescent="0.45">
      <c r="A884" s="1062">
        <f t="shared" ca="1" si="82"/>
        <v>0</v>
      </c>
      <c r="B884" s="1063">
        <f t="shared" ca="1" si="83"/>
        <v>0</v>
      </c>
      <c r="C884" s="1068" t="str">
        <f t="shared" ca="1" si="84"/>
        <v>Nein</v>
      </c>
      <c r="D884" s="1068" t="str">
        <f t="shared" ca="1" si="85"/>
        <v>1. Standard (ÖN B 2110) ohne Zulagen</v>
      </c>
      <c r="E884" s="1068" t="str">
        <f t="shared" ca="1" si="86"/>
        <v>1. Standard (ÖN B 2110) ohne Zuschlag</v>
      </c>
      <c r="F884" s="1072" t="str">
        <f t="shared" ca="1" si="87"/>
        <v/>
      </c>
      <c r="G884" s="1199">
        <f t="shared" ca="1" si="88"/>
        <v>0.28000000000000003</v>
      </c>
      <c r="H884" s="1072" t="str">
        <f t="shared" ca="1" si="89"/>
        <v>Auswahl 2</v>
      </c>
      <c r="I884" s="438"/>
      <c r="L884" s="216"/>
      <c r="M884" s="1338">
        <v>777</v>
      </c>
    </row>
    <row r="885" spans="1:13" ht="17.850000000000001" customHeight="1" x14ac:dyDescent="0.45">
      <c r="A885" s="1200"/>
      <c r="B885" s="1201"/>
      <c r="C885" s="1201"/>
      <c r="D885" s="1201"/>
      <c r="E885" s="1201"/>
      <c r="F885" s="1201"/>
      <c r="G885" s="1201"/>
      <c r="H885" s="1201"/>
      <c r="I885" s="1201"/>
      <c r="J885" s="47"/>
      <c r="K885" s="47"/>
      <c r="L885" s="591"/>
    </row>
    <row r="886" spans="1:13" ht="17.850000000000001" customHeight="1" x14ac:dyDescent="0.45">
      <c r="A886" s="2298"/>
      <c r="B886" s="2298"/>
      <c r="C886" s="2298"/>
      <c r="D886" s="2298"/>
      <c r="E886" s="2298"/>
      <c r="F886" s="2298"/>
      <c r="G886" s="2298"/>
      <c r="H886" s="2298"/>
      <c r="I886" s="2298"/>
    </row>
  </sheetData>
  <sheetProtection algorithmName="SHA-512" hashValue="Clx6dixwZUJEEfFua1h1G+c5+P7M46+SralwBcD7jxtb9pi0cBOoNVi1II+DnMOHeCH3r4S9J06Dbn0yOvTYaA==" saltValue="9xCAs2Ocpb5SCglmmABz3w==" spinCount="100000" sheet="1" formatColumns="0" insertRows="0" selectLockedCells="1"/>
  <mergeCells count="1093">
    <mergeCell ref="J653:L653"/>
    <mergeCell ref="A648:D648"/>
    <mergeCell ref="A652:D652"/>
    <mergeCell ref="E637:F637"/>
    <mergeCell ref="J679:L680"/>
    <mergeCell ref="J493:L493"/>
    <mergeCell ref="J494:L494"/>
    <mergeCell ref="J451:K451"/>
    <mergeCell ref="A417:H417"/>
    <mergeCell ref="H455:H457"/>
    <mergeCell ref="A463:B463"/>
    <mergeCell ref="A472:H472"/>
    <mergeCell ref="A465:D465"/>
    <mergeCell ref="A489:C489"/>
    <mergeCell ref="J440:L443"/>
    <mergeCell ref="J508:L511"/>
    <mergeCell ref="J576:L579"/>
    <mergeCell ref="J644:L647"/>
    <mergeCell ref="A647:C647"/>
    <mergeCell ref="E647:G647"/>
    <mergeCell ref="A479:B480"/>
    <mergeCell ref="A455:D457"/>
    <mergeCell ref="C610:E610"/>
    <mergeCell ref="J519:K519"/>
    <mergeCell ref="A537:H537"/>
    <mergeCell ref="D538:F538"/>
    <mergeCell ref="A540:H540"/>
    <mergeCell ref="A625:C625"/>
    <mergeCell ref="E638:F638"/>
    <mergeCell ref="D640:G640"/>
    <mergeCell ref="C611:H613"/>
    <mergeCell ref="J584:L584"/>
    <mergeCell ref="A829:B829"/>
    <mergeCell ref="A830:B832"/>
    <mergeCell ref="C830:H832"/>
    <mergeCell ref="C827:H829"/>
    <mergeCell ref="J690:L692"/>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05:H605"/>
    <mergeCell ref="J641:L642"/>
    <mergeCell ref="A550:A551"/>
    <mergeCell ref="B550:I551"/>
    <mergeCell ref="A553:H553"/>
    <mergeCell ref="D677:F677"/>
    <mergeCell ref="A694:D694"/>
    <mergeCell ref="A695:C695"/>
    <mergeCell ref="A631:F631"/>
    <mergeCell ref="C615:H616"/>
    <mergeCell ref="A620:I620"/>
    <mergeCell ref="A683:B684"/>
    <mergeCell ref="C682:H682"/>
    <mergeCell ref="C683:H684"/>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355:E355"/>
    <mergeCell ref="A587:E587"/>
    <mergeCell ref="A642:C642"/>
    <mergeCell ref="E642:G642"/>
    <mergeCell ref="A454:D454"/>
    <mergeCell ref="A490:D490"/>
    <mergeCell ref="J445:L445"/>
    <mergeCell ref="J448:L448"/>
    <mergeCell ref="C479:H480"/>
    <mergeCell ref="C475:H477"/>
    <mergeCell ref="G591:G593"/>
    <mergeCell ref="E591:E593"/>
    <mergeCell ref="A588:D588"/>
    <mergeCell ref="A556:D556"/>
    <mergeCell ref="A557:C557"/>
    <mergeCell ref="D470:F470"/>
    <mergeCell ref="D473:F473"/>
    <mergeCell ref="A496:H496"/>
    <mergeCell ref="A473:C473"/>
    <mergeCell ref="A606:C606"/>
    <mergeCell ref="A609:C609"/>
    <mergeCell ref="A618:A619"/>
    <mergeCell ref="B618:I619"/>
    <mergeCell ref="A617:I617"/>
    <mergeCell ref="J601:L603"/>
    <mergeCell ref="A599:B599"/>
    <mergeCell ref="D554:H555"/>
    <mergeCell ref="A552:I552"/>
    <mergeCell ref="A563:F563"/>
    <mergeCell ref="A522:D522"/>
    <mergeCell ref="B513:D513"/>
    <mergeCell ref="H523:H525"/>
    <mergeCell ref="J541:L541"/>
    <mergeCell ref="J588:L588"/>
    <mergeCell ref="J533:L535"/>
    <mergeCell ref="D486:H487"/>
    <mergeCell ref="A492:C492"/>
    <mergeCell ref="H591:H593"/>
    <mergeCell ref="A528:D528"/>
    <mergeCell ref="A573:H573"/>
    <mergeCell ref="B521:D521"/>
    <mergeCell ref="A511:C511"/>
    <mergeCell ref="A624:D624"/>
    <mergeCell ref="A621:H621"/>
    <mergeCell ref="A622:C623"/>
    <mergeCell ref="D622:H623"/>
    <mergeCell ref="A632:H632"/>
    <mergeCell ref="J585:L585"/>
    <mergeCell ref="J489:L489"/>
    <mergeCell ref="J492:L492"/>
    <mergeCell ref="E434:F434"/>
    <mergeCell ref="A443:C443"/>
    <mergeCell ref="E443:G443"/>
    <mergeCell ref="A321:C321"/>
    <mergeCell ref="D321:E321"/>
    <mergeCell ref="A344:D344"/>
    <mergeCell ref="E438:G438"/>
    <mergeCell ref="A181:H181"/>
    <mergeCell ref="A182:C183"/>
    <mergeCell ref="D182:D183"/>
    <mergeCell ref="E182:E183"/>
    <mergeCell ref="F182:F183"/>
    <mergeCell ref="G204:H206"/>
    <mergeCell ref="G190:H190"/>
    <mergeCell ref="A206:B207"/>
    <mergeCell ref="C205:C206"/>
    <mergeCell ref="A286:D286"/>
    <mergeCell ref="F251:G251"/>
    <mergeCell ref="A274:G274"/>
    <mergeCell ref="A438:C438"/>
    <mergeCell ref="B270:F270"/>
    <mergeCell ref="A242:C242"/>
    <mergeCell ref="A266:H266"/>
    <mergeCell ref="A252:E252"/>
    <mergeCell ref="A338:E338"/>
    <mergeCell ref="G207:H207"/>
    <mergeCell ref="A231:I231"/>
    <mergeCell ref="A279:I279"/>
    <mergeCell ref="A347:H347"/>
    <mergeCell ref="A184:C184"/>
    <mergeCell ref="A175:C175"/>
    <mergeCell ref="A249:G249"/>
    <mergeCell ref="F243:G243"/>
    <mergeCell ref="A220:F220"/>
    <mergeCell ref="A228:E228"/>
    <mergeCell ref="A341:H341"/>
    <mergeCell ref="A482:A483"/>
    <mergeCell ref="B482:I483"/>
    <mergeCell ref="A452:D452"/>
    <mergeCell ref="E503:F503"/>
    <mergeCell ref="A198:C198"/>
    <mergeCell ref="A188:C188"/>
    <mergeCell ref="D193:D194"/>
    <mergeCell ref="A196:C196"/>
    <mergeCell ref="A191:H191"/>
    <mergeCell ref="G210:H210"/>
    <mergeCell ref="G215:H215"/>
    <mergeCell ref="D214:F214"/>
    <mergeCell ref="A226:F226"/>
    <mergeCell ref="A325:E325"/>
    <mergeCell ref="D242:F242"/>
    <mergeCell ref="C315:E315"/>
    <mergeCell ref="D316:E316"/>
    <mergeCell ref="A287:D287"/>
    <mergeCell ref="G282:H284"/>
    <mergeCell ref="J697:L697"/>
    <mergeCell ref="A559:H559"/>
    <mergeCell ref="A340:H340"/>
    <mergeCell ref="A418:C419"/>
    <mergeCell ref="A447:E447"/>
    <mergeCell ref="A451:E451"/>
    <mergeCell ref="J538:L538"/>
    <mergeCell ref="J562:L562"/>
    <mergeCell ref="J580:L580"/>
    <mergeCell ref="J581:L581"/>
    <mergeCell ref="A437:H437"/>
    <mergeCell ref="J189:L191"/>
    <mergeCell ref="J200:L202"/>
    <mergeCell ref="A211:H211"/>
    <mergeCell ref="A213:C213"/>
    <mergeCell ref="B303:D303"/>
    <mergeCell ref="J648:L648"/>
    <mergeCell ref="J649:L649"/>
    <mergeCell ref="D692:H692"/>
    <mergeCell ref="D204:E207"/>
    <mergeCell ref="A288:D288"/>
    <mergeCell ref="A630:G630"/>
    <mergeCell ref="A626:D626"/>
    <mergeCell ref="A627:H627"/>
    <mergeCell ref="D690:H691"/>
    <mergeCell ref="J652:L652"/>
    <mergeCell ref="A243:B243"/>
    <mergeCell ref="A591:D593"/>
    <mergeCell ref="A284:D284"/>
    <mergeCell ref="B269:F269"/>
    <mergeCell ref="A204:B205"/>
    <mergeCell ref="A256:C256"/>
    <mergeCell ref="J628:L628"/>
    <mergeCell ref="J629:L629"/>
    <mergeCell ref="J631:L631"/>
    <mergeCell ref="J632:L632"/>
    <mergeCell ref="A650:D650"/>
    <mergeCell ref="A656:D656"/>
    <mergeCell ref="B657:D657"/>
    <mergeCell ref="A655:E655"/>
    <mergeCell ref="B649:D649"/>
    <mergeCell ref="A668:H668"/>
    <mergeCell ref="J664:L664"/>
    <mergeCell ref="A644:B644"/>
    <mergeCell ref="A666:D666"/>
    <mergeCell ref="A638:D639"/>
    <mergeCell ref="A187:C187"/>
    <mergeCell ref="A178:F178"/>
    <mergeCell ref="G286:H287"/>
    <mergeCell ref="B300:D300"/>
    <mergeCell ref="B301:D301"/>
    <mergeCell ref="B302:D302"/>
    <mergeCell ref="G182:G183"/>
    <mergeCell ref="A185:C185"/>
    <mergeCell ref="A199:C199"/>
    <mergeCell ref="E193:E194"/>
    <mergeCell ref="A280:H280"/>
    <mergeCell ref="A313:E313"/>
    <mergeCell ref="A464:H464"/>
    <mergeCell ref="A470:C470"/>
    <mergeCell ref="A475:B476"/>
    <mergeCell ref="A477:B477"/>
    <mergeCell ref="A478:B478"/>
    <mergeCell ref="A337:E337"/>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651:E651"/>
    <mergeCell ref="A670:E670"/>
    <mergeCell ref="A595:D595"/>
    <mergeCell ref="A596:D596"/>
    <mergeCell ref="A597:D59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D838:D840"/>
    <mergeCell ref="E838:E840"/>
    <mergeCell ref="C838:C840"/>
    <mergeCell ref="H838:H840"/>
    <mergeCell ref="J800:L800"/>
    <mergeCell ref="J801:L801"/>
    <mergeCell ref="A707:C707"/>
    <mergeCell ref="A693:G693"/>
    <mergeCell ref="A692:C692"/>
    <mergeCell ref="B797:D797"/>
    <mergeCell ref="A750:H750"/>
    <mergeCell ref="A743:D743"/>
    <mergeCell ref="A738:D738"/>
    <mergeCell ref="A771:C771"/>
    <mergeCell ref="A733:D735"/>
    <mergeCell ref="E733:E735"/>
    <mergeCell ref="A726:D726"/>
    <mergeCell ref="A804:D804"/>
    <mergeCell ref="A806:D806"/>
    <mergeCell ref="A664:D664"/>
    <mergeCell ref="A760:A761"/>
    <mergeCell ref="A776:C776"/>
    <mergeCell ref="A778:G778"/>
    <mergeCell ref="A779:F779"/>
    <mergeCell ref="A584:D584"/>
    <mergeCell ref="A676:H676"/>
    <mergeCell ref="A811:D811"/>
    <mergeCell ref="A812:D812"/>
    <mergeCell ref="A576:B576"/>
    <mergeCell ref="A558:D558"/>
    <mergeCell ref="A554:C555"/>
    <mergeCell ref="A672:E672"/>
    <mergeCell ref="J698:L698"/>
    <mergeCell ref="J596:L596"/>
    <mergeCell ref="J543:L544"/>
    <mergeCell ref="J796:L796"/>
    <mergeCell ref="J797:L797"/>
    <mergeCell ref="J751:L751"/>
    <mergeCell ref="A798:D798"/>
    <mergeCell ref="A799:E799"/>
    <mergeCell ref="A739:D739"/>
    <mergeCell ref="A742:H742"/>
    <mergeCell ref="A744:E744"/>
    <mergeCell ref="A800:D800"/>
    <mergeCell ref="B801:D801"/>
    <mergeCell ref="A802:D802"/>
    <mergeCell ref="A675:H675"/>
    <mergeCell ref="J655:K655"/>
    <mergeCell ref="G659:G661"/>
    <mergeCell ref="H659:H661"/>
    <mergeCell ref="J625:L625"/>
    <mergeCell ref="E712:F712"/>
    <mergeCell ref="D674:F674"/>
    <mergeCell ref="C679:H681"/>
    <mergeCell ref="A674:C674"/>
    <mergeCell ref="A685:I685"/>
    <mergeCell ref="A702:C702"/>
    <mergeCell ref="E502:F502"/>
    <mergeCell ref="A508:B508"/>
    <mergeCell ref="A690:C691"/>
    <mergeCell ref="A679:B680"/>
    <mergeCell ref="A681:B681"/>
    <mergeCell ref="A699:C699"/>
    <mergeCell ref="A671:E671"/>
    <mergeCell ref="A658:D658"/>
    <mergeCell ref="A412:I412"/>
    <mergeCell ref="A515:E515"/>
    <mergeCell ref="A495:F495"/>
    <mergeCell ref="A519:E519"/>
    <mergeCell ref="A505:H505"/>
    <mergeCell ref="A512:D512"/>
    <mergeCell ref="E571:F571"/>
    <mergeCell ref="A570:D571"/>
    <mergeCell ref="A590:D590"/>
    <mergeCell ref="E433:F433"/>
    <mergeCell ref="A506:C506"/>
    <mergeCell ref="A526:D526"/>
    <mergeCell ref="E639:F639"/>
    <mergeCell ref="C478:H478"/>
    <mergeCell ref="A682:B682"/>
    <mergeCell ref="A579:C579"/>
    <mergeCell ref="A594:D594"/>
    <mergeCell ref="A532:H532"/>
    <mergeCell ref="J178:L180"/>
    <mergeCell ref="A168:H168"/>
    <mergeCell ref="A125:B12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J465:L467"/>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K147:L147"/>
    <mergeCell ref="D152:E152"/>
    <mergeCell ref="A163:E163"/>
    <mergeCell ref="A161:E161"/>
    <mergeCell ref="A110:C110"/>
    <mergeCell ref="J138:L138"/>
    <mergeCell ref="A140:H140"/>
    <mergeCell ref="J95:L96"/>
    <mergeCell ref="J97:L97"/>
    <mergeCell ref="J110:L110"/>
    <mergeCell ref="A128:B128"/>
    <mergeCell ref="A127:B127"/>
    <mergeCell ref="A131:E131"/>
    <mergeCell ref="G104:G106"/>
    <mergeCell ref="A104:B105"/>
    <mergeCell ref="D98:D100"/>
    <mergeCell ref="F98:F100"/>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102:L102"/>
    <mergeCell ref="A137:B137"/>
    <mergeCell ref="A159:H159"/>
    <mergeCell ref="J140:L141"/>
    <mergeCell ref="A2:A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26:B126"/>
    <mergeCell ref="A98:B99"/>
    <mergeCell ref="A60:D60"/>
    <mergeCell ref="A53:C53"/>
    <mergeCell ref="A129:B129"/>
    <mergeCell ref="J63:L69"/>
    <mergeCell ref="J71:L72"/>
    <mergeCell ref="E51:H51"/>
    <mergeCell ref="A51:C51"/>
    <mergeCell ref="J57:L58"/>
    <mergeCell ref="A57:F57"/>
    <mergeCell ref="A65:H65"/>
    <mergeCell ref="A58:H58"/>
    <mergeCell ref="A55:D55"/>
    <mergeCell ref="A100:B100"/>
    <mergeCell ref="A78:D78"/>
    <mergeCell ref="C98:C100"/>
    <mergeCell ref="A14:C15"/>
    <mergeCell ref="J16:K17"/>
    <mergeCell ref="H11:I17"/>
    <mergeCell ref="A21:H21"/>
    <mergeCell ref="A20:E20"/>
    <mergeCell ref="C29:D29"/>
    <mergeCell ref="A31:I31"/>
    <mergeCell ref="B34:G34"/>
    <mergeCell ref="J38:L38"/>
    <mergeCell ref="A40:C40"/>
    <mergeCell ref="L6:L20"/>
    <mergeCell ref="A11:C13"/>
    <mergeCell ref="A16:C17"/>
    <mergeCell ref="A7:I7"/>
    <mergeCell ref="A9:I10"/>
    <mergeCell ref="A30:H30"/>
    <mergeCell ref="A22:H26"/>
    <mergeCell ref="A35:C35"/>
    <mergeCell ref="J1:L5"/>
    <mergeCell ref="J18:K25"/>
    <mergeCell ref="D6:G6"/>
    <mergeCell ref="D14:G15"/>
    <mergeCell ref="D16:G17"/>
    <mergeCell ref="F20:G20"/>
    <mergeCell ref="A28:B29"/>
    <mergeCell ref="F18:G19"/>
    <mergeCell ref="A33:H33"/>
    <mergeCell ref="D18:E19"/>
    <mergeCell ref="A27:H27"/>
    <mergeCell ref="L27:L35"/>
    <mergeCell ref="J36:L36"/>
    <mergeCell ref="A79:D79"/>
    <mergeCell ref="A77:G77"/>
    <mergeCell ref="A62:H62"/>
    <mergeCell ref="F59:F60"/>
    <mergeCell ref="A54:C54"/>
    <mergeCell ref="A44:C44"/>
    <mergeCell ref="J43:L43"/>
    <mergeCell ref="J44:L44"/>
    <mergeCell ref="A50:H50"/>
    <mergeCell ref="A46:H49"/>
    <mergeCell ref="J6:K15"/>
    <mergeCell ref="A1:I1"/>
    <mergeCell ref="D11:G11"/>
    <mergeCell ref="D12:G12"/>
    <mergeCell ref="D13:G13"/>
    <mergeCell ref="H6:I6"/>
    <mergeCell ref="B19:C19"/>
    <mergeCell ref="B18:C18"/>
    <mergeCell ref="A8:I8"/>
    <mergeCell ref="J42:L42"/>
    <mergeCell ref="A234:G234"/>
    <mergeCell ref="C28:D28"/>
    <mergeCell ref="A43:C43"/>
    <mergeCell ref="J53:L53"/>
    <mergeCell ref="J54:L54"/>
    <mergeCell ref="A56:G56"/>
    <mergeCell ref="A212:H212"/>
    <mergeCell ref="A214:C214"/>
    <mergeCell ref="H172:H173"/>
    <mergeCell ref="J37:L37"/>
    <mergeCell ref="A36:C36"/>
    <mergeCell ref="A37:C37"/>
    <mergeCell ref="A38:C38"/>
    <mergeCell ref="J28:K29"/>
    <mergeCell ref="J32:K35"/>
    <mergeCell ref="A41:C41"/>
    <mergeCell ref="A42:C42"/>
    <mergeCell ref="E59:E60"/>
    <mergeCell ref="D143:D146"/>
    <mergeCell ref="A32:H32"/>
    <mergeCell ref="A45:D45"/>
    <mergeCell ref="A73:F73"/>
    <mergeCell ref="G66:G67"/>
    <mergeCell ref="A102:B102"/>
    <mergeCell ref="E110:G110"/>
    <mergeCell ref="A118:H118"/>
    <mergeCell ref="A39:C39"/>
    <mergeCell ref="J39:L39"/>
    <mergeCell ref="J40:L40"/>
    <mergeCell ref="A177:D177"/>
    <mergeCell ref="A197:C197"/>
    <mergeCell ref="A174:C174"/>
    <mergeCell ref="G179:H179"/>
    <mergeCell ref="H104:H106"/>
    <mergeCell ref="H182:H183"/>
    <mergeCell ref="C104:C106"/>
    <mergeCell ref="E141:I141"/>
    <mergeCell ref="A120:B121"/>
    <mergeCell ref="D84:D86"/>
    <mergeCell ref="G84:G86"/>
    <mergeCell ref="A90:B90"/>
    <mergeCell ref="A108:B108"/>
    <mergeCell ref="D153:E153"/>
    <mergeCell ref="A148:B148"/>
    <mergeCell ref="A169:I169"/>
    <mergeCell ref="A119:H119"/>
    <mergeCell ref="C120:C122"/>
    <mergeCell ref="D120:D122"/>
    <mergeCell ref="E120:F120"/>
    <mergeCell ref="G120:H120"/>
    <mergeCell ref="E121:E122"/>
    <mergeCell ref="F121:F122"/>
    <mergeCell ref="G121:G122"/>
    <mergeCell ref="H121:H122"/>
    <mergeCell ref="E143:F143"/>
    <mergeCell ref="C143:C146"/>
    <mergeCell ref="A95:B95"/>
    <mergeCell ref="A59:C59"/>
    <mergeCell ref="A82:D82"/>
    <mergeCell ref="A74:H74"/>
    <mergeCell ref="A83:H83"/>
    <mergeCell ref="A71:F71"/>
    <mergeCell ref="G98:G100"/>
    <mergeCell ref="E98:E100"/>
    <mergeCell ref="J265:L266"/>
    <mergeCell ref="J256:L259"/>
    <mergeCell ref="J249:L255"/>
    <mergeCell ref="J243:L248"/>
    <mergeCell ref="E84:E89"/>
    <mergeCell ref="A76:H76"/>
    <mergeCell ref="D104:D106"/>
    <mergeCell ref="F66:F67"/>
    <mergeCell ref="F204:F207"/>
    <mergeCell ref="G59:G60"/>
    <mergeCell ref="A94:B94"/>
    <mergeCell ref="A200:F200"/>
    <mergeCell ref="A230:H230"/>
    <mergeCell ref="A101:B101"/>
    <mergeCell ref="A237:H237"/>
    <mergeCell ref="A255:C255"/>
    <mergeCell ref="A122:B122"/>
    <mergeCell ref="A157:E157"/>
    <mergeCell ref="A239:G239"/>
    <mergeCell ref="G201:H201"/>
    <mergeCell ref="G132:G133"/>
    <mergeCell ref="J260:L264"/>
    <mergeCell ref="A224:F224"/>
    <mergeCell ref="A223:E223"/>
    <mergeCell ref="A222:F222"/>
    <mergeCell ref="A276:F276"/>
    <mergeCell ref="A271:G271"/>
    <mergeCell ref="A282:F282"/>
    <mergeCell ref="A235:G235"/>
    <mergeCell ref="F252:G252"/>
    <mergeCell ref="A245:C245"/>
    <mergeCell ref="D245:F245"/>
    <mergeCell ref="E281:G281"/>
    <mergeCell ref="A289:D289"/>
    <mergeCell ref="A290:D290"/>
    <mergeCell ref="A246:H246"/>
    <mergeCell ref="A283:D283"/>
    <mergeCell ref="A306:D306"/>
    <mergeCell ref="C272:F272"/>
    <mergeCell ref="A272:B272"/>
    <mergeCell ref="A277:G277"/>
    <mergeCell ref="A281:D281"/>
    <mergeCell ref="A259:C259"/>
    <mergeCell ref="A265:F265"/>
    <mergeCell ref="A263:G263"/>
    <mergeCell ref="A225:D225"/>
    <mergeCell ref="A232:H232"/>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A326:E326"/>
    <mergeCell ref="A428:H428"/>
    <mergeCell ref="E501:F501"/>
    <mergeCell ref="A461:D461"/>
    <mergeCell ref="A462:D462"/>
    <mergeCell ref="A448:D448"/>
    <mergeCell ref="A351:E351"/>
    <mergeCell ref="A339:E339"/>
    <mergeCell ref="A343:H343"/>
    <mergeCell ref="A484:I484"/>
    <mergeCell ref="A466:E466"/>
    <mergeCell ref="A467:E467"/>
    <mergeCell ref="K345:L348"/>
    <mergeCell ref="C319:E319"/>
    <mergeCell ref="A342:I342"/>
    <mergeCell ref="G352:H360"/>
    <mergeCell ref="F323:G323"/>
    <mergeCell ref="A299:F299"/>
    <mergeCell ref="A334:H334"/>
    <mergeCell ref="E410:H410"/>
    <mergeCell ref="A353:E354"/>
    <mergeCell ref="A365:D365"/>
    <mergeCell ref="A357:E360"/>
    <mergeCell ref="A273:E273"/>
    <mergeCell ref="A317:C317"/>
    <mergeCell ref="R474:T474"/>
    <mergeCell ref="A304:D304"/>
    <mergeCell ref="A278:H278"/>
    <mergeCell ref="A348:I348"/>
    <mergeCell ref="J299:L299"/>
    <mergeCell ref="J324:L324"/>
    <mergeCell ref="J325:L325"/>
    <mergeCell ref="J326:L326"/>
    <mergeCell ref="M415:U418"/>
    <mergeCell ref="C413:F413"/>
    <mergeCell ref="A414:I415"/>
    <mergeCell ref="E409:H409"/>
    <mergeCell ref="B362:D362"/>
    <mergeCell ref="E411:H411"/>
    <mergeCell ref="A434:D435"/>
    <mergeCell ref="E346:F346"/>
    <mergeCell ref="C411:D411"/>
    <mergeCell ref="A285:D285"/>
    <mergeCell ref="J307:L309"/>
    <mergeCell ref="J421:L421"/>
    <mergeCell ref="J336:L339"/>
    <mergeCell ref="A446:D446"/>
    <mergeCell ref="A491:H491"/>
    <mergeCell ref="A426:G426"/>
    <mergeCell ref="A423:H423"/>
    <mergeCell ref="A361:F361"/>
    <mergeCell ref="A424:C424"/>
    <mergeCell ref="A422:D422"/>
    <mergeCell ref="J84:L85"/>
    <mergeCell ref="J98:L99"/>
    <mergeCell ref="J282:L283"/>
    <mergeCell ref="J449:L449"/>
    <mergeCell ref="J452:L452"/>
    <mergeCell ref="A319:B319"/>
    <mergeCell ref="A261:G261"/>
    <mergeCell ref="A297:D297"/>
    <mergeCell ref="A364:H364"/>
    <mergeCell ref="G366:H366"/>
    <mergeCell ref="A323:D323"/>
    <mergeCell ref="A420:D420"/>
    <mergeCell ref="A346:D346"/>
    <mergeCell ref="J475:L476"/>
    <mergeCell ref="A295:D295"/>
    <mergeCell ref="A309:H309"/>
    <mergeCell ref="G350:H350"/>
    <mergeCell ref="G351:H351"/>
    <mergeCell ref="A368:H370"/>
    <mergeCell ref="A264:F264"/>
    <mergeCell ref="E455:E457"/>
    <mergeCell ref="A345:D345"/>
    <mergeCell ref="A485:H485"/>
    <mergeCell ref="A486:C487"/>
    <mergeCell ref="E511:G511"/>
    <mergeCell ref="D541:F541"/>
    <mergeCell ref="A502:D503"/>
    <mergeCell ref="A481:I481"/>
    <mergeCell ref="A534:E534"/>
    <mergeCell ref="A580:D580"/>
    <mergeCell ref="B581:D581"/>
    <mergeCell ref="A582:D582"/>
    <mergeCell ref="C542:E542"/>
    <mergeCell ref="A531:B531"/>
    <mergeCell ref="E506:G506"/>
    <mergeCell ref="A574:C574"/>
    <mergeCell ref="A518:D518"/>
    <mergeCell ref="A497:C497"/>
    <mergeCell ref="A560:C560"/>
    <mergeCell ref="E579:G579"/>
    <mergeCell ref="A565:C565"/>
    <mergeCell ref="J812:L812"/>
    <mergeCell ref="J770:L770"/>
    <mergeCell ref="J771:L771"/>
    <mergeCell ref="J772:L772"/>
    <mergeCell ref="J773:L773"/>
    <mergeCell ref="J774:L775"/>
    <mergeCell ref="J776:L776"/>
    <mergeCell ref="J777:L777"/>
    <mergeCell ref="J779:L779"/>
    <mergeCell ref="J780:L780"/>
    <mergeCell ref="A810:D810"/>
    <mergeCell ref="D748:F748"/>
    <mergeCell ref="F807:F809"/>
    <mergeCell ref="J763:L763"/>
    <mergeCell ref="G807:G809"/>
    <mergeCell ref="H807:H809"/>
    <mergeCell ref="E790:G790"/>
    <mergeCell ref="A795:C795"/>
    <mergeCell ref="A807:D809"/>
    <mergeCell ref="E807:E809"/>
    <mergeCell ref="A803:E803"/>
    <mergeCell ref="E711:F711"/>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03:K803"/>
    <mergeCell ref="J789:L790"/>
    <mergeCell ref="E787:F787"/>
    <mergeCell ref="A781:C781"/>
    <mergeCell ref="E785:F785"/>
    <mergeCell ref="A786:D787"/>
    <mergeCell ref="E786:F786"/>
    <mergeCell ref="E795:G795"/>
    <mergeCell ref="A741:B741"/>
    <mergeCell ref="J804:L804"/>
    <mergeCell ref="C756:H758"/>
    <mergeCell ref="J822:L822"/>
    <mergeCell ref="A514:D514"/>
    <mergeCell ref="D752:F752"/>
    <mergeCell ref="A746:E746"/>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69:L769"/>
    <mergeCell ref="A764:C765"/>
    <mergeCell ref="D764:H765"/>
    <mergeCell ref="A766:C766"/>
    <mergeCell ref="D766:H766"/>
    <mergeCell ref="A767:G767"/>
    <mergeCell ref="A768:D768"/>
    <mergeCell ref="A769:C769"/>
    <mergeCell ref="C753:H755"/>
    <mergeCell ref="A712:D713"/>
    <mergeCell ref="A258:C258"/>
    <mergeCell ref="J495:L495"/>
    <mergeCell ref="J470:L470"/>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37:D737"/>
    <mergeCell ref="K123:L123"/>
    <mergeCell ref="K124:L124"/>
    <mergeCell ref="J340:L341"/>
    <mergeCell ref="J355:L355"/>
    <mergeCell ref="C221:E221"/>
    <mergeCell ref="J221:L225"/>
    <mergeCell ref="A221:B221"/>
    <mergeCell ref="A251:E251"/>
    <mergeCell ref="J284:L286"/>
    <mergeCell ref="A208:B208"/>
    <mergeCell ref="G172:G173"/>
    <mergeCell ref="K126:L126"/>
    <mergeCell ref="K127:L127"/>
    <mergeCell ref="K128:L128"/>
    <mergeCell ref="K129:L129"/>
    <mergeCell ref="J323:L323"/>
    <mergeCell ref="K125:L125"/>
    <mergeCell ref="A349:I349"/>
    <mergeCell ref="G297:H298"/>
    <mergeCell ref="A315:B315"/>
    <mergeCell ref="A292:D292"/>
    <mergeCell ref="A311:I311"/>
    <mergeCell ref="A310:H310"/>
    <mergeCell ref="G304:H307"/>
    <mergeCell ref="A316:C316"/>
    <mergeCell ref="E344:F344"/>
    <mergeCell ref="A350:B350"/>
    <mergeCell ref="E345:F345"/>
    <mergeCell ref="A320:C320"/>
    <mergeCell ref="D320:E320"/>
    <mergeCell ref="A324:E324"/>
    <mergeCell ref="A253:H253"/>
    <mergeCell ref="J730:L730"/>
    <mergeCell ref="A716:C716"/>
    <mergeCell ref="E716:G716"/>
    <mergeCell ref="A704:G704"/>
    <mergeCell ref="A736:D736"/>
    <mergeCell ref="B727:D727"/>
    <mergeCell ref="A718:B718"/>
    <mergeCell ref="A747:H747"/>
    <mergeCell ref="J726:L726"/>
    <mergeCell ref="D751:F751"/>
    <mergeCell ref="J699:L699"/>
    <mergeCell ref="J723:L723"/>
    <mergeCell ref="A763:I763"/>
    <mergeCell ref="G523:G525"/>
    <mergeCell ref="J560:L560"/>
    <mergeCell ref="A536:E536"/>
    <mergeCell ref="A598:D598"/>
    <mergeCell ref="B585:D585"/>
    <mergeCell ref="A586:D586"/>
    <mergeCell ref="E574:G574"/>
    <mergeCell ref="A539:H539"/>
    <mergeCell ref="A755:B755"/>
    <mergeCell ref="J696:L696"/>
    <mergeCell ref="D714:F714"/>
    <mergeCell ref="A715:H715"/>
    <mergeCell ref="A722:D722"/>
    <mergeCell ref="J695:L695"/>
    <mergeCell ref="J706:L706"/>
    <mergeCell ref="A756:B758"/>
    <mergeCell ref="A730:D730"/>
    <mergeCell ref="A759:I759"/>
    <mergeCell ref="J727:L727"/>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J297:L298"/>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74:D774"/>
    <mergeCell ref="A336:E336"/>
    <mergeCell ref="A442:E442"/>
    <mergeCell ref="A471:H471"/>
    <mergeCell ref="A669:D669"/>
    <mergeCell ref="J611:L612"/>
  </mergeCells>
  <conditionalFormatting sqref="A57">
    <cfRule type="expression" dxfId="573" priority="849">
      <formula>$J$57&lt;&gt;""</formula>
    </cfRule>
  </conditionalFormatting>
  <conditionalFormatting sqref="A142">
    <cfRule type="expression" dxfId="572" priority="814">
      <formula>AND(E141&lt;&gt;"",H142="Nein")</formula>
    </cfRule>
  </conditionalFormatting>
  <conditionalFormatting sqref="A300">
    <cfRule type="expression" dxfId="571" priority="861">
      <formula>$J$300&lt;&gt;""</formula>
    </cfRule>
  </conditionalFormatting>
  <conditionalFormatting sqref="A301">
    <cfRule type="expression" dxfId="570" priority="859">
      <formula>$J$301&lt;&gt;""</formula>
    </cfRule>
  </conditionalFormatting>
  <conditionalFormatting sqref="A302">
    <cfRule type="expression" dxfId="569" priority="858">
      <formula>$J$302&lt;&gt;""</formula>
    </cfRule>
  </conditionalFormatting>
  <conditionalFormatting sqref="A303">
    <cfRule type="expression" dxfId="568" priority="857">
      <formula>$J$303&lt;&gt;""</formula>
    </cfRule>
  </conditionalFormatting>
  <conditionalFormatting sqref="A444">
    <cfRule type="expression" dxfId="567" priority="942">
      <formula>$F$444=1</formula>
    </cfRule>
  </conditionalFormatting>
  <conditionalFormatting sqref="A512">
    <cfRule type="expression" dxfId="566" priority="507">
      <formula>$F$444=1</formula>
    </cfRule>
  </conditionalFormatting>
  <conditionalFormatting sqref="A580">
    <cfRule type="expression" dxfId="565" priority="489">
      <formula>$F$444=1</formula>
    </cfRule>
  </conditionalFormatting>
  <conditionalFormatting sqref="A648">
    <cfRule type="expression" dxfId="564" priority="472">
      <formula>$F$444=1</formula>
    </cfRule>
  </conditionalFormatting>
  <conditionalFormatting sqref="A722">
    <cfRule type="expression" dxfId="563" priority="455">
      <formula>$F$444=1</formula>
    </cfRule>
  </conditionalFormatting>
  <conditionalFormatting sqref="A796">
    <cfRule type="expression" dxfId="562" priority="254">
      <formula>$F$444=1</formula>
    </cfRule>
  </conditionalFormatting>
  <conditionalFormatting sqref="A28:B30">
    <cfRule type="expression" dxfId="561" priority="819">
      <formula>$J$28&lt;&gt;""</formula>
    </cfRule>
  </conditionalFormatting>
  <conditionalFormatting sqref="A90:B94">
    <cfRule type="duplicateValues" dxfId="560" priority="710"/>
  </conditionalFormatting>
  <conditionalFormatting sqref="A101:B103">
    <cfRule type="duplicateValues" dxfId="559" priority="803"/>
  </conditionalFormatting>
  <conditionalFormatting sqref="A107:B109">
    <cfRule type="duplicateValues" dxfId="558" priority="277"/>
  </conditionalFormatting>
  <conditionalFormatting sqref="A137:B137 A123:B129">
    <cfRule type="duplicateValues" dxfId="557" priority="276"/>
  </conditionalFormatting>
  <conditionalFormatting sqref="A137:B137">
    <cfRule type="duplicateValues" dxfId="556" priority="741"/>
  </conditionalFormatting>
  <conditionalFormatting sqref="A143:B146">
    <cfRule type="expression" dxfId="555" priority="104">
      <formula>$H$142&lt;&gt;$M$150</formula>
    </cfRule>
  </conditionalFormatting>
  <conditionalFormatting sqref="A147:B149">
    <cfRule type="duplicateValues" dxfId="554" priority="798"/>
    <cfRule type="duplicateValues" dxfId="553" priority="275"/>
  </conditionalFormatting>
  <conditionalFormatting sqref="A204:B205">
    <cfRule type="expression" dxfId="552" priority="95">
      <formula>$G$207=$M$210</formula>
    </cfRule>
  </conditionalFormatting>
  <conditionalFormatting sqref="A440:B440">
    <cfRule type="duplicateValues" dxfId="551" priority="1053"/>
  </conditionalFormatting>
  <conditionalFormatting sqref="A508:B508">
    <cfRule type="duplicateValues" dxfId="550" priority="176"/>
  </conditionalFormatting>
  <conditionalFormatting sqref="A576:B576">
    <cfRule type="duplicateValues" dxfId="549" priority="164"/>
  </conditionalFormatting>
  <conditionalFormatting sqref="A644:B644">
    <cfRule type="duplicateValues" dxfId="548" priority="153"/>
  </conditionalFormatting>
  <conditionalFormatting sqref="A718:B718">
    <cfRule type="duplicateValues" dxfId="547" priority="142"/>
  </conditionalFormatting>
  <conditionalFormatting sqref="A792:B792">
    <cfRule type="duplicateValues" dxfId="546" priority="131"/>
  </conditionalFormatting>
  <conditionalFormatting sqref="A36:C44">
    <cfRule type="duplicateValues" dxfId="545" priority="280"/>
  </conditionalFormatting>
  <conditionalFormatting sqref="A53:C54">
    <cfRule type="duplicateValues" dxfId="544" priority="279"/>
  </conditionalFormatting>
  <conditionalFormatting sqref="A174:C176">
    <cfRule type="duplicateValues" dxfId="543" priority="274"/>
  </conditionalFormatting>
  <conditionalFormatting sqref="A184:C188">
    <cfRule type="duplicateValues" dxfId="542" priority="800"/>
    <cfRule type="duplicateValues" dxfId="541" priority="273"/>
  </conditionalFormatting>
  <conditionalFormatting sqref="A195:C199">
    <cfRule type="duplicateValues" dxfId="540" priority="801"/>
    <cfRule type="duplicateValues" dxfId="539" priority="272"/>
  </conditionalFormatting>
  <conditionalFormatting sqref="A695:C699">
    <cfRule type="duplicateValues" dxfId="538" priority="64"/>
  </conditionalFormatting>
  <conditionalFormatting sqref="A769:C773">
    <cfRule type="duplicateValues" dxfId="537" priority="2202"/>
  </conditionalFormatting>
  <conditionalFormatting sqref="A95:D95 A96">
    <cfRule type="expression" dxfId="536" priority="838">
      <formula>AND(COUNT($C$90:$C$94)&lt;&gt;COUNT($D$90:$D$94),$H$77=_Ja)</formula>
    </cfRule>
  </conditionalFormatting>
  <conditionalFormatting sqref="A300:D300 G308:H308">
    <cfRule type="expression" dxfId="535" priority="84">
      <formula>$H$285=_Nein</formula>
    </cfRule>
  </conditionalFormatting>
  <conditionalFormatting sqref="A365:D365 E366:F366">
    <cfRule type="expression" dxfId="534" priority="2668">
      <formula>$A$365=$M$423</formula>
    </cfRule>
  </conditionalFormatting>
  <conditionalFormatting sqref="A365:D365">
    <cfRule type="expression" dxfId="533" priority="21">
      <formula>$A$365=$M$289</formula>
    </cfRule>
  </conditionalFormatting>
  <conditionalFormatting sqref="A448:D448">
    <cfRule type="expression" dxfId="532" priority="941">
      <formula>$F$448=1</formula>
    </cfRule>
  </conditionalFormatting>
  <conditionalFormatting sqref="A452:D452">
    <cfRule type="expression" dxfId="531" priority="794">
      <formula>$F$448=1</formula>
    </cfRule>
  </conditionalFormatting>
  <conditionalFormatting sqref="A516:D516">
    <cfRule type="expression" dxfId="530" priority="506">
      <formula>$F$448=1</formula>
    </cfRule>
  </conditionalFormatting>
  <conditionalFormatting sqref="A520:D520">
    <cfRule type="expression" dxfId="529" priority="505">
      <formula>$F$448=1</formula>
    </cfRule>
  </conditionalFormatting>
  <conditionalFormatting sqref="A584:D584">
    <cfRule type="expression" dxfId="528" priority="488">
      <formula>$F$448=1</formula>
    </cfRule>
  </conditionalFormatting>
  <conditionalFormatting sqref="A588:D588">
    <cfRule type="expression" dxfId="527" priority="487">
      <formula>$F$448=1</formula>
    </cfRule>
  </conditionalFormatting>
  <conditionalFormatting sqref="A652:D652">
    <cfRule type="expression" dxfId="526" priority="471">
      <formula>$F$448=1</formula>
    </cfRule>
  </conditionalFormatting>
  <conditionalFormatting sqref="A656:D656">
    <cfRule type="expression" dxfId="525" priority="470">
      <formula>$F$448=1</formula>
    </cfRule>
  </conditionalFormatting>
  <conditionalFormatting sqref="A726:D726">
    <cfRule type="expression" dxfId="524" priority="454">
      <formula>$F$448=1</formula>
    </cfRule>
  </conditionalFormatting>
  <conditionalFormatting sqref="A730:D730">
    <cfRule type="expression" dxfId="523" priority="453">
      <formula>$F$448=1</formula>
    </cfRule>
  </conditionalFormatting>
  <conditionalFormatting sqref="A800:D800">
    <cfRule type="expression" dxfId="522" priority="253">
      <formula>$F$448=1</formula>
    </cfRule>
  </conditionalFormatting>
  <conditionalFormatting sqref="A804:D804">
    <cfRule type="expression" dxfId="521" priority="252">
      <formula>$F$448=1</formula>
    </cfRule>
  </conditionalFormatting>
  <conditionalFormatting sqref="A243:E243">
    <cfRule type="expression" dxfId="520" priority="2281">
      <formula>$G$242="NEIN"</formula>
    </cfRule>
  </conditionalFormatting>
  <conditionalFormatting sqref="A336:E338">
    <cfRule type="duplicateValues" dxfId="519" priority="271"/>
    <cfRule type="duplicateValues" dxfId="518" priority="805"/>
  </conditionalFormatting>
  <conditionalFormatting sqref="A466:E468">
    <cfRule type="duplicateValues" dxfId="517" priority="270"/>
    <cfRule type="duplicateValues" dxfId="516" priority="332"/>
  </conditionalFormatting>
  <conditionalFormatting sqref="A534:E536">
    <cfRule type="duplicateValues" dxfId="515" priority="269"/>
    <cfRule type="duplicateValues" dxfId="514" priority="333"/>
  </conditionalFormatting>
  <conditionalFormatting sqref="A602:E604">
    <cfRule type="duplicateValues" dxfId="513" priority="268"/>
    <cfRule type="duplicateValues" dxfId="512" priority="330"/>
  </conditionalFormatting>
  <conditionalFormatting sqref="A670:E672">
    <cfRule type="duplicateValues" dxfId="511" priority="267"/>
  </conditionalFormatting>
  <conditionalFormatting sqref="A744:E746">
    <cfRule type="duplicateValues" dxfId="510" priority="282"/>
    <cfRule type="duplicateValues" dxfId="509" priority="266"/>
  </conditionalFormatting>
  <conditionalFormatting sqref="A818:E820">
    <cfRule type="duplicateValues" dxfId="508" priority="225"/>
    <cfRule type="duplicateValues" dxfId="507" priority="223"/>
    <cfRule type="duplicateValues" dxfId="506" priority="226"/>
  </conditionalFormatting>
  <conditionalFormatting sqref="A351:F351">
    <cfRule type="expression" dxfId="505" priority="72">
      <formula>$C$350&lt;&gt;$M$358</formula>
    </cfRule>
  </conditionalFormatting>
  <conditionalFormatting sqref="A355:F360">
    <cfRule type="expression" dxfId="504" priority="393">
      <formula>$F$354="Nein"</formula>
    </cfRule>
  </conditionalFormatting>
  <conditionalFormatting sqref="A142:G142">
    <cfRule type="expression" dxfId="503" priority="813">
      <formula>$J$140&lt;&gt;""</formula>
    </cfRule>
  </conditionalFormatting>
  <conditionalFormatting sqref="A51:H51">
    <cfRule type="expression" dxfId="502" priority="2442">
      <formula>$E$51=$M$74</formula>
    </cfRule>
  </conditionalFormatting>
  <conditionalFormatting sqref="A52:H56">
    <cfRule type="expression" dxfId="501" priority="2441">
      <formula>$E$51=$M$74</formula>
    </cfRule>
  </conditionalFormatting>
  <conditionalFormatting sqref="A56:H56 A57 G57:H57">
    <cfRule type="expression" dxfId="500" priority="712">
      <formula>$E$55=0</formula>
    </cfRule>
  </conditionalFormatting>
  <conditionalFormatting sqref="A56:H56">
    <cfRule type="expression" dxfId="499" priority="116">
      <formula>$E$55=0</formula>
    </cfRule>
  </conditionalFormatting>
  <conditionalFormatting sqref="A58:H58 A63:H63">
    <cfRule type="expression" dxfId="498" priority="4">
      <formula>$D$59=_Nein</formula>
    </cfRule>
  </conditionalFormatting>
  <conditionalFormatting sqref="A58:H58">
    <cfRule type="expression" dxfId="497" priority="56">
      <formula>$E$55=0</formula>
    </cfRule>
  </conditionalFormatting>
  <conditionalFormatting sqref="A78:H83">
    <cfRule type="expression" dxfId="496" priority="706">
      <formula>AND($H$77="Nein",$H$97="Nein")</formula>
    </cfRule>
  </conditionalFormatting>
  <conditionalFormatting sqref="A84:H94">
    <cfRule type="expression" dxfId="495" priority="278">
      <formula>$H$77="Nein"</formula>
    </cfRule>
  </conditionalFormatting>
  <conditionalFormatting sqref="A98:H109 J98:L109 A110:D110">
    <cfRule type="expression" dxfId="494" priority="28">
      <formula>$H$97=_Nein</formula>
    </cfRule>
  </conditionalFormatting>
  <conditionalFormatting sqref="A142:H142">
    <cfRule type="expression" dxfId="493" priority="53">
      <formula>$H$142&lt;&gt;$M$150</formula>
    </cfRule>
  </conditionalFormatting>
  <conditionalFormatting sqref="A142:H150 A151 G151:H151 A152:H153">
    <cfRule type="expression" dxfId="492" priority="705">
      <formula>$E$55=0</formula>
    </cfRule>
  </conditionalFormatting>
  <conditionalFormatting sqref="A147:H150 C143:H146 A151 G151:H151 A152:H153">
    <cfRule type="expression" dxfId="491" priority="1006">
      <formula>$H$142&lt;&gt;"INDIV"</formula>
    </cfRule>
  </conditionalFormatting>
  <conditionalFormatting sqref="A157:H157">
    <cfRule type="expression" dxfId="490" priority="689">
      <formula>SUM($G$61)=0</formula>
    </cfRule>
  </conditionalFormatting>
  <conditionalFormatting sqref="A179:H179">
    <cfRule type="expression" dxfId="489" priority="401">
      <formula>$H$178=0</formula>
    </cfRule>
  </conditionalFormatting>
  <conditionalFormatting sqref="A190:H190">
    <cfRule type="expression" dxfId="488" priority="399">
      <formula>$H$189=0</formula>
    </cfRule>
  </conditionalFormatting>
  <conditionalFormatting sqref="A201:H201">
    <cfRule type="expression" dxfId="487" priority="398">
      <formula>$H$200=0</formula>
    </cfRule>
  </conditionalFormatting>
  <conditionalFormatting sqref="A204:H207">
    <cfRule type="expression" dxfId="486" priority="51">
      <formula>$G$207=$M$210</formula>
    </cfRule>
  </conditionalFormatting>
  <conditionalFormatting sqref="A208:H211">
    <cfRule type="expression" dxfId="485" priority="52">
      <formula>$G$207=$M$210</formula>
    </cfRule>
  </conditionalFormatting>
  <conditionalFormatting sqref="A210:H210">
    <cfRule type="expression" dxfId="484" priority="1700">
      <formula>OR($H$209=0,$H$209="")</formula>
    </cfRule>
  </conditionalFormatting>
  <conditionalFormatting sqref="A215:H215">
    <cfRule type="expression" dxfId="483" priority="396">
      <formula>OR($H$214=0,$H$214="")</formula>
    </cfRule>
  </conditionalFormatting>
  <conditionalFormatting sqref="A246:H252 A253 A254:H260">
    <cfRule type="expression" dxfId="482" priority="2278">
      <formula>$G$245=_Nein</formula>
    </cfRule>
  </conditionalFormatting>
  <conditionalFormatting sqref="A335:H340">
    <cfRule type="expression" dxfId="481" priority="83">
      <formula>$H$327=0</formula>
    </cfRule>
  </conditionalFormatting>
  <conditionalFormatting sqref="A345:H345">
    <cfRule type="expression" dxfId="480" priority="73">
      <formula>SUM($F$339,$H$339)=0</formula>
    </cfRule>
    <cfRule type="expression" dxfId="479" priority="82">
      <formula>$H$327=0</formula>
    </cfRule>
  </conditionalFormatting>
  <conditionalFormatting sqref="A422:H480 J418:L483 C846:H846 A847:H849 A879:H879">
    <cfRule type="expression" dxfId="478" priority="220">
      <formula>OR($A$421="",$D$421=$M$283)</formula>
    </cfRule>
  </conditionalFormatting>
  <conditionalFormatting sqref="A425:H425">
    <cfRule type="expression" dxfId="477" priority="57">
      <formula>$E$425=0</formula>
    </cfRule>
  </conditionalFormatting>
  <conditionalFormatting sqref="A426:H427">
    <cfRule type="expression" dxfId="476" priority="603">
      <formula>$E$424=0</formula>
    </cfRule>
  </conditionalFormatting>
  <conditionalFormatting sqref="A439:H441">
    <cfRule type="expression" dxfId="475" priority="1385">
      <formula>$E$438&lt;&gt;$M$440</formula>
    </cfRule>
  </conditionalFormatting>
  <conditionalFormatting sqref="A444:H453">
    <cfRule type="expression" dxfId="474" priority="81">
      <formula>$E$443&lt;&gt;$M$446</formula>
    </cfRule>
  </conditionalFormatting>
  <conditionalFormatting sqref="A445:H447 G444 E513">
    <cfRule type="expression" dxfId="473" priority="1055">
      <formula>$F$444&lt;&gt;$Q$31</formula>
    </cfRule>
  </conditionalFormatting>
  <conditionalFormatting sqref="A449:H451">
    <cfRule type="expression" dxfId="472" priority="2261">
      <formula>$F$448&lt;&gt;$Q$31</formula>
    </cfRule>
  </conditionalFormatting>
  <conditionalFormatting sqref="A453:H453">
    <cfRule type="expression" dxfId="471" priority="1056">
      <formula>$F$452&lt;&gt;$Q$31</formula>
    </cfRule>
  </conditionalFormatting>
  <conditionalFormatting sqref="A465:H469 A470 D470:H470 A471:H471 A533:H539 A601:H606 A669:H674 A743:H748 A817:H823">
    <cfRule type="expression" dxfId="470" priority="114">
      <formula>$G$327=0</formula>
    </cfRule>
  </conditionalFormatting>
  <conditionalFormatting sqref="A472:H472 A540 A750">
    <cfRule type="expression" dxfId="469" priority="510">
      <formula>G$327=0</formula>
    </cfRule>
  </conditionalFormatting>
  <conditionalFormatting sqref="A490:H548 J512:L551 J485:L507 J508 C851:H851 A852:H854 A880:H880">
    <cfRule type="expression" dxfId="468" priority="217">
      <formula>OR($A$489="",$D$489=$M$283)</formula>
    </cfRule>
  </conditionalFormatting>
  <conditionalFormatting sqref="A493:H493">
    <cfRule type="expression" dxfId="467" priority="58">
      <formula>$E$493=0</formula>
    </cfRule>
  </conditionalFormatting>
  <conditionalFormatting sqref="A494:H495">
    <cfRule type="expression" dxfId="466" priority="670">
      <formula>$E$493=0</formula>
    </cfRule>
  </conditionalFormatting>
  <conditionalFormatting sqref="A507:H509">
    <cfRule type="expression" dxfId="465" priority="1298">
      <formula>$E$506&lt;&gt;$M$508</formula>
    </cfRule>
  </conditionalFormatting>
  <conditionalFormatting sqref="A512:H521">
    <cfRule type="expression" dxfId="464" priority="113">
      <formula>$E$511&lt;&gt;$M$514</formula>
    </cfRule>
  </conditionalFormatting>
  <conditionalFormatting sqref="A514:H515 A513:D513 F513:H513">
    <cfRule type="expression" dxfId="463" priority="1057">
      <formula>$F$512&lt;&gt;$Q$31</formula>
    </cfRule>
  </conditionalFormatting>
  <conditionalFormatting sqref="A517:H519">
    <cfRule type="expression" dxfId="462" priority="1058">
      <formula>$F$516&lt;&gt;$Q$31</formula>
    </cfRule>
  </conditionalFormatting>
  <conditionalFormatting sqref="A521:H521">
    <cfRule type="expression" dxfId="461" priority="1059">
      <formula>$F$520&lt;&gt;$Q$31</formula>
    </cfRule>
  </conditionalFormatting>
  <conditionalFormatting sqref="A558:H616 J553:L575 J576 J580:L619 C856:H856 A857:H859 A881:H881">
    <cfRule type="expression" dxfId="460" priority="112">
      <formula>OR($A$557="",$D$557=$M$283)</formula>
    </cfRule>
  </conditionalFormatting>
  <conditionalFormatting sqref="A561:H561">
    <cfRule type="expression" dxfId="459" priority="59">
      <formula>$E$561=0</formula>
    </cfRule>
  </conditionalFormatting>
  <conditionalFormatting sqref="A562:H563">
    <cfRule type="expression" dxfId="458" priority="667">
      <formula>$E$561=0</formula>
    </cfRule>
  </conditionalFormatting>
  <conditionalFormatting sqref="A575:H577">
    <cfRule type="expression" dxfId="457" priority="1494">
      <formula>$E$574&lt;&gt;$M$576</formula>
    </cfRule>
  </conditionalFormatting>
  <conditionalFormatting sqref="A580:H589">
    <cfRule type="expression" dxfId="456" priority="476">
      <formula>$E$579&lt;&gt;$M$582</formula>
    </cfRule>
  </conditionalFormatting>
  <conditionalFormatting sqref="A581:H583 E649">
    <cfRule type="expression" dxfId="455" priority="2237">
      <formula>$F$580&lt;&gt;$Q$31</formula>
    </cfRule>
  </conditionalFormatting>
  <conditionalFormatting sqref="A585:H587">
    <cfRule type="expression" dxfId="454" priority="1061">
      <formula>$F$584&lt;&gt;$Q$31</formula>
    </cfRule>
  </conditionalFormatting>
  <conditionalFormatting sqref="A589:H589">
    <cfRule type="expression" dxfId="453" priority="1062">
      <formula>$F$588&lt;&gt;$Q$31</formula>
    </cfRule>
  </conditionalFormatting>
  <conditionalFormatting sqref="A606:H606 J606">
    <cfRule type="expression" dxfId="452" priority="46">
      <formula>SUM($F$602:$H$604)=0</formula>
    </cfRule>
  </conditionalFormatting>
  <conditionalFormatting sqref="A626:H684 J621:L643 J644 J648:L687 C861:H861 A862:H864 A882:H882">
    <cfRule type="expression" dxfId="451" priority="211">
      <formula>OR($A$625="",$D$625=$M$283)</formula>
    </cfRule>
  </conditionalFormatting>
  <conditionalFormatting sqref="A629:H629">
    <cfRule type="expression" dxfId="450" priority="60">
      <formula>$E$629=0</formula>
    </cfRule>
  </conditionalFormatting>
  <conditionalFormatting sqref="A630:H631">
    <cfRule type="expression" dxfId="449" priority="664">
      <formula>$E$629=0</formula>
    </cfRule>
  </conditionalFormatting>
  <conditionalFormatting sqref="A643:H645">
    <cfRule type="expression" dxfId="448" priority="1443">
      <formula>$E$642&lt;&gt;$M$644</formula>
    </cfRule>
  </conditionalFormatting>
  <conditionalFormatting sqref="A648:H657">
    <cfRule type="expression" dxfId="447" priority="110">
      <formula>$E$647&lt;&gt;$M$650</formula>
    </cfRule>
  </conditionalFormatting>
  <conditionalFormatting sqref="A650:H651 G648 A649:D649 F649:H649">
    <cfRule type="expression" dxfId="446" priority="1063">
      <formula>$F$648&lt;&gt;$Q$31</formula>
    </cfRule>
  </conditionalFormatting>
  <conditionalFormatting sqref="A653:H655">
    <cfRule type="expression" dxfId="445" priority="1064">
      <formula>$F$652&lt;&gt;$Q$31</formula>
    </cfRule>
  </conditionalFormatting>
  <conditionalFormatting sqref="A657:H657">
    <cfRule type="expression" dxfId="444" priority="1065">
      <formula>$F$656&lt;&gt;$Q$31</formula>
    </cfRule>
  </conditionalFormatting>
  <conditionalFormatting sqref="A674:H674 J674">
    <cfRule type="expression" dxfId="443" priority="45">
      <formula>SUM($F$670:$H$672)=0</formula>
    </cfRule>
  </conditionalFormatting>
  <conditionalFormatting sqref="A703:H703">
    <cfRule type="expression" dxfId="442" priority="63">
      <formula>$E$703=0</formula>
    </cfRule>
  </conditionalFormatting>
  <conditionalFormatting sqref="A704:H705">
    <cfRule type="expression" dxfId="441" priority="661">
      <formula>$E$703=0</formula>
    </cfRule>
  </conditionalFormatting>
  <conditionalFormatting sqref="A717:H719">
    <cfRule type="expression" dxfId="440" priority="1408">
      <formula>$E$716&lt;&gt;$M$718</formula>
    </cfRule>
  </conditionalFormatting>
  <conditionalFormatting sqref="A722:H731">
    <cfRule type="expression" dxfId="439" priority="109">
      <formula>$E$721&lt;&gt;$M$724</formula>
    </cfRule>
  </conditionalFormatting>
  <conditionalFormatting sqref="A723:H725">
    <cfRule type="expression" dxfId="438" priority="1066">
      <formula>$F$722&lt;&gt;$Q$31</formula>
    </cfRule>
  </conditionalFormatting>
  <conditionalFormatting sqref="A727:H729">
    <cfRule type="expression" dxfId="437" priority="452">
      <formula>$F$726&lt;&gt;$Q$31</formula>
    </cfRule>
  </conditionalFormatting>
  <conditionalFormatting sqref="A731:H731">
    <cfRule type="expression" dxfId="436" priority="1068">
      <formula>$F$730&lt;&gt;$Q$31</formula>
    </cfRule>
  </conditionalFormatting>
  <conditionalFormatting sqref="A748:H748 J748">
    <cfRule type="expression" dxfId="435" priority="44">
      <formula>SUM($F$744:$H$746)=0</formula>
    </cfRule>
  </conditionalFormatting>
  <conditionalFormatting sqref="A770:H832 J764:L768 J770:L791 J792 J796:L835 C871:H871 A872:H874 A884:H884">
    <cfRule type="expression" dxfId="434" priority="205">
      <formula>OR($A$769="",$D$769=$M$283)</formula>
    </cfRule>
  </conditionalFormatting>
  <conditionalFormatting sqref="A777:H777">
    <cfRule type="expression" dxfId="433" priority="62">
      <formula>$E$777=0</formula>
    </cfRule>
  </conditionalFormatting>
  <conditionalFormatting sqref="A778:H779">
    <cfRule type="expression" dxfId="432" priority="256">
      <formula>$E$777=0</formula>
    </cfRule>
  </conditionalFormatting>
  <conditionalFormatting sqref="A791:H793">
    <cfRule type="expression" dxfId="431" priority="1391">
      <formula>$E$790&lt;&gt;$M$792</formula>
    </cfRule>
  </conditionalFormatting>
  <conditionalFormatting sqref="A796:H805">
    <cfRule type="expression" dxfId="430" priority="107">
      <formula>$E$795&lt;&gt;$M$798</formula>
    </cfRule>
  </conditionalFormatting>
  <conditionalFormatting sqref="A797:H799 G796">
    <cfRule type="expression" dxfId="429" priority="263">
      <formula>$F$796&lt;&gt;$Q$31</formula>
    </cfRule>
  </conditionalFormatting>
  <conditionalFormatting sqref="A801:H803">
    <cfRule type="expression" dxfId="428" priority="264">
      <formula>$F$800&lt;&gt;$Q$31</formula>
    </cfRule>
  </conditionalFormatting>
  <conditionalFormatting sqref="A805:H805">
    <cfRule type="expression" dxfId="427" priority="265">
      <formula>$F$804&lt;&gt;$Q$31</formula>
    </cfRule>
  </conditionalFormatting>
  <conditionalFormatting sqref="A822:H822 J822">
    <cfRule type="expression" dxfId="426" priority="43">
      <formula>SUM($F$818:$H$820)=0</formula>
    </cfRule>
  </conditionalFormatting>
  <conditionalFormatting sqref="A7:I7">
    <cfRule type="expression" dxfId="425" priority="435">
      <formula>$A$7&lt;&gt;""</formula>
    </cfRule>
  </conditionalFormatting>
  <conditionalFormatting sqref="B362:D362">
    <cfRule type="cellIs" dxfId="424" priority="2518" operator="equal">
      <formula>$M$411</formula>
    </cfRule>
  </conditionalFormatting>
  <conditionalFormatting sqref="C350">
    <cfRule type="cellIs" dxfId="423" priority="572" operator="equal">
      <formula>0</formula>
    </cfRule>
  </conditionalFormatting>
  <conditionalFormatting sqref="C411">
    <cfRule type="colorScale" priority="26">
      <colorScale>
        <cfvo type="num" val="0"/>
        <cfvo type="num" val="60"/>
        <cfvo type="num" val="100"/>
        <color rgb="FFFF0000"/>
        <color rgb="FFD78C29"/>
        <color rgb="FFFFC000"/>
      </colorScale>
    </cfRule>
  </conditionalFormatting>
  <conditionalFormatting sqref="C28:D29">
    <cfRule type="cellIs" dxfId="422" priority="685" operator="equal">
      <formula>0</formula>
    </cfRule>
  </conditionalFormatting>
  <conditionalFormatting sqref="C221:E221 J221">
    <cfRule type="expression" dxfId="421" priority="31">
      <formula>$G$72=0</formula>
    </cfRule>
  </conditionalFormatting>
  <conditionalFormatting sqref="C315:E315 C319:E319 A324:E326">
    <cfRule type="duplicateValues" dxfId="420" priority="732"/>
  </conditionalFormatting>
  <conditionalFormatting sqref="D18 J18 J26:K26">
    <cfRule type="expression" dxfId="419" priority="853">
      <formula>$F$18=""</formula>
    </cfRule>
  </conditionalFormatting>
  <conditionalFormatting sqref="D36:D44 A34 H34">
    <cfRule type="expression" dxfId="418" priority="1004">
      <formula>$L$27&lt;&gt;""</formula>
    </cfRule>
  </conditionalFormatting>
  <conditionalFormatting sqref="D36:D44">
    <cfRule type="cellIs" dxfId="417" priority="976" operator="equal">
      <formula>0</formula>
    </cfRule>
  </conditionalFormatting>
  <conditionalFormatting sqref="D52:D54">
    <cfRule type="expression" dxfId="416" priority="2007">
      <formula>$E$51=$M$71</formula>
    </cfRule>
  </conditionalFormatting>
  <conditionalFormatting sqref="D53:D54">
    <cfRule type="expression" dxfId="415" priority="89">
      <formula>$F$61&gt;0.9</formula>
    </cfRule>
  </conditionalFormatting>
  <conditionalFormatting sqref="D59">
    <cfRule type="cellIs" dxfId="414" priority="8" operator="equal">
      <formula>"Nein"</formula>
    </cfRule>
    <cfRule type="cellIs" dxfId="413" priority="7" operator="equal">
      <formula>"Ja"</formula>
    </cfRule>
    <cfRule type="cellIs" dxfId="412" priority="6" operator="equal">
      <formula>0</formula>
    </cfRule>
  </conditionalFormatting>
  <conditionalFormatting sqref="D107:D109">
    <cfRule type="cellIs" dxfId="411" priority="977" operator="equal">
      <formula>0</formula>
    </cfRule>
  </conditionalFormatting>
  <conditionalFormatting sqref="D209">
    <cfRule type="cellIs" dxfId="410" priority="1595" operator="equal">
      <formula>0</formula>
    </cfRule>
  </conditionalFormatting>
  <conditionalFormatting sqref="D421">
    <cfRule type="cellIs" dxfId="409" priority="963" operator="equal">
      <formula>0</formula>
    </cfRule>
  </conditionalFormatting>
  <conditionalFormatting sqref="D424">
    <cfRule type="cellIs" dxfId="408" priority="962" operator="equal">
      <formula>0</formula>
    </cfRule>
  </conditionalFormatting>
  <conditionalFormatting sqref="D433">
    <cfRule type="cellIs" dxfId="407" priority="222" operator="equal">
      <formula>"Ja"</formula>
    </cfRule>
    <cfRule type="cellIs" dxfId="406" priority="221" operator="equal">
      <formula>0</formula>
    </cfRule>
    <cfRule type="cellIs" dxfId="405" priority="558" operator="equal">
      <formula>"Nein"</formula>
    </cfRule>
  </conditionalFormatting>
  <conditionalFormatting sqref="D489">
    <cfRule type="cellIs" dxfId="404" priority="961" operator="equal">
      <formula>0</formula>
    </cfRule>
  </conditionalFormatting>
  <conditionalFormatting sqref="D492">
    <cfRule type="cellIs" dxfId="403" priority="960" operator="equal">
      <formula>0</formula>
    </cfRule>
  </conditionalFormatting>
  <conditionalFormatting sqref="D501">
    <cfRule type="cellIs" dxfId="402" priority="2249" operator="equal">
      <formula>"Nein"</formula>
    </cfRule>
    <cfRule type="cellIs" dxfId="401" priority="219" operator="equal">
      <formula>"Ja"</formula>
    </cfRule>
    <cfRule type="cellIs" dxfId="400" priority="218" operator="equal">
      <formula>0</formula>
    </cfRule>
  </conditionalFormatting>
  <conditionalFormatting sqref="D557">
    <cfRule type="cellIs" dxfId="399" priority="925" operator="equal">
      <formula>0</formula>
    </cfRule>
  </conditionalFormatting>
  <conditionalFormatting sqref="D560">
    <cfRule type="cellIs" dxfId="398" priority="924" operator="equal">
      <formula>0</formula>
    </cfRule>
  </conditionalFormatting>
  <conditionalFormatting sqref="D569">
    <cfRule type="cellIs" dxfId="397" priority="214" operator="equal">
      <formula>0</formula>
    </cfRule>
    <cfRule type="cellIs" dxfId="396" priority="216" operator="equal">
      <formula>"Nein"</formula>
    </cfRule>
    <cfRule type="cellIs" dxfId="395" priority="215" operator="equal">
      <formula>"Ja"</formula>
    </cfRule>
  </conditionalFormatting>
  <conditionalFormatting sqref="D625">
    <cfRule type="cellIs" dxfId="394" priority="915" operator="equal">
      <formula>0</formula>
    </cfRule>
  </conditionalFormatting>
  <conditionalFormatting sqref="D628">
    <cfRule type="cellIs" dxfId="393" priority="914" operator="equal">
      <formula>0</formula>
    </cfRule>
  </conditionalFormatting>
  <conditionalFormatting sqref="D637">
    <cfRule type="cellIs" dxfId="392" priority="212" operator="equal">
      <formula>0</formula>
    </cfRule>
    <cfRule type="cellIs" dxfId="391" priority="213" operator="equal">
      <formula>"Ja"</formula>
    </cfRule>
    <cfRule type="cellIs" dxfId="390" priority="2225" operator="equal">
      <formula>"Nein"</formula>
    </cfRule>
  </conditionalFormatting>
  <conditionalFormatting sqref="D695:D699">
    <cfRule type="cellIs" dxfId="389" priority="880" operator="equal">
      <formula>0</formula>
    </cfRule>
  </conditionalFormatting>
  <conditionalFormatting sqref="D702">
    <cfRule type="cellIs" dxfId="388" priority="879" operator="equal">
      <formula>0</formula>
    </cfRule>
  </conditionalFormatting>
  <conditionalFormatting sqref="D711">
    <cfRule type="cellIs" dxfId="387" priority="208" operator="equal">
      <formula>0</formula>
    </cfRule>
    <cfRule type="cellIs" dxfId="386" priority="209" operator="equal">
      <formula>"Ja"</formula>
    </cfRule>
    <cfRule type="cellIs" dxfId="385" priority="210" operator="equal">
      <formula>"Nein"</formula>
    </cfRule>
  </conditionalFormatting>
  <conditionalFormatting sqref="D769:D773">
    <cfRule type="cellIs" dxfId="384" priority="262" operator="equal">
      <formula>0</formula>
    </cfRule>
  </conditionalFormatting>
  <conditionalFormatting sqref="D776">
    <cfRule type="cellIs" dxfId="383" priority="261" operator="equal">
      <formula>0</formula>
    </cfRule>
  </conditionalFormatting>
  <conditionalFormatting sqref="D785">
    <cfRule type="cellIs" dxfId="382" priority="224" operator="equal">
      <formula>"Nein"</formula>
    </cfRule>
    <cfRule type="cellIs" dxfId="381" priority="206" operator="equal">
      <formula>0</formula>
    </cfRule>
    <cfRule type="cellIs" dxfId="380" priority="207" operator="equal">
      <formula>"Ja"</formula>
    </cfRule>
  </conditionalFormatting>
  <conditionalFormatting sqref="D350:F350">
    <cfRule type="expression" dxfId="379" priority="2262">
      <formula>$C$350&lt;&gt;$M$358</formula>
    </cfRule>
  </conditionalFormatting>
  <conditionalFormatting sqref="D470:F470">
    <cfRule type="expression" dxfId="378" priority="347">
      <formula>AND(SUM($F$466:$G$468)&lt;&gt;0,$G$470=0,$D$470=0)</formula>
    </cfRule>
  </conditionalFormatting>
  <conditionalFormatting sqref="D12:G12">
    <cfRule type="expression" dxfId="377" priority="867">
      <formula>$D$12=0</formula>
    </cfRule>
  </conditionalFormatting>
  <conditionalFormatting sqref="D13:G13">
    <cfRule type="expression" dxfId="376" priority="866">
      <formula>$D$13=0</formula>
    </cfRule>
  </conditionalFormatting>
  <conditionalFormatting sqref="E36">
    <cfRule type="expression" dxfId="375" priority="837">
      <formula>AND(SUM($D36)=0,$E36&gt;0)</formula>
    </cfRule>
  </conditionalFormatting>
  <conditionalFormatting sqref="E37:E44">
    <cfRule type="expression" dxfId="374" priority="829">
      <formula>AND(SUM($D37)=0,$E37&gt;0)</formula>
    </cfRule>
  </conditionalFormatting>
  <conditionalFormatting sqref="E45 E55">
    <cfRule type="expression" dxfId="373" priority="68">
      <formula>$E$55&gt;0+$E$45</formula>
    </cfRule>
  </conditionalFormatting>
  <conditionalFormatting sqref="E45">
    <cfRule type="expression" dxfId="372" priority="1005">
      <formula>$L$27&lt;&gt;""</formula>
    </cfRule>
  </conditionalFormatting>
  <conditionalFormatting sqref="E51">
    <cfRule type="cellIs" dxfId="371" priority="86" operator="equal">
      <formula>0</formula>
    </cfRule>
  </conditionalFormatting>
  <conditionalFormatting sqref="E53:E54">
    <cfRule type="expression" dxfId="370" priority="2440">
      <formula>OR($E$51=$M$73,$E$51=$M$72)</formula>
    </cfRule>
  </conditionalFormatting>
  <conditionalFormatting sqref="E90:E94 E101:E103">
    <cfRule type="cellIs" dxfId="369" priority="605" operator="equal">
      <formula>0</formula>
    </cfRule>
  </conditionalFormatting>
  <conditionalFormatting sqref="E141">
    <cfRule type="expression" dxfId="368" priority="817">
      <formula>$H$142="Nein"</formula>
    </cfRule>
  </conditionalFormatting>
  <conditionalFormatting sqref="E156">
    <cfRule type="expression" dxfId="367" priority="194">
      <formula>$H$142="Nein"</formula>
    </cfRule>
  </conditionalFormatting>
  <conditionalFormatting sqref="E174:E177">
    <cfRule type="cellIs" dxfId="366" priority="97" operator="equal">
      <formula>0</formula>
    </cfRule>
  </conditionalFormatting>
  <conditionalFormatting sqref="E184:E188">
    <cfRule type="cellIs" dxfId="365" priority="99" operator="equal">
      <formula>0</formula>
    </cfRule>
  </conditionalFormatting>
  <conditionalFormatting sqref="E195:E199">
    <cfRule type="cellIs" dxfId="364" priority="101" operator="equal">
      <formula>0</formula>
    </cfRule>
    <cfRule type="cellIs" dxfId="363" priority="102" operator="equal">
      <formula>0</formula>
    </cfRule>
  </conditionalFormatting>
  <conditionalFormatting sqref="E350">
    <cfRule type="cellIs" dxfId="362" priority="1" operator="equal">
      <formula>""</formula>
    </cfRule>
  </conditionalFormatting>
  <conditionalFormatting sqref="E422 E424">
    <cfRule type="duplicateValues" dxfId="361" priority="70"/>
  </conditionalFormatting>
  <conditionalFormatting sqref="E490 E493">
    <cfRule type="duplicateValues" dxfId="360" priority="67"/>
  </conditionalFormatting>
  <conditionalFormatting sqref="E558 E561">
    <cfRule type="duplicateValues" dxfId="359" priority="66"/>
  </conditionalFormatting>
  <conditionalFormatting sqref="E626 E629">
    <cfRule type="duplicateValues" dxfId="358" priority="65"/>
  </conditionalFormatting>
  <conditionalFormatting sqref="E700 E703">
    <cfRule type="duplicateValues" dxfId="357" priority="442"/>
  </conditionalFormatting>
  <conditionalFormatting sqref="E774 E776">
    <cfRule type="duplicateValues" dxfId="356" priority="61"/>
  </conditionalFormatting>
  <conditionalFormatting sqref="E295:F295">
    <cfRule type="cellIs" dxfId="355" priority="13" operator="equal">
      <formula>0</formula>
    </cfRule>
  </conditionalFormatting>
  <conditionalFormatting sqref="E297:F297">
    <cfRule type="cellIs" dxfId="354" priority="16" operator="equal">
      <formula>0</formula>
    </cfRule>
  </conditionalFormatting>
  <conditionalFormatting sqref="E300:F303">
    <cfRule type="uniqueValues" dxfId="353" priority="427"/>
  </conditionalFormatting>
  <conditionalFormatting sqref="E345:F345">
    <cfRule type="cellIs" dxfId="352" priority="349" operator="equal">
      <formula>0</formula>
    </cfRule>
  </conditionalFormatting>
  <conditionalFormatting sqref="E346:F346">
    <cfRule type="expression" dxfId="351" priority="348">
      <formula>AND($E$346=0,($F$339+$H$339)&lt;&gt;0)</formula>
    </cfRule>
  </conditionalFormatting>
  <conditionalFormatting sqref="E365:F365">
    <cfRule type="expression" dxfId="350" priority="2670">
      <formula>$A$365=$M$424</formula>
    </cfRule>
    <cfRule type="expression" dxfId="349" priority="2671">
      <formula>$A$365=$M$423</formula>
    </cfRule>
  </conditionalFormatting>
  <conditionalFormatting sqref="E441:F441">
    <cfRule type="cellIs" dxfId="348" priority="378" operator="between">
      <formula>0</formula>
      <formula>0</formula>
    </cfRule>
  </conditionalFormatting>
  <conditionalFormatting sqref="E509:F509">
    <cfRule type="cellIs" dxfId="347" priority="170" operator="between">
      <formula>0</formula>
      <formula>0</formula>
    </cfRule>
  </conditionalFormatting>
  <conditionalFormatting sqref="E577:F577">
    <cfRule type="cellIs" dxfId="346" priority="158" operator="between">
      <formula>0</formula>
      <formula>0</formula>
    </cfRule>
  </conditionalFormatting>
  <conditionalFormatting sqref="E645:F645">
    <cfRule type="cellIs" dxfId="345" priority="147" operator="between">
      <formula>0</formula>
      <formula>0</formula>
    </cfRule>
  </conditionalFormatting>
  <conditionalFormatting sqref="E719:F719">
    <cfRule type="cellIs" dxfId="344" priority="136" operator="between">
      <formula>0</formula>
      <formula>0</formula>
    </cfRule>
  </conditionalFormatting>
  <conditionalFormatting sqref="E793:F793">
    <cfRule type="cellIs" dxfId="343" priority="125" operator="between">
      <formula>0</formula>
      <formula>0</formula>
    </cfRule>
  </conditionalFormatting>
  <conditionalFormatting sqref="E438:G438 E443:G443">
    <cfRule type="cellIs" dxfId="342" priority="106" operator="equal">
      <formula>0</formula>
    </cfRule>
  </conditionalFormatting>
  <conditionalFormatting sqref="E506:G506 E511:G511">
    <cfRule type="cellIs" dxfId="341" priority="105" operator="equal">
      <formula>0</formula>
    </cfRule>
  </conditionalFormatting>
  <conditionalFormatting sqref="E574:G574">
    <cfRule type="cellIs" dxfId="340" priority="155" operator="equal">
      <formula>0</formula>
    </cfRule>
  </conditionalFormatting>
  <conditionalFormatting sqref="E642:G642">
    <cfRule type="cellIs" dxfId="339" priority="144" operator="equal">
      <formula>0</formula>
    </cfRule>
  </conditionalFormatting>
  <conditionalFormatting sqref="E716:G716">
    <cfRule type="cellIs" dxfId="338" priority="133" operator="equal">
      <formula>0</formula>
    </cfRule>
  </conditionalFormatting>
  <conditionalFormatting sqref="E790:G790">
    <cfRule type="cellIs" dxfId="337" priority="122" operator="equal">
      <formula>0</formula>
    </cfRule>
  </conditionalFormatting>
  <conditionalFormatting sqref="E51:H51">
    <cfRule type="cellIs" dxfId="336" priority="9" operator="equal">
      <formula>$M$74</formula>
    </cfRule>
  </conditionalFormatting>
  <conditionalFormatting sqref="E59:H59 A60:H62">
    <cfRule type="expression" dxfId="335" priority="5">
      <formula>$D$59=_Nein</formula>
    </cfRule>
  </conditionalFormatting>
  <conditionalFormatting sqref="E123:H129">
    <cfRule type="cellIs" dxfId="334" priority="993" operator="between">
      <formula>0</formula>
      <formula>0</formula>
    </cfRule>
  </conditionalFormatting>
  <conditionalFormatting sqref="E137:H137">
    <cfRule type="cellIs" dxfId="333" priority="39" operator="between">
      <formula>0</formula>
      <formula>0</formula>
    </cfRule>
  </conditionalFormatting>
  <conditionalFormatting sqref="E147:H149">
    <cfRule type="cellIs" dxfId="332" priority="992" operator="between">
      <formula>0</formula>
      <formula>0</formula>
    </cfRule>
  </conditionalFormatting>
  <conditionalFormatting sqref="E346:H346">
    <cfRule type="expression" dxfId="331" priority="862">
      <formula>$H$327=0</formula>
    </cfRule>
    <cfRule type="expression" dxfId="330" priority="74">
      <formula>SUM($F$339,$H$339)=0</formula>
    </cfRule>
  </conditionalFormatting>
  <conditionalFormatting sqref="E440:H440">
    <cfRule type="cellIs" dxfId="329" priority="384" operator="between">
      <formula>0</formula>
      <formula>0</formula>
    </cfRule>
  </conditionalFormatting>
  <conditionalFormatting sqref="E508:H508">
    <cfRule type="cellIs" dxfId="328" priority="173" operator="between">
      <formula>0</formula>
      <formula>0</formula>
    </cfRule>
  </conditionalFormatting>
  <conditionalFormatting sqref="E576:H576">
    <cfRule type="cellIs" dxfId="327" priority="161" operator="between">
      <formula>0</formula>
      <formula>0</formula>
    </cfRule>
  </conditionalFormatting>
  <conditionalFormatting sqref="E644:H644">
    <cfRule type="cellIs" dxfId="326" priority="150" operator="between">
      <formula>0</formula>
      <formula>0</formula>
    </cfRule>
  </conditionalFormatting>
  <conditionalFormatting sqref="E718:H718">
    <cfRule type="cellIs" dxfId="325" priority="139" operator="between">
      <formula>0</formula>
      <formula>0</formula>
    </cfRule>
  </conditionalFormatting>
  <conditionalFormatting sqref="E792:H792">
    <cfRule type="cellIs" dxfId="324" priority="128" operator="between">
      <formula>0</formula>
      <formula>0</formula>
    </cfRule>
  </conditionalFormatting>
  <conditionalFormatting sqref="F18 L27:L35 A34 H34 D36:D44">
    <cfRule type="expression" dxfId="323" priority="822">
      <formula>$L$27&lt;&gt;""</formula>
    </cfRule>
  </conditionalFormatting>
  <conditionalFormatting sqref="F18">
    <cfRule type="expression" dxfId="322" priority="734">
      <formula>$J$18&lt;&gt;""</formula>
    </cfRule>
  </conditionalFormatting>
  <conditionalFormatting sqref="F45">
    <cfRule type="expression" dxfId="321" priority="826">
      <formula>$J$45&lt;&gt;""</formula>
    </cfRule>
  </conditionalFormatting>
  <conditionalFormatting sqref="F53:F54">
    <cfRule type="cellIs" dxfId="320" priority="970" operator="equal">
      <formula>0</formula>
    </cfRule>
  </conditionalFormatting>
  <conditionalFormatting sqref="F61 J61:L62">
    <cfRule type="expression" dxfId="319" priority="117">
      <formula>$F$61&gt;0.9</formula>
    </cfRule>
  </conditionalFormatting>
  <conditionalFormatting sqref="F130">
    <cfRule type="cellIs" dxfId="318" priority="322" operator="between">
      <formula>0</formula>
      <formula>0</formula>
    </cfRule>
  </conditionalFormatting>
  <conditionalFormatting sqref="F131">
    <cfRule type="cellIs" dxfId="317" priority="660" operator="equal">
      <formula>0</formula>
    </cfRule>
  </conditionalFormatting>
  <conditionalFormatting sqref="F138">
    <cfRule type="expression" dxfId="316" priority="38">
      <formula>$F$138=""</formula>
    </cfRule>
  </conditionalFormatting>
  <conditionalFormatting sqref="F157">
    <cfRule type="cellIs" dxfId="315" priority="820" operator="equal">
      <formula>"Nein"</formula>
    </cfRule>
  </conditionalFormatting>
  <conditionalFormatting sqref="F295 F306 F361">
    <cfRule type="expression" dxfId="314" priority="85">
      <formula>$H$285=_Nein</formula>
    </cfRule>
  </conditionalFormatting>
  <conditionalFormatting sqref="F297">
    <cfRule type="expression" dxfId="313" priority="17">
      <formula>$H$285=_Nein</formula>
    </cfRule>
  </conditionalFormatting>
  <conditionalFormatting sqref="F299:F303">
    <cfRule type="expression" dxfId="312" priority="24">
      <formula>$H$285=_Nein</formula>
    </cfRule>
  </conditionalFormatting>
  <conditionalFormatting sqref="F317 F321">
    <cfRule type="cellIs" dxfId="311" priority="41" operator="equal">
      <formula>0</formula>
    </cfRule>
  </conditionalFormatting>
  <conditionalFormatting sqref="F350">
    <cfRule type="expression" dxfId="310" priority="119">
      <formula>$E$350&lt;&gt;$M$362</formula>
    </cfRule>
  </conditionalFormatting>
  <conditionalFormatting sqref="F351">
    <cfRule type="cellIs" dxfId="309" priority="570" operator="equal">
      <formula>"Ja"</formula>
    </cfRule>
    <cfRule type="cellIs" dxfId="308" priority="571" operator="equal">
      <formula>"Nein"</formula>
    </cfRule>
    <cfRule type="cellIs" dxfId="307" priority="569" operator="equal">
      <formula>0</formula>
    </cfRule>
  </conditionalFormatting>
  <conditionalFormatting sqref="F354">
    <cfRule type="cellIs" dxfId="306" priority="568" operator="equal">
      <formula>"Nein"</formula>
    </cfRule>
    <cfRule type="cellIs" dxfId="305" priority="10" operator="equal">
      <formula>"Kosten"</formula>
    </cfRule>
    <cfRule type="cellIs" dxfId="304" priority="567" operator="equal">
      <formula>"Preis"</formula>
    </cfRule>
    <cfRule type="cellIs" dxfId="303" priority="566" operator="equal">
      <formula>0</formula>
    </cfRule>
  </conditionalFormatting>
  <conditionalFormatting sqref="F360">
    <cfRule type="expression" dxfId="302" priority="1052">
      <formula>AND($F$354&lt;&gt;"NEIN",$F$360="",$D$379&lt;&gt;0)</formula>
    </cfRule>
    <cfRule type="expression" dxfId="301" priority="1051">
      <formula>$J$357&lt;&gt;""</formula>
    </cfRule>
  </conditionalFormatting>
  <conditionalFormatting sqref="F444">
    <cfRule type="cellIs" dxfId="300" priority="789" operator="equal">
      <formula>"Ja"</formula>
    </cfRule>
    <cfRule type="cellIs" dxfId="299" priority="565" operator="equal">
      <formula>0</formula>
    </cfRule>
    <cfRule type="cellIs" dxfId="298" priority="2412" operator="equal">
      <formula>"Nein"</formula>
    </cfRule>
  </conditionalFormatting>
  <conditionalFormatting sqref="F447">
    <cfRule type="cellIs" dxfId="297" priority="1054" operator="equal">
      <formula>0</formula>
    </cfRule>
  </conditionalFormatting>
  <conditionalFormatting sqref="F448">
    <cfRule type="cellIs" dxfId="296" priority="563" operator="equal">
      <formula>"Ja"</formula>
    </cfRule>
    <cfRule type="cellIs" dxfId="295" priority="562" operator="equal">
      <formula>0</formula>
    </cfRule>
    <cfRule type="cellIs" dxfId="294" priority="564" operator="equal">
      <formula>"Nein"</formula>
    </cfRule>
  </conditionalFormatting>
  <conditionalFormatting sqref="F451">
    <cfRule type="cellIs" dxfId="293" priority="793" operator="equal">
      <formula>0</formula>
    </cfRule>
  </conditionalFormatting>
  <conditionalFormatting sqref="F452">
    <cfRule type="cellIs" dxfId="292" priority="561" operator="equal">
      <formula>"Nein"</formula>
    </cfRule>
    <cfRule type="cellIs" dxfId="291" priority="560" operator="equal">
      <formula>"Ja"</formula>
    </cfRule>
    <cfRule type="cellIs" dxfId="290" priority="559" operator="equal">
      <formula>0</formula>
    </cfRule>
  </conditionalFormatting>
  <conditionalFormatting sqref="F512">
    <cfRule type="cellIs" dxfId="289" priority="499" operator="equal">
      <formula>0</formula>
    </cfRule>
    <cfRule type="cellIs" dxfId="288" priority="500" operator="equal">
      <formula>"Ja"</formula>
    </cfRule>
    <cfRule type="cellIs" dxfId="287" priority="501" operator="equal">
      <formula>"Nein"</formula>
    </cfRule>
  </conditionalFormatting>
  <conditionalFormatting sqref="F515">
    <cfRule type="cellIs" dxfId="286" priority="504" operator="equal">
      <formula>0</formula>
    </cfRule>
  </conditionalFormatting>
  <conditionalFormatting sqref="F516">
    <cfRule type="cellIs" dxfId="285" priority="498" operator="equal">
      <formula>"Nein"</formula>
    </cfRule>
    <cfRule type="cellIs" dxfId="284" priority="497" operator="equal">
      <formula>"Ja"</formula>
    </cfRule>
    <cfRule type="cellIs" dxfId="283" priority="496" operator="equal">
      <formula>0</formula>
    </cfRule>
  </conditionalFormatting>
  <conditionalFormatting sqref="F519">
    <cfRule type="cellIs" dxfId="282" priority="503" operator="equal">
      <formula>0</formula>
    </cfRule>
  </conditionalFormatting>
  <conditionalFormatting sqref="F520">
    <cfRule type="cellIs" dxfId="281" priority="493" operator="equal">
      <formula>0</formula>
    </cfRule>
    <cfRule type="cellIs" dxfId="280" priority="494" operator="equal">
      <formula>"Ja"</formula>
    </cfRule>
    <cfRule type="cellIs" dxfId="279" priority="495" operator="equal">
      <formula>"Nein"</formula>
    </cfRule>
  </conditionalFormatting>
  <conditionalFormatting sqref="F580">
    <cfRule type="cellIs" dxfId="278" priority="484" operator="equal">
      <formula>"Ja"</formula>
    </cfRule>
    <cfRule type="cellIs" dxfId="277" priority="483" operator="equal">
      <formula>0</formula>
    </cfRule>
    <cfRule type="cellIs" dxfId="276" priority="485" operator="equal">
      <formula>"Nein"</formula>
    </cfRule>
  </conditionalFormatting>
  <conditionalFormatting sqref="F583">
    <cfRule type="cellIs" dxfId="275" priority="1060" operator="equal">
      <formula>0</formula>
    </cfRule>
  </conditionalFormatting>
  <conditionalFormatting sqref="F584">
    <cfRule type="cellIs" dxfId="274" priority="481" operator="equal">
      <formula>"Ja"</formula>
    </cfRule>
    <cfRule type="cellIs" dxfId="273" priority="480" operator="equal">
      <formula>0</formula>
    </cfRule>
    <cfRule type="cellIs" dxfId="272" priority="482" operator="equal">
      <formula>"Nein"</formula>
    </cfRule>
  </conditionalFormatting>
  <conditionalFormatting sqref="F587">
    <cfRule type="cellIs" dxfId="271" priority="486" operator="equal">
      <formula>0</formula>
    </cfRule>
  </conditionalFormatting>
  <conditionalFormatting sqref="F588">
    <cfRule type="cellIs" dxfId="270" priority="479" operator="equal">
      <formula>"Nein"</formula>
    </cfRule>
    <cfRule type="cellIs" dxfId="269" priority="478" operator="equal">
      <formula>"Ja"</formula>
    </cfRule>
    <cfRule type="cellIs" dxfId="268" priority="477" operator="equal">
      <formula>0</formula>
    </cfRule>
  </conditionalFormatting>
  <conditionalFormatting sqref="F648">
    <cfRule type="cellIs" dxfId="267" priority="467" operator="equal">
      <formula>"Nein"</formula>
    </cfRule>
    <cfRule type="cellIs" dxfId="266" priority="466" operator="equal">
      <formula>"Ja"</formula>
    </cfRule>
    <cfRule type="cellIs" dxfId="265" priority="465" operator="equal">
      <formula>0</formula>
    </cfRule>
  </conditionalFormatting>
  <conditionalFormatting sqref="F651">
    <cfRule type="cellIs" dxfId="264" priority="469" operator="equal">
      <formula>0</formula>
    </cfRule>
  </conditionalFormatting>
  <conditionalFormatting sqref="F652">
    <cfRule type="cellIs" dxfId="263" priority="464" operator="equal">
      <formula>"Nein"</formula>
    </cfRule>
    <cfRule type="cellIs" dxfId="262" priority="463" operator="equal">
      <formula>"Ja"</formula>
    </cfRule>
    <cfRule type="cellIs" dxfId="261" priority="462" operator="equal">
      <formula>0</formula>
    </cfRule>
  </conditionalFormatting>
  <conditionalFormatting sqref="F655">
    <cfRule type="cellIs" dxfId="260" priority="468" operator="equal">
      <formula>0</formula>
    </cfRule>
  </conditionalFormatting>
  <conditionalFormatting sqref="F656">
    <cfRule type="cellIs" dxfId="259" priority="461" operator="equal">
      <formula>"Nein"</formula>
    </cfRule>
    <cfRule type="cellIs" dxfId="258" priority="460" operator="equal">
      <formula>"Ja"</formula>
    </cfRule>
    <cfRule type="cellIs" dxfId="257" priority="459" operator="equal">
      <formula>0</formula>
    </cfRule>
  </conditionalFormatting>
  <conditionalFormatting sqref="F722">
    <cfRule type="cellIs" dxfId="256" priority="449" operator="equal">
      <formula>0</formula>
    </cfRule>
    <cfRule type="cellIs" dxfId="255" priority="450" operator="equal">
      <formula>"Ja"</formula>
    </cfRule>
    <cfRule type="cellIs" dxfId="254" priority="451" operator="equal">
      <formula>"Nein"</formula>
    </cfRule>
  </conditionalFormatting>
  <conditionalFormatting sqref="F725">
    <cfRule type="cellIs" dxfId="253" priority="2213" operator="equal">
      <formula>0</formula>
    </cfRule>
  </conditionalFormatting>
  <conditionalFormatting sqref="F726">
    <cfRule type="cellIs" dxfId="252" priority="446" operator="equal">
      <formula>0</formula>
    </cfRule>
    <cfRule type="cellIs" dxfId="251" priority="447" operator="equal">
      <formula>"Ja"</formula>
    </cfRule>
    <cfRule type="cellIs" dxfId="250" priority="448" operator="equal">
      <formula>"Nein"</formula>
    </cfRule>
  </conditionalFormatting>
  <conditionalFormatting sqref="F729">
    <cfRule type="cellIs" dxfId="249" priority="1067" operator="equal">
      <formula>0</formula>
    </cfRule>
  </conditionalFormatting>
  <conditionalFormatting sqref="F730">
    <cfRule type="cellIs" dxfId="248" priority="443" operator="equal">
      <formula>0</formula>
    </cfRule>
    <cfRule type="cellIs" dxfId="247" priority="445" operator="equal">
      <formula>"Nein"</formula>
    </cfRule>
    <cfRule type="cellIs" dxfId="246" priority="444" operator="equal">
      <formula>"Ja"</formula>
    </cfRule>
  </conditionalFormatting>
  <conditionalFormatting sqref="F796">
    <cfRule type="cellIs" dxfId="245" priority="248" operator="equal">
      <formula>"Ja"</formula>
    </cfRule>
    <cfRule type="cellIs" dxfId="244" priority="247" operator="equal">
      <formula>0</formula>
    </cfRule>
    <cfRule type="cellIs" dxfId="243" priority="249" operator="equal">
      <formula>"Nein"</formula>
    </cfRule>
  </conditionalFormatting>
  <conditionalFormatting sqref="F799">
    <cfRule type="cellIs" dxfId="242" priority="251" operator="equal">
      <formula>0</formula>
    </cfRule>
  </conditionalFormatting>
  <conditionalFormatting sqref="F800">
    <cfRule type="cellIs" dxfId="241" priority="246" operator="equal">
      <formula>"Nein"</formula>
    </cfRule>
    <cfRule type="cellIs" dxfId="240" priority="244" operator="equal">
      <formula>0</formula>
    </cfRule>
    <cfRule type="cellIs" dxfId="239" priority="245" operator="equal">
      <formula>"Ja"</formula>
    </cfRule>
  </conditionalFormatting>
  <conditionalFormatting sqref="F803">
    <cfRule type="cellIs" dxfId="238" priority="250" operator="equal">
      <formula>0</formula>
    </cfRule>
  </conditionalFormatting>
  <conditionalFormatting sqref="F804">
    <cfRule type="cellIs" dxfId="237" priority="242" operator="equal">
      <formula>"Ja"</formula>
    </cfRule>
    <cfRule type="cellIs" dxfId="236" priority="243" operator="equal">
      <formula>"Nein"</formula>
    </cfRule>
    <cfRule type="cellIs" dxfId="235" priority="241" operator="equal">
      <formula>0</formula>
    </cfRule>
  </conditionalFormatting>
  <conditionalFormatting sqref="F324:G324">
    <cfRule type="expression" dxfId="234" priority="2282">
      <formula>#REF!&lt;&gt;""</formula>
    </cfRule>
  </conditionalFormatting>
  <conditionalFormatting sqref="F325:G325">
    <cfRule type="expression" dxfId="233" priority="2283">
      <formula>#REF!&lt;&gt;""</formula>
    </cfRule>
  </conditionalFormatting>
  <conditionalFormatting sqref="F326:G326">
    <cfRule type="expression" dxfId="232" priority="2284">
      <formula>#REF!&lt;&gt;""</formula>
    </cfRule>
  </conditionalFormatting>
  <conditionalFormatting sqref="F336:G338">
    <cfRule type="cellIs" dxfId="231" priority="990" operator="between">
      <formula>0</formula>
      <formula>0</formula>
    </cfRule>
  </conditionalFormatting>
  <conditionalFormatting sqref="F466:G468">
    <cfRule type="cellIs" dxfId="230" priority="287" operator="between">
      <formula>0</formula>
      <formula>0</formula>
    </cfRule>
  </conditionalFormatting>
  <conditionalFormatting sqref="F534:G536">
    <cfRule type="cellIs" dxfId="229" priority="286" operator="between">
      <formula>0</formula>
      <formula>0</formula>
    </cfRule>
  </conditionalFormatting>
  <conditionalFormatting sqref="F602:G604">
    <cfRule type="cellIs" dxfId="228" priority="285" operator="between">
      <formula>0</formula>
      <formula>0</formula>
    </cfRule>
  </conditionalFormatting>
  <conditionalFormatting sqref="F670:G672">
    <cfRule type="cellIs" dxfId="227" priority="284" operator="between">
      <formula>0</formula>
      <formula>0</formula>
    </cfRule>
  </conditionalFormatting>
  <conditionalFormatting sqref="F744:G746">
    <cfRule type="cellIs" dxfId="226" priority="283" operator="between">
      <formula>0</formula>
      <formula>0</formula>
    </cfRule>
  </conditionalFormatting>
  <conditionalFormatting sqref="F818:G820">
    <cfRule type="cellIs" dxfId="225" priority="227" operator="between">
      <formula>0</formula>
      <formula>0</formula>
    </cfRule>
  </conditionalFormatting>
  <conditionalFormatting sqref="F36:H44">
    <cfRule type="cellIs" dxfId="224" priority="984" operator="equal">
      <formula>0</formula>
    </cfRule>
  </conditionalFormatting>
  <conditionalFormatting sqref="F161:H163">
    <cfRule type="cellIs" dxfId="223" priority="991" operator="between">
      <formula>0</formula>
      <formula>0</formula>
    </cfRule>
  </conditionalFormatting>
  <conditionalFormatting sqref="F251:H251 A252:H252 A253 A254:H260">
    <cfRule type="expression" dxfId="222" priority="50">
      <formula>AND($H$243=1,$H$247=1,$A$251=$M$253)</formula>
    </cfRule>
  </conditionalFormatting>
  <conditionalFormatting sqref="F696:H699">
    <cfRule type="cellIs" dxfId="221" priority="29" operator="equal">
      <formula>0</formula>
    </cfRule>
  </conditionalFormatting>
  <conditionalFormatting sqref="F770:H773">
    <cfRule type="cellIs" dxfId="220" priority="30" operator="equal">
      <formula>0</formula>
    </cfRule>
  </conditionalFormatting>
  <conditionalFormatting sqref="G45">
    <cfRule type="expression" dxfId="219" priority="927">
      <formula>OR(_OK?&lt;&gt;"OK!",_OK_KV?&lt;&gt;"OK_KV!")</formula>
    </cfRule>
  </conditionalFormatting>
  <conditionalFormatting sqref="G70">
    <cfRule type="cellIs" dxfId="218" priority="25" operator="lessThan">
      <formula>0</formula>
    </cfRule>
  </conditionalFormatting>
  <conditionalFormatting sqref="G242">
    <cfRule type="cellIs" dxfId="217" priority="588" operator="equal">
      <formula>"Ja"</formula>
    </cfRule>
    <cfRule type="cellIs" dxfId="216" priority="589" operator="equal">
      <formula>"Nein"</formula>
    </cfRule>
    <cfRule type="cellIs" dxfId="215" priority="587" operator="equal">
      <formula>0</formula>
    </cfRule>
  </conditionalFormatting>
  <conditionalFormatting sqref="G245">
    <cfRule type="cellIs" dxfId="214" priority="586" operator="equal">
      <formula>"Nein"</formula>
    </cfRule>
    <cfRule type="cellIs" dxfId="213" priority="584" operator="equal">
      <formula>0</formula>
    </cfRule>
    <cfRule type="cellIs" dxfId="212" priority="585" operator="equal">
      <formula>"Ja"</formula>
    </cfRule>
  </conditionalFormatting>
  <conditionalFormatting sqref="G264">
    <cfRule type="cellIs" dxfId="211" priority="49" operator="equal">
      <formula>0</formula>
    </cfRule>
  </conditionalFormatting>
  <conditionalFormatting sqref="G303">
    <cfRule type="expression" dxfId="210" priority="433">
      <formula>$H$302="in €"</formula>
    </cfRule>
  </conditionalFormatting>
  <conditionalFormatting sqref="G362 A363:H363 A364:A365 E365:F365 G366">
    <cfRule type="expression" dxfId="209" priority="15">
      <formula>$B$362=$M$411</formula>
    </cfRule>
  </conditionalFormatting>
  <conditionalFormatting sqref="G422">
    <cfRule type="expression" dxfId="208" priority="893">
      <formula>OR(_OK?&lt;&gt;"OK!",_OK_KV?&lt;&gt;"OK_KV!")</formula>
    </cfRule>
  </conditionalFormatting>
  <conditionalFormatting sqref="G444 A443 D443:E443">
    <cfRule type="expression" dxfId="207" priority="1386">
      <formula>$E$438&lt;&gt;$M$440</formula>
    </cfRule>
  </conditionalFormatting>
  <conditionalFormatting sqref="G490">
    <cfRule type="expression" dxfId="206" priority="890">
      <formula>OR(_OK?&lt;&gt;"OK!",_OK_KV?&lt;&gt;"OK_KV!")</formula>
    </cfRule>
  </conditionalFormatting>
  <conditionalFormatting sqref="G558">
    <cfRule type="expression" dxfId="205" priority="891">
      <formula>OR(_OK?&lt;&gt;"OK!",_OK_KV?&lt;&gt;"OK_KV!")</formula>
    </cfRule>
  </conditionalFormatting>
  <conditionalFormatting sqref="G626">
    <cfRule type="expression" dxfId="204" priority="889">
      <formula>OR(_OK?&lt;&gt;"OK!",_OK_KV?&lt;&gt;"OK_KV!")</formula>
    </cfRule>
  </conditionalFormatting>
  <conditionalFormatting sqref="G700">
    <cfRule type="expression" dxfId="203" priority="871">
      <formula>OR(_OK?&lt;&gt;"OK!",_OK_KV?&lt;&gt;"OK_KV!")</formula>
    </cfRule>
  </conditionalFormatting>
  <conditionalFormatting sqref="G774">
    <cfRule type="expression" dxfId="202" priority="260">
      <formula>OR(_OK?&lt;&gt;"OK!",_OK_KV?&lt;&gt;"OK_KV!")</formula>
    </cfRule>
  </conditionalFormatting>
  <conditionalFormatting sqref="G154:H154">
    <cfRule type="expression" dxfId="201" priority="815">
      <formula>SUM($E$55)=0</formula>
    </cfRule>
  </conditionalFormatting>
  <conditionalFormatting sqref="G174:H177 G184:H188 G195:H199">
    <cfRule type="cellIs" dxfId="200" priority="394" operator="equal">
      <formula>0</formula>
    </cfRule>
  </conditionalFormatting>
  <conditionalFormatting sqref="G195:H199">
    <cfRule type="cellIs" dxfId="199" priority="980" operator="equal">
      <formula>0</formula>
    </cfRule>
  </conditionalFormatting>
  <conditionalFormatting sqref="G204:H207">
    <cfRule type="expression" dxfId="198" priority="94">
      <formula>$G$207=$M$210</formula>
    </cfRule>
  </conditionalFormatting>
  <conditionalFormatting sqref="G207:H207">
    <cfRule type="cellIs" dxfId="197" priority="103" operator="equal">
      <formula>0</formula>
    </cfRule>
  </conditionalFormatting>
  <conditionalFormatting sqref="G286:H307 A300:D303">
    <cfRule type="expression" dxfId="196" priority="429">
      <formula>$H$285&lt;&gt;_Ja</formula>
    </cfRule>
  </conditionalFormatting>
  <conditionalFormatting sqref="G294:H294">
    <cfRule type="expression" dxfId="195" priority="434">
      <formula>$H$293="in €"</formula>
    </cfRule>
  </conditionalFormatting>
  <conditionalFormatting sqref="G352:H360">
    <cfRule type="expression" dxfId="194" priority="71">
      <formula>$F$354="Nein"</formula>
    </cfRule>
  </conditionalFormatting>
  <conditionalFormatting sqref="H6">
    <cfRule type="colorScale" priority="929">
      <colorScale>
        <cfvo type="num" val="0"/>
        <cfvo type="num" val="60"/>
        <cfvo type="num" val="100"/>
        <color rgb="FFFF0000"/>
        <color rgb="FFD78C29"/>
        <color rgb="FFFFC000"/>
      </colorScale>
    </cfRule>
  </conditionalFormatting>
  <conditionalFormatting sqref="H34">
    <cfRule type="expression" dxfId="193" priority="882">
      <formula>(TODAY()-$H$34)&gt;365</formula>
    </cfRule>
  </conditionalFormatting>
  <conditionalFormatting sqref="H56">
    <cfRule type="expression" dxfId="192" priority="684">
      <formula>$H$56=""</formula>
    </cfRule>
  </conditionalFormatting>
  <conditionalFormatting sqref="H77">
    <cfRule type="cellIs" dxfId="191" priority="597" operator="equal">
      <formula>"Ja"</formula>
    </cfRule>
    <cfRule type="cellIs" dxfId="190" priority="598" operator="equal">
      <formula>"Nein"</formula>
    </cfRule>
    <cfRule type="cellIs" dxfId="189" priority="596" operator="equal">
      <formula>0</formula>
    </cfRule>
  </conditionalFormatting>
  <conditionalFormatting sqref="H97">
    <cfRule type="cellIs" dxfId="188" priority="595" operator="equal">
      <formula>"Nein"</formula>
    </cfRule>
    <cfRule type="cellIs" dxfId="187" priority="594" operator="equal">
      <formula>"Ja"</formula>
    </cfRule>
    <cfRule type="cellIs" dxfId="186" priority="593" operator="equal">
      <formula>0</formula>
    </cfRule>
  </conditionalFormatting>
  <conditionalFormatting sqref="H130:H131">
    <cfRule type="cellIs" dxfId="185" priority="996" operator="between">
      <formula>0</formula>
      <formula>0</formula>
    </cfRule>
  </conditionalFormatting>
  <conditionalFormatting sqref="H142">
    <cfRule type="cellIs" dxfId="184" priority="690" operator="equal">
      <formula>"KEINE"</formula>
    </cfRule>
  </conditionalFormatting>
  <conditionalFormatting sqref="H150:H151">
    <cfRule type="cellIs" dxfId="183" priority="987" operator="between">
      <formula>0</formula>
      <formula>0</formula>
    </cfRule>
  </conditionalFormatting>
  <conditionalFormatting sqref="H269:H273">
    <cfRule type="cellIs" dxfId="182" priority="42" operator="equal">
      <formula>0</formula>
    </cfRule>
  </conditionalFormatting>
  <conditionalFormatting sqref="H281">
    <cfRule type="containsText" dxfId="181" priority="395" operator="containsText" text="UNGÜLTIG">
      <formula>NOT(ISERROR(SEARCH("UNGÜLTIG",H281)))</formula>
    </cfRule>
  </conditionalFormatting>
  <conditionalFormatting sqref="H285">
    <cfRule type="cellIs" dxfId="180" priority="576" operator="equal">
      <formula>"Ja"</formula>
    </cfRule>
    <cfRule type="cellIs" dxfId="179" priority="575" operator="equal">
      <formula>0</formula>
    </cfRule>
    <cfRule type="cellIs" dxfId="178" priority="577" operator="equal">
      <formula>"Nein"</formula>
    </cfRule>
  </conditionalFormatting>
  <conditionalFormatting sqref="H293">
    <cfRule type="cellIs" dxfId="177" priority="432" operator="equal">
      <formula>0</formula>
    </cfRule>
  </conditionalFormatting>
  <conditionalFormatting sqref="H302">
    <cfRule type="cellIs" dxfId="176" priority="430" operator="equal">
      <formula>0</formula>
    </cfRule>
  </conditionalFormatting>
  <conditionalFormatting sqref="H303">
    <cfRule type="expression" dxfId="175" priority="428">
      <formula>$H$302="in €"</formula>
    </cfRule>
  </conditionalFormatting>
  <conditionalFormatting sqref="H336:H339">
    <cfRule type="cellIs" dxfId="174" priority="48" operator="equal">
      <formula>0</formula>
    </cfRule>
  </conditionalFormatting>
  <conditionalFormatting sqref="H426">
    <cfRule type="expression" dxfId="173" priority="602">
      <formula>$H$426=""</formula>
    </cfRule>
  </conditionalFormatting>
  <conditionalFormatting sqref="H441">
    <cfRule type="cellIs" dxfId="172" priority="380" operator="between">
      <formula>0</formula>
      <formula>0</formula>
    </cfRule>
  </conditionalFormatting>
  <conditionalFormatting sqref="H509">
    <cfRule type="cellIs" dxfId="171" priority="172" operator="between">
      <formula>0</formula>
      <formula>0</formula>
    </cfRule>
  </conditionalFormatting>
  <conditionalFormatting sqref="H577">
    <cfRule type="cellIs" dxfId="170" priority="160" operator="between">
      <formula>0</formula>
      <formula>0</formula>
    </cfRule>
  </conditionalFormatting>
  <conditionalFormatting sqref="H645">
    <cfRule type="cellIs" dxfId="169" priority="149" operator="between">
      <formula>0</formula>
      <formula>0</formula>
    </cfRule>
  </conditionalFormatting>
  <conditionalFormatting sqref="H719">
    <cfRule type="cellIs" dxfId="168" priority="138" operator="between">
      <formula>0</formula>
      <formula>0</formula>
    </cfRule>
  </conditionalFormatting>
  <conditionalFormatting sqref="H793">
    <cfRule type="cellIs" dxfId="167" priority="127" operator="between">
      <formula>0</formula>
      <formula>0</formula>
    </cfRule>
  </conditionalFormatting>
  <conditionalFormatting sqref="I418:I480">
    <cfRule type="expression" dxfId="166" priority="80">
      <formula>OR($A$421="",$D$421=$M$283)</formula>
    </cfRule>
  </conditionalFormatting>
  <conditionalFormatting sqref="I486:I548">
    <cfRule type="expression" dxfId="165" priority="79">
      <formula>OR($A$489="",$D$489=$M$283)</formula>
    </cfRule>
  </conditionalFormatting>
  <conditionalFormatting sqref="I554:I616">
    <cfRule type="expression" dxfId="164" priority="78">
      <formula>OR($A$557="",$D$557=$M$283)</formula>
    </cfRule>
  </conditionalFormatting>
  <conditionalFormatting sqref="I622:I684">
    <cfRule type="expression" dxfId="163" priority="77">
      <formula>OR($A$625="",$D$625=$M$283)</formula>
    </cfRule>
  </conditionalFormatting>
  <conditionalFormatting sqref="I690:I758">
    <cfRule type="expression" dxfId="162" priority="76">
      <formula>OR($A$695="",$D$4695=$M$283)</formula>
    </cfRule>
  </conditionalFormatting>
  <conditionalFormatting sqref="I764:I833">
    <cfRule type="expression" dxfId="161" priority="75">
      <formula>OR($A$769="",$D$769=$M$283)</formula>
    </cfRule>
  </conditionalFormatting>
  <conditionalFormatting sqref="J47 K49:L49 J50">
    <cfRule type="expression" dxfId="160" priority="2672">
      <formula>$J$47&lt;&gt;""</formula>
    </cfRule>
  </conditionalFormatting>
  <conditionalFormatting sqref="J236">
    <cfRule type="expression" dxfId="159" priority="327">
      <formula>$A$421=""</formula>
    </cfRule>
  </conditionalFormatting>
  <conditionalFormatting sqref="J470 A470:H471">
    <cfRule type="expression" dxfId="158" priority="47">
      <formula>SUM($F$466:$H$468)=0</formula>
    </cfRule>
  </conditionalFormatting>
  <conditionalFormatting sqref="J528">
    <cfRule type="expression" dxfId="157" priority="326">
      <formula>$A$421=""</formula>
    </cfRule>
  </conditionalFormatting>
  <conditionalFormatting sqref="J538 A538:H539">
    <cfRule type="expression" dxfId="156" priority="40">
      <formula>SUM($F$534:$H$536)=0</formula>
    </cfRule>
  </conditionalFormatting>
  <conditionalFormatting sqref="J596">
    <cfRule type="expression" dxfId="155" priority="325">
      <formula>$A$421=""</formula>
    </cfRule>
  </conditionalFormatting>
  <conditionalFormatting sqref="J664">
    <cfRule type="expression" dxfId="154" priority="324">
      <formula>$A$421=""</formula>
    </cfRule>
  </conditionalFormatting>
  <conditionalFormatting sqref="J738">
    <cfRule type="expression" dxfId="153" priority="323">
      <formula>$A$421=""</formula>
    </cfRule>
  </conditionalFormatting>
  <conditionalFormatting sqref="J812">
    <cfRule type="expression" dxfId="152" priority="235">
      <formula>$A$421=""</formula>
    </cfRule>
  </conditionalFormatting>
  <conditionalFormatting sqref="J6:K17">
    <cfRule type="expression" dxfId="151" priority="823">
      <formula>$J$6&lt;&gt;""</formula>
    </cfRule>
  </conditionalFormatting>
  <conditionalFormatting sqref="J53:L56 F55:H55 J57">
    <cfRule type="expression" dxfId="150" priority="688">
      <formula>$E$55=0</formula>
    </cfRule>
  </conditionalFormatting>
  <conditionalFormatting sqref="J77:L83 J84 J86:L88 J89 J90:L97">
    <cfRule type="expression" dxfId="149" priority="707">
      <formula>$H$77="Nein"</formula>
    </cfRule>
  </conditionalFormatting>
  <conditionalFormatting sqref="J100:L110">
    <cfRule type="expression" dxfId="148" priority="708">
      <formula>$H$97="Nein"</formula>
    </cfRule>
  </conditionalFormatting>
  <conditionalFormatting sqref="J140:L146 K147:K149 J150:L154">
    <cfRule type="expression" dxfId="147" priority="691">
      <formula>$E$55=0</formula>
    </cfRule>
  </conditionalFormatting>
  <conditionalFormatting sqref="J350:L353">
    <cfRule type="expression" dxfId="146" priority="2">
      <formula>$C$350&lt;&gt;$M$358</formula>
    </cfRule>
  </conditionalFormatting>
  <conditionalFormatting sqref="J422:L426 J429:L436 J437 J439:L439 J440 J444:L459 J460 J477:L483 J512:L525">
    <cfRule type="expression" dxfId="145" priority="640">
      <formula>$A$421=""</formula>
    </cfRule>
  </conditionalFormatting>
  <conditionalFormatting sqref="J427:L427">
    <cfRule type="expression" dxfId="144" priority="192">
      <formula>$A$489=""</formula>
    </cfRule>
  </conditionalFormatting>
  <conditionalFormatting sqref="J444:L454">
    <cfRule type="expression" dxfId="143" priority="37">
      <formula>$E$443&lt;&gt;$M$446</formula>
    </cfRule>
  </conditionalFormatting>
  <conditionalFormatting sqref="J461:L474">
    <cfRule type="expression" dxfId="142" priority="338">
      <formula>$A$421=""</formula>
    </cfRule>
  </conditionalFormatting>
  <conditionalFormatting sqref="J490:L492 J494:L495 J497:L504 J505 J507:L507 J508 J512:L527 J529:L537 J542:L542 J545:L551 J563 K564:L564">
    <cfRule type="expression" dxfId="141" priority="519">
      <formula>$A$489=""</formula>
    </cfRule>
  </conditionalFormatting>
  <conditionalFormatting sqref="J493:L493">
    <cfRule type="expression" dxfId="140" priority="186">
      <formula>$A$421=""</formula>
    </cfRule>
  </conditionalFormatting>
  <conditionalFormatting sqref="J512:L522">
    <cfRule type="expression" dxfId="139" priority="36">
      <formula>$E$511&lt;&gt;$M$514</formula>
    </cfRule>
  </conditionalFormatting>
  <conditionalFormatting sqref="J538:L541">
    <cfRule type="expression" dxfId="138" priority="346">
      <formula>$A$421=""</formula>
    </cfRule>
  </conditionalFormatting>
  <conditionalFormatting sqref="J580:L589">
    <cfRule type="expression" dxfId="137" priority="35">
      <formula>$E$579&lt;&gt;$M$582</formula>
    </cfRule>
  </conditionalFormatting>
  <conditionalFormatting sqref="J606:L609">
    <cfRule type="expression" dxfId="136" priority="337">
      <formula>$A$421=""</formula>
    </cfRule>
  </conditionalFormatting>
  <conditionalFormatting sqref="J632:L632">
    <cfRule type="expression" dxfId="135" priority="190">
      <formula>$A$489=""</formula>
    </cfRule>
  </conditionalFormatting>
  <conditionalFormatting sqref="J648:L657">
    <cfRule type="expression" dxfId="134" priority="34">
      <formula>$E$647&lt;&gt;$M$650</formula>
    </cfRule>
  </conditionalFormatting>
  <conditionalFormatting sqref="J674:L677">
    <cfRule type="expression" dxfId="133" priority="336">
      <formula>$A$421=""</formula>
    </cfRule>
  </conditionalFormatting>
  <conditionalFormatting sqref="J690:L694 J696:L717 A696:H758 J718 J722:L761 C866:H866 A867:H869 A883:H883">
    <cfRule type="expression" dxfId="132" priority="27">
      <formula>OR($A$695="",$D$695=$M$283)</formula>
    </cfRule>
  </conditionalFormatting>
  <conditionalFormatting sqref="J700:L701">
    <cfRule type="expression" dxfId="131" priority="1230">
      <formula>$J$700=$M$701</formula>
    </cfRule>
  </conditionalFormatting>
  <conditionalFormatting sqref="J706:L706">
    <cfRule type="expression" dxfId="130" priority="189">
      <formula>$A$489=""</formula>
    </cfRule>
  </conditionalFormatting>
  <conditionalFormatting sqref="J722:L731">
    <cfRule type="expression" dxfId="129" priority="33">
      <formula>$E$721&lt;&gt;$M$724</formula>
    </cfRule>
  </conditionalFormatting>
  <conditionalFormatting sqref="J748:L751">
    <cfRule type="expression" dxfId="128" priority="335">
      <formula>$A$421=""</formula>
    </cfRule>
  </conditionalFormatting>
  <conditionalFormatting sqref="J774:L775">
    <cfRule type="expression" dxfId="127" priority="1231">
      <formula>$J$774=$M$775</formula>
    </cfRule>
  </conditionalFormatting>
  <conditionalFormatting sqref="J780:L780">
    <cfRule type="expression" dxfId="126" priority="188">
      <formula>$A$489=""</formula>
    </cfRule>
  </conditionalFormatting>
  <conditionalFormatting sqref="J796:L805">
    <cfRule type="expression" dxfId="125" priority="32">
      <formula>$E$795&lt;&gt;$M$798</formula>
    </cfRule>
  </conditionalFormatting>
  <conditionalFormatting sqref="J822:L825">
    <cfRule type="expression" dxfId="124" priority="237">
      <formula>$A$421=""</formula>
    </cfRule>
  </conditionalFormatting>
  <conditionalFormatting sqref="L6:L20">
    <cfRule type="expression" dxfId="123" priority="825">
      <formula>$L$6&lt;&gt;""</formula>
    </cfRule>
    <cfRule type="expression" dxfId="122" priority="3">
      <formula>$L$6=$Q$2</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G10" sqref="G10"/>
    </sheetView>
  </sheetViews>
  <sheetFormatPr baseColWidth="10" defaultRowHeight="15.75" x14ac:dyDescent="0.5"/>
  <cols>
    <col min="1" max="1" width="4.21875" style="880" customWidth="1"/>
    <col min="2" max="2" width="10.21875" style="880" customWidth="1"/>
    <col min="3" max="9" width="9.5" style="880" customWidth="1"/>
    <col min="10" max="10" width="10.6640625" style="880"/>
    <col min="11" max="18" width="10.6640625" style="1268" hidden="1" customWidth="1"/>
    <col min="19" max="23" width="10.6640625" style="880" customWidth="1"/>
    <col min="24" max="16384" width="10.6640625" style="880"/>
  </cols>
  <sheetData>
    <row r="1" spans="1:18" x14ac:dyDescent="0.5">
      <c r="A1" s="3147" t="s">
        <v>1100</v>
      </c>
      <c r="B1" s="3148"/>
      <c r="C1" s="3148"/>
      <c r="D1" s="3148"/>
      <c r="E1" s="3148"/>
      <c r="F1" s="3148"/>
      <c r="G1" s="3148"/>
      <c r="H1" s="3148"/>
      <c r="I1" s="3149"/>
      <c r="K1" s="1330"/>
      <c r="L1" s="1330"/>
      <c r="M1" s="1330"/>
      <c r="N1" s="1330"/>
      <c r="O1" s="1330"/>
      <c r="P1" s="1330"/>
      <c r="Q1" s="1330"/>
      <c r="R1" s="1330"/>
    </row>
    <row r="2" spans="1:18" x14ac:dyDescent="0.5">
      <c r="A2" s="3150"/>
      <c r="B2" s="3151"/>
      <c r="C2" s="3151"/>
      <c r="D2" s="3151"/>
      <c r="E2" s="3151"/>
      <c r="F2" s="3151"/>
      <c r="G2" s="3151"/>
      <c r="H2" s="3151"/>
      <c r="I2" s="3152"/>
    </row>
    <row r="3" spans="1:18" x14ac:dyDescent="0.5">
      <c r="K3" s="1268" t="s">
        <v>419</v>
      </c>
    </row>
    <row r="4" spans="1:18" ht="20" customHeight="1" x14ac:dyDescent="0.5">
      <c r="A4" s="1526" t="s">
        <v>1072</v>
      </c>
      <c r="B4" s="1341"/>
      <c r="C4" s="1341"/>
      <c r="D4" s="1341"/>
      <c r="E4" s="1341"/>
      <c r="F4" s="1341"/>
      <c r="G4" s="1341"/>
      <c r="H4" s="1341"/>
      <c r="I4" s="1342"/>
      <c r="K4" s="1268" t="s">
        <v>980</v>
      </c>
    </row>
    <row r="5" spans="1:18" x14ac:dyDescent="0.5">
      <c r="A5" s="3182" t="s">
        <v>1055</v>
      </c>
      <c r="B5" s="3183"/>
      <c r="C5" s="3183"/>
      <c r="D5" s="3183"/>
      <c r="E5" s="3184"/>
      <c r="F5" s="3176" t="s">
        <v>1045</v>
      </c>
      <c r="G5" s="3177"/>
      <c r="H5" s="3178" t="s">
        <v>1051</v>
      </c>
      <c r="I5" s="3180" t="s">
        <v>1052</v>
      </c>
      <c r="K5" s="1268" t="s">
        <v>977</v>
      </c>
    </row>
    <row r="6" spans="1:18" x14ac:dyDescent="0.5">
      <c r="A6" s="3185"/>
      <c r="B6" s="3186"/>
      <c r="C6" s="3186"/>
      <c r="D6" s="3186"/>
      <c r="E6" s="3187"/>
      <c r="F6" s="1842" t="s">
        <v>1053</v>
      </c>
      <c r="G6" s="1843" t="s">
        <v>1054</v>
      </c>
      <c r="H6" s="3179"/>
      <c r="I6" s="3181"/>
      <c r="K6" s="1268" t="s">
        <v>981</v>
      </c>
    </row>
    <row r="7" spans="1:18" x14ac:dyDescent="0.5">
      <c r="A7" s="1839" t="s">
        <v>1048</v>
      </c>
      <c r="B7" s="1840"/>
      <c r="C7" s="1840"/>
      <c r="D7" s="1840"/>
      <c r="E7" s="1840"/>
      <c r="F7" s="1317">
        <v>0.15</v>
      </c>
      <c r="G7" s="1312">
        <v>0</v>
      </c>
      <c r="H7" s="1835" t="str">
        <f ca="1">IF(KALKULATION!J55&lt;&gt;"","X","")</f>
        <v/>
      </c>
      <c r="I7" s="1836" t="s">
        <v>420</v>
      </c>
    </row>
    <row r="8" spans="1:18" x14ac:dyDescent="0.5">
      <c r="A8" s="1839" t="s">
        <v>1049</v>
      </c>
      <c r="B8" s="1840"/>
      <c r="C8" s="1840"/>
      <c r="D8" s="1840"/>
      <c r="E8" s="1840"/>
      <c r="F8" s="1317">
        <v>0.1</v>
      </c>
      <c r="G8" s="1312">
        <v>0</v>
      </c>
      <c r="H8" s="1835" t="str">
        <f>IF(KALKULATION!J61&lt;&gt;"","X","")</f>
        <v/>
      </c>
      <c r="I8" s="1836" t="s">
        <v>421</v>
      </c>
    </row>
    <row r="9" spans="1:18" x14ac:dyDescent="0.5">
      <c r="A9" s="1839" t="s">
        <v>1050</v>
      </c>
      <c r="B9" s="1840"/>
      <c r="C9" s="1840"/>
      <c r="D9" s="1840"/>
      <c r="E9" s="1840"/>
      <c r="F9" s="1318">
        <v>48</v>
      </c>
      <c r="G9" s="1313">
        <v>38.5</v>
      </c>
      <c r="H9" s="1835" t="str">
        <f ca="1">IF(KALKULATION!J95&lt;&gt;"","X","")</f>
        <v/>
      </c>
      <c r="I9" s="1836" t="s">
        <v>1046</v>
      </c>
    </row>
    <row r="10" spans="1:18" x14ac:dyDescent="0.5">
      <c r="A10" s="1839" t="s">
        <v>1056</v>
      </c>
      <c r="B10" s="1840"/>
      <c r="C10" s="1840"/>
      <c r="D10" s="1840"/>
      <c r="E10" s="1840"/>
      <c r="F10" s="1317">
        <v>0.85</v>
      </c>
      <c r="G10" s="1312">
        <v>0.6</v>
      </c>
      <c r="H10" s="1835" t="str">
        <f ca="1">IF(KALKULATION!J265&lt;&gt;"","X","")</f>
        <v/>
      </c>
      <c r="I10" s="1836" t="s">
        <v>422</v>
      </c>
    </row>
    <row r="11" spans="1:18" x14ac:dyDescent="0.5">
      <c r="A11" s="1839" t="s">
        <v>1057</v>
      </c>
      <c r="B11" s="1840"/>
      <c r="C11" s="1840"/>
      <c r="D11" s="1840"/>
      <c r="E11" s="1840"/>
      <c r="F11" s="1319">
        <v>3</v>
      </c>
      <c r="G11" s="1314">
        <v>1.9</v>
      </c>
      <c r="H11" s="1835" t="str">
        <f ca="1">IF(KALKULATION!J260&lt;&gt;"","X","")</f>
        <v/>
      </c>
      <c r="I11" s="1836" t="s">
        <v>423</v>
      </c>
    </row>
    <row r="12" spans="1:18" x14ac:dyDescent="0.5">
      <c r="A12" s="1839" t="s">
        <v>1058</v>
      </c>
      <c r="B12" s="1840"/>
      <c r="C12" s="1840"/>
      <c r="D12" s="1840"/>
      <c r="E12" s="1840"/>
      <c r="F12" s="1317">
        <v>0.15</v>
      </c>
      <c r="G12" s="1315">
        <v>0.05</v>
      </c>
      <c r="H12" s="1835" t="str">
        <f ca="1">IF(KALKULATION!J307&lt;&gt;"","X","")</f>
        <v/>
      </c>
      <c r="I12" s="1836" t="s">
        <v>424</v>
      </c>
    </row>
    <row r="13" spans="1:18" x14ac:dyDescent="0.5">
      <c r="A13" s="1841" t="s">
        <v>1059</v>
      </c>
      <c r="B13" s="1302"/>
      <c r="C13" s="1302"/>
      <c r="D13" s="1302"/>
      <c r="E13" s="1302"/>
      <c r="F13" s="1320">
        <v>0.3</v>
      </c>
      <c r="G13" s="1316">
        <v>0.09</v>
      </c>
      <c r="H13" s="1837" t="str">
        <f>IF(KALKULATION!K345&lt;&gt;"","X","")</f>
        <v/>
      </c>
      <c r="I13" s="1838" t="s">
        <v>1070</v>
      </c>
    </row>
    <row r="14" spans="1:18" ht="15.75" customHeight="1" x14ac:dyDescent="0.5">
      <c r="A14" s="3188" t="str">
        <f ca="1">IFERROR(IF(FIND("X",H7&amp;H8&amp;H9&amp;H10&amp;H11&amp;H12&amp;H13)&gt;0,K14,""),K15)</f>
        <v>Alle mittels Richtwerte beurteilten Punkte liegen innerhalb der angegebenen Grenzwerte.</v>
      </c>
      <c r="B14" s="3189"/>
      <c r="C14" s="3189"/>
      <c r="D14" s="3189"/>
      <c r="E14" s="3189"/>
      <c r="F14" s="3189"/>
      <c r="G14" s="3189"/>
      <c r="H14" s="3189"/>
      <c r="I14" s="3190"/>
      <c r="K14" s="1945" t="s">
        <v>1079</v>
      </c>
    </row>
    <row r="15" spans="1:18" x14ac:dyDescent="0.5">
      <c r="A15" s="3191"/>
      <c r="B15" s="3192"/>
      <c r="C15" s="3192"/>
      <c r="D15" s="3192"/>
      <c r="E15" s="3192"/>
      <c r="F15" s="3192"/>
      <c r="G15" s="3192"/>
      <c r="H15" s="3192"/>
      <c r="I15" s="3193"/>
      <c r="K15" s="1945" t="s">
        <v>1060</v>
      </c>
    </row>
    <row r="16" spans="1:18" x14ac:dyDescent="0.5">
      <c r="A16" s="3194"/>
      <c r="B16" s="3195"/>
      <c r="C16" s="3195"/>
      <c r="D16" s="3195"/>
      <c r="E16" s="3195"/>
      <c r="F16" s="3195"/>
      <c r="G16" s="3195"/>
      <c r="H16" s="3195"/>
      <c r="I16" s="3196"/>
    </row>
    <row r="18" spans="1:10" x14ac:dyDescent="0.5">
      <c r="A18" s="1340" t="s">
        <v>342</v>
      </c>
      <c r="B18" s="1341"/>
      <c r="C18" s="1341"/>
      <c r="D18" s="1341"/>
      <c r="E18" s="1341"/>
      <c r="F18" s="1341"/>
      <c r="G18" s="1341"/>
      <c r="H18" s="1341"/>
      <c r="I18" s="1342"/>
    </row>
    <row r="19" spans="1:10" x14ac:dyDescent="0.5">
      <c r="A19" s="3158"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Kalkulation konnte mit einem Ergebnis abgeschlossen werden.</v>
      </c>
      <c r="B19" s="3159"/>
      <c r="C19" s="3159"/>
      <c r="D19" s="3159"/>
      <c r="E19" s="3159"/>
      <c r="F19" s="3159"/>
      <c r="G19" s="3159"/>
      <c r="H19" s="3159"/>
      <c r="I19" s="3160"/>
    </row>
    <row r="20" spans="1:10" x14ac:dyDescent="0.5">
      <c r="A20" s="3161"/>
      <c r="B20" s="3162"/>
      <c r="C20" s="3162"/>
      <c r="D20" s="3162"/>
      <c r="E20" s="3162"/>
      <c r="F20" s="3162"/>
      <c r="G20" s="3162"/>
      <c r="H20" s="3162"/>
      <c r="I20" s="3163"/>
    </row>
    <row r="21" spans="1:10" x14ac:dyDescent="0.5">
      <c r="A21" s="3164"/>
      <c r="B21" s="3165"/>
      <c r="C21" s="3165"/>
      <c r="D21" s="3165"/>
      <c r="E21" s="3165"/>
      <c r="F21" s="3165"/>
      <c r="G21" s="3165"/>
      <c r="H21" s="3165"/>
      <c r="I21" s="3166"/>
    </row>
    <row r="22" spans="1:10" ht="15.75" customHeight="1" x14ac:dyDescent="0.5">
      <c r="A22" s="1343" t="s">
        <v>355</v>
      </c>
      <c r="B22" s="1344"/>
      <c r="C22" s="1344"/>
      <c r="D22" s="1345"/>
      <c r="E22" s="1346" t="s">
        <v>398</v>
      </c>
      <c r="F22" s="1347"/>
      <c r="G22" s="1348" t="s">
        <v>244</v>
      </c>
      <c r="H22" s="1349"/>
      <c r="I22" s="1350" t="s">
        <v>56</v>
      </c>
    </row>
    <row r="23" spans="1:10" x14ac:dyDescent="0.5">
      <c r="A23" s="1351"/>
      <c r="B23" s="267"/>
      <c r="C23" s="1352"/>
      <c r="D23" s="1353"/>
      <c r="E23" s="1354" t="s">
        <v>72</v>
      </c>
      <c r="F23" s="1355" t="s">
        <v>73</v>
      </c>
      <c r="G23" s="1356" t="s">
        <v>72</v>
      </c>
      <c r="H23" s="1357" t="s">
        <v>73</v>
      </c>
      <c r="I23" s="1358"/>
    </row>
    <row r="24" spans="1:10" ht="14.75" customHeight="1" x14ac:dyDescent="0.5">
      <c r="A24" s="1359" t="s">
        <v>242</v>
      </c>
      <c r="B24" s="1360"/>
      <c r="C24" s="1360"/>
      <c r="D24" s="514"/>
      <c r="E24" s="1361">
        <f ca="1">IF(_OK?="OK!",KALKULATION!D67,ROUND(KALKULATION!D67,0))</f>
        <v>68.84</v>
      </c>
      <c r="F24" s="1362">
        <f ca="1">IFERROR(KALKULATION!E67*KALKULATION!H73/KALKULATION!H70,0)</f>
        <v>10.4</v>
      </c>
      <c r="G24" s="1363"/>
      <c r="H24" s="1364"/>
      <c r="I24" s="1365">
        <f ca="1">SUM(E24:H24)</f>
        <v>79.239999999999995</v>
      </c>
      <c r="J24" s="1879" t="str">
        <f ca="1">IF(_OK?="f","Testversion; gerundete Werte!!","")</f>
        <v/>
      </c>
    </row>
    <row r="25" spans="1:10" ht="14.75" customHeight="1" x14ac:dyDescent="0.5">
      <c r="A25" s="1359" t="s">
        <v>243</v>
      </c>
      <c r="B25" s="1360"/>
      <c r="C25" s="1360"/>
      <c r="D25" s="514"/>
      <c r="E25" s="1361"/>
      <c r="F25" s="1362"/>
      <c r="G25" s="1363">
        <f ca="1">IFERROR(KALKULATION!D69*KALKULATION!G72/KALKULATION!G70,0)</f>
        <v>2</v>
      </c>
      <c r="H25" s="1364">
        <f ca="1">IFERROR(KALKULATION!E69*KALKULATION!H73/KALKULATION!H70*KALKULATION!G72/KALKULATION!G70,0)</f>
        <v>0.3</v>
      </c>
      <c r="I25" s="1365">
        <f t="shared" ref="I25:I49" ca="1" si="0">SUM(E25:H25)</f>
        <v>2.2999999999999998</v>
      </c>
      <c r="J25" s="1366"/>
    </row>
    <row r="26" spans="1:10" ht="14.75" customHeight="1" x14ac:dyDescent="0.5">
      <c r="A26" s="1367" t="s">
        <v>328</v>
      </c>
      <c r="B26" s="1360"/>
      <c r="C26" s="1360"/>
      <c r="D26" s="514"/>
      <c r="E26" s="1368">
        <f ca="1">IFERROR(KALKULATION!D68*KALKULATION!G72/KALKULATION!G70,0)</f>
        <v>0</v>
      </c>
      <c r="F26" s="1362">
        <f ca="1">IFERROR(KALKULATION!E68*KALKULATION!G72/KALKULATION!G70*KALKULATION!H73/KALKULATION!H70,0)</f>
        <v>0</v>
      </c>
      <c r="G26" s="1363"/>
      <c r="H26" s="1364"/>
      <c r="I26" s="1365">
        <f t="shared" ca="1" si="0"/>
        <v>0</v>
      </c>
      <c r="J26" s="1366"/>
    </row>
    <row r="27" spans="1:10" ht="14.75" customHeight="1" x14ac:dyDescent="0.5">
      <c r="A27" s="1367" t="s">
        <v>136</v>
      </c>
      <c r="B27" s="1360"/>
      <c r="C27" s="1369">
        <f ca="1">IFERROR(KALKULATION!H134*KALKULATION!H167/KALKULATION!H165,0)</f>
        <v>0.03</v>
      </c>
      <c r="D27" s="1370">
        <f ca="1">IFERROR(KALKULATION!H154*KALKULATION!H167/KALKULATION!H165,0)</f>
        <v>0.03</v>
      </c>
      <c r="E27" s="1368">
        <f ca="1">SUM(E24,E26)*C27</f>
        <v>2.0699999999999998</v>
      </c>
      <c r="F27" s="1362"/>
      <c r="G27" s="1363">
        <f ca="1">G25*D27</f>
        <v>0.06</v>
      </c>
      <c r="H27" s="1364"/>
      <c r="I27" s="1365">
        <f t="shared" ca="1" si="0"/>
        <v>2.13</v>
      </c>
      <c r="J27" s="1366"/>
    </row>
    <row r="28" spans="1:10" ht="14.75" customHeight="1" x14ac:dyDescent="0.5">
      <c r="A28" s="1367" t="s">
        <v>978</v>
      </c>
      <c r="B28" s="1360"/>
      <c r="C28" s="1360"/>
      <c r="D28" s="1371">
        <f ca="1">IFERROR(KALKULATION!H95/KALKULATION!C95*KALKULATION!H115/KALKULATION!H113,0)</f>
        <v>2.5899999999999999E-2</v>
      </c>
      <c r="E28" s="1368">
        <f ca="1">SUM(E24,E26)*D28</f>
        <v>1.78</v>
      </c>
      <c r="F28" s="1362"/>
      <c r="G28" s="1363">
        <f ca="1">SUM(G25)*D28</f>
        <v>0.05</v>
      </c>
      <c r="H28" s="1364"/>
      <c r="I28" s="1365">
        <f t="shared" ca="1" si="0"/>
        <v>1.83</v>
      </c>
      <c r="J28" s="1366"/>
    </row>
    <row r="29" spans="1:10" ht="14.75" customHeight="1" x14ac:dyDescent="0.5">
      <c r="A29" s="1359" t="s">
        <v>346</v>
      </c>
      <c r="B29" s="1360"/>
      <c r="C29" s="514"/>
      <c r="D29" s="1372">
        <f ca="1">IFERROR(KALKULATION!H110/KALKULATION!C95*KALKULATION!H115/KALKULATION!H113,0)</f>
        <v>0</v>
      </c>
      <c r="E29" s="1361">
        <f ca="1">SUM(E24,E26)*D29</f>
        <v>0</v>
      </c>
      <c r="F29" s="1362"/>
      <c r="G29" s="1363">
        <f ca="1">SUM(G25)*D29</f>
        <v>0</v>
      </c>
      <c r="H29" s="1364"/>
      <c r="I29" s="1365">
        <f t="shared" ca="1" si="0"/>
        <v>0</v>
      </c>
      <c r="J29" s="1366"/>
    </row>
    <row r="30" spans="1:10" ht="14.75" customHeight="1" x14ac:dyDescent="0.5">
      <c r="A30" s="1359" t="s">
        <v>951</v>
      </c>
      <c r="B30" s="1360"/>
      <c r="C30" s="1360"/>
      <c r="D30" s="1372"/>
      <c r="E30" s="1361">
        <f ca="1">I30-G30</f>
        <v>12.57</v>
      </c>
      <c r="F30" s="1373"/>
      <c r="G30" s="1363">
        <f ca="1">KALKULATION!R214*Report!D50</f>
        <v>0.3</v>
      </c>
      <c r="H30" s="1364"/>
      <c r="I30" s="1365">
        <f ca="1">KALKULATION!H228*Report!D50</f>
        <v>12.87</v>
      </c>
      <c r="J30" s="1366"/>
    </row>
    <row r="31" spans="1:10" ht="14.75" customHeight="1" x14ac:dyDescent="0.5">
      <c r="A31" s="1374" t="s">
        <v>952</v>
      </c>
      <c r="B31" s="1375"/>
      <c r="C31" s="1375"/>
      <c r="D31" s="1861"/>
      <c r="E31" s="1377">
        <f ca="1">SUM(E24:E30)</f>
        <v>85.26</v>
      </c>
      <c r="F31" s="1378">
        <f ca="1">SUM(F24:F30)</f>
        <v>10.4</v>
      </c>
      <c r="G31" s="1379">
        <f ca="1">SUM(G24:G30)</f>
        <v>2.41</v>
      </c>
      <c r="H31" s="1380">
        <f ca="1">SUM(H24:H30)</f>
        <v>0.3</v>
      </c>
      <c r="I31" s="1381">
        <f t="shared" ca="1" si="0"/>
        <v>98.37</v>
      </c>
      <c r="J31" s="1366"/>
    </row>
    <row r="32" spans="1:10" ht="14.75" customHeight="1" x14ac:dyDescent="0.5">
      <c r="A32" s="1367"/>
      <c r="B32" s="1360"/>
      <c r="C32" s="1360"/>
      <c r="D32" s="1502"/>
      <c r="E32" s="1361"/>
      <c r="F32" s="1373"/>
      <c r="G32" s="1363"/>
      <c r="H32" s="1364"/>
      <c r="I32" s="1365"/>
      <c r="J32" s="1366"/>
    </row>
    <row r="33" spans="1:10" ht="14.75" customHeight="1" x14ac:dyDescent="0.5">
      <c r="A33" s="1367" t="s">
        <v>246</v>
      </c>
      <c r="B33" s="1360"/>
      <c r="C33" s="1360"/>
      <c r="D33" s="1502"/>
      <c r="E33" s="1361">
        <f ca="1">E31+F31</f>
        <v>95.66</v>
      </c>
      <c r="F33" s="1373"/>
      <c r="G33" s="1363">
        <f ca="1">G31+H31</f>
        <v>2.71</v>
      </c>
      <c r="H33" s="1364"/>
      <c r="I33" s="1365">
        <f t="shared" ca="1" si="0"/>
        <v>98.37</v>
      </c>
      <c r="J33" s="1366"/>
    </row>
    <row r="34" spans="1:10" ht="14.75" customHeight="1" x14ac:dyDescent="0.5">
      <c r="A34" s="666" t="s">
        <v>332</v>
      </c>
      <c r="B34" s="267"/>
      <c r="C34" s="267"/>
      <c r="D34" s="1220">
        <f ca="1">KALKULATION!H236</f>
        <v>0.30270000000000002</v>
      </c>
      <c r="E34" s="1361">
        <f ca="1">D34*E33</f>
        <v>28.96</v>
      </c>
      <c r="F34" s="1373"/>
      <c r="G34" s="1363">
        <f ca="1">D34*G33</f>
        <v>0.82</v>
      </c>
      <c r="H34" s="1364"/>
      <c r="I34" s="1365">
        <f t="shared" ca="1" si="0"/>
        <v>29.78</v>
      </c>
      <c r="J34" s="1366"/>
    </row>
    <row r="35" spans="1:10" ht="14.75" customHeight="1" x14ac:dyDescent="0.5">
      <c r="A35" s="666" t="s">
        <v>333</v>
      </c>
      <c r="B35" s="1360"/>
      <c r="C35" s="1360"/>
      <c r="D35" s="1502">
        <f ca="1">KALKULATION!H265</f>
        <v>0.66</v>
      </c>
      <c r="E35" s="1361">
        <f ca="1">D35*E33</f>
        <v>63.14</v>
      </c>
      <c r="F35" s="1373"/>
      <c r="G35" s="1363">
        <f ca="1">D35*G33</f>
        <v>1.79</v>
      </c>
      <c r="H35" s="1364"/>
      <c r="I35" s="1365">
        <f t="shared" ca="1" si="0"/>
        <v>64.930000000000007</v>
      </c>
      <c r="J35" s="1366"/>
    </row>
    <row r="36" spans="1:10" ht="14.75" customHeight="1" x14ac:dyDescent="0.5">
      <c r="A36" s="666" t="s">
        <v>334</v>
      </c>
      <c r="B36" s="1360"/>
      <c r="C36" s="1360"/>
      <c r="D36" s="1502">
        <f ca="1">KALKULATION!H277</f>
        <v>2.5999999999999999E-3</v>
      </c>
      <c r="E36" s="1361">
        <f ca="1">D36*E33</f>
        <v>0.25</v>
      </c>
      <c r="F36" s="1373"/>
      <c r="G36" s="1363">
        <f ca="1">D36*G33</f>
        <v>0.01</v>
      </c>
      <c r="H36" s="1364"/>
      <c r="I36" s="1365">
        <f t="shared" ca="1" si="0"/>
        <v>0.26</v>
      </c>
      <c r="J36" s="1366"/>
    </row>
    <row r="37" spans="1:10" ht="14.75" customHeight="1" x14ac:dyDescent="0.5">
      <c r="A37" s="1862" t="s">
        <v>932</v>
      </c>
      <c r="B37" s="1863"/>
      <c r="C37" s="1863"/>
      <c r="D37" s="1511"/>
      <c r="E37" s="1361">
        <f ca="1">I37-G37</f>
        <v>6.1</v>
      </c>
      <c r="F37" s="1373"/>
      <c r="G37" s="1363">
        <f ca="1">KALKULATION!Q214*Report!D50</f>
        <v>0.14000000000000001</v>
      </c>
      <c r="H37" s="1364"/>
      <c r="I37" s="1365">
        <f ca="1">KALKULATION!G227*Report!D50</f>
        <v>6.24</v>
      </c>
      <c r="J37" s="1366"/>
    </row>
    <row r="38" spans="1:10" ht="14.75" customHeight="1" x14ac:dyDescent="0.5">
      <c r="A38" s="1382" t="s">
        <v>239</v>
      </c>
      <c r="B38" s="1383"/>
      <c r="C38" s="1383"/>
      <c r="D38" s="1384"/>
      <c r="E38" s="1377">
        <f ca="1">SUM(E33:E37)</f>
        <v>194.11</v>
      </c>
      <c r="F38" s="1378"/>
      <c r="G38" s="1379">
        <f ca="1">SUM(G33:G37)</f>
        <v>5.47</v>
      </c>
      <c r="H38" s="1385"/>
      <c r="I38" s="1381">
        <f t="shared" ca="1" si="0"/>
        <v>199.58</v>
      </c>
      <c r="J38" s="1366"/>
    </row>
    <row r="39" spans="1:10" ht="14.75" customHeight="1" x14ac:dyDescent="0.5">
      <c r="A39" s="1386" t="s">
        <v>954</v>
      </c>
      <c r="B39" s="1387"/>
      <c r="C39" s="1387"/>
      <c r="D39" s="1388">
        <f ca="1">' K3 PP'!M34</f>
        <v>3.21</v>
      </c>
      <c r="E39" s="1361">
        <f ca="1">KALKULATION!F308*KALKULATION!F63</f>
        <v>12.5</v>
      </c>
      <c r="F39" s="1373"/>
      <c r="G39" s="1363"/>
      <c r="H39" s="1389"/>
      <c r="I39" s="3197">
        <f ca="1">SUM(E39:H40)</f>
        <v>21.98</v>
      </c>
      <c r="J39" s="1366"/>
    </row>
    <row r="40" spans="1:10" ht="14.75" customHeight="1" x14ac:dyDescent="0.5">
      <c r="A40" s="1390" t="s">
        <v>953</v>
      </c>
      <c r="B40" s="1391"/>
      <c r="C40" s="1391"/>
      <c r="D40" s="1392">
        <f>KALKULATION!E306</f>
        <v>4.7500000000000001E-2</v>
      </c>
      <c r="E40" s="1393">
        <f ca="1">D40*E38</f>
        <v>9.2200000000000006</v>
      </c>
      <c r="F40" s="1394"/>
      <c r="G40" s="1395">
        <f ca="1">D40*G38</f>
        <v>0.26</v>
      </c>
      <c r="H40" s="1396"/>
      <c r="I40" s="3199"/>
      <c r="J40" s="1366"/>
    </row>
    <row r="41" spans="1:10" ht="14.75" customHeight="1" x14ac:dyDescent="0.5">
      <c r="A41" s="1386" t="s">
        <v>336</v>
      </c>
      <c r="B41" s="1387"/>
      <c r="C41" s="1387"/>
      <c r="D41" s="1397"/>
      <c r="E41" s="1361">
        <f ca="1">SUM(E38:E40)</f>
        <v>215.83</v>
      </c>
      <c r="F41" s="1373"/>
      <c r="G41" s="1363">
        <f ca="1">SUM(G38:G40)</f>
        <v>5.73</v>
      </c>
      <c r="H41" s="1389"/>
      <c r="I41" s="1365">
        <f t="shared" ca="1" si="0"/>
        <v>221.56</v>
      </c>
      <c r="J41" s="1366"/>
    </row>
    <row r="42" spans="1:10" ht="14.75" customHeight="1" x14ac:dyDescent="0.5">
      <c r="A42" s="1398" t="s">
        <v>930</v>
      </c>
      <c r="B42" s="1399"/>
      <c r="C42" s="1399"/>
      <c r="D42" s="1400"/>
      <c r="E42" s="1401">
        <f ca="1">KALKULATION!F339*KALKULATION!F63</f>
        <v>0</v>
      </c>
      <c r="F42" s="1402"/>
      <c r="G42" s="1403"/>
      <c r="H42" s="1404"/>
      <c r="I42" s="3197">
        <f ca="1">SUM(E42:H43)</f>
        <v>0</v>
      </c>
      <c r="J42" s="1366"/>
    </row>
    <row r="43" spans="1:10" ht="14.75" customHeight="1" x14ac:dyDescent="0.5">
      <c r="A43" s="1398" t="s">
        <v>931</v>
      </c>
      <c r="B43" s="1399"/>
      <c r="C43" s="1399"/>
      <c r="D43" s="1400">
        <f>KALKULATION!G339</f>
        <v>0</v>
      </c>
      <c r="E43" s="1401">
        <f ca="1">D43*E38</f>
        <v>0</v>
      </c>
      <c r="F43" s="1402"/>
      <c r="G43" s="1403">
        <f ca="1">D43*G38</f>
        <v>0</v>
      </c>
      <c r="H43" s="1404"/>
      <c r="I43" s="3197"/>
      <c r="J43" s="1366"/>
    </row>
    <row r="44" spans="1:10" ht="14.75" customHeight="1" x14ac:dyDescent="0.5">
      <c r="A44" s="1405" t="s">
        <v>240</v>
      </c>
      <c r="B44" s="1406"/>
      <c r="C44" s="1406"/>
      <c r="D44" s="1407">
        <f>KALKULATION!G345</f>
        <v>0.28000000000000003</v>
      </c>
      <c r="E44" s="1408">
        <f ca="1">D44*E41</f>
        <v>60.43</v>
      </c>
      <c r="F44" s="1409"/>
      <c r="G44" s="1410">
        <f ca="1">D44*G41</f>
        <v>1.6</v>
      </c>
      <c r="H44" s="1411"/>
      <c r="I44" s="1412">
        <f t="shared" ca="1" si="0"/>
        <v>62.03</v>
      </c>
      <c r="J44" s="1366"/>
    </row>
    <row r="45" spans="1:10" ht="14.75" customHeight="1" x14ac:dyDescent="0.5">
      <c r="A45" s="1413" t="s">
        <v>241</v>
      </c>
      <c r="B45" s="1414"/>
      <c r="C45" s="1414"/>
      <c r="D45" s="1415" t="str">
        <f ca="1">IF(KALKULATION!G346="","",KALKULATION!G346)</f>
        <v/>
      </c>
      <c r="E45" s="1416">
        <f ca="1">IFERROR(E42*$D45,0)+IFERROR(E43*$D45,0)</f>
        <v>0</v>
      </c>
      <c r="F45" s="1417"/>
      <c r="G45" s="1403">
        <f ca="1">IFERROR(G42*$D45,0)+IFERROR(G43*$D45,0)</f>
        <v>0</v>
      </c>
      <c r="H45" s="1418"/>
      <c r="I45" s="1419">
        <f t="shared" ca="1" si="0"/>
        <v>0</v>
      </c>
      <c r="J45" s="1366"/>
    </row>
    <row r="46" spans="1:10" ht="14.75" customHeight="1" x14ac:dyDescent="0.5">
      <c r="A46" s="1386" t="s">
        <v>337</v>
      </c>
      <c r="B46" s="1387"/>
      <c r="C46" s="1387"/>
      <c r="D46" s="1397"/>
      <c r="E46" s="1361">
        <f ca="1">E41+E44</f>
        <v>276.26</v>
      </c>
      <c r="F46" s="1373"/>
      <c r="G46" s="1361">
        <f ca="1">G41+G44</f>
        <v>7.33</v>
      </c>
      <c r="H46" s="1389"/>
      <c r="I46" s="1365">
        <f t="shared" ca="1" si="0"/>
        <v>283.58999999999997</v>
      </c>
      <c r="J46" s="1366"/>
    </row>
    <row r="47" spans="1:10" ht="14.75" customHeight="1" x14ac:dyDescent="0.5">
      <c r="A47" s="1413" t="s">
        <v>338</v>
      </c>
      <c r="B47" s="1414"/>
      <c r="C47" s="1414"/>
      <c r="D47" s="1415"/>
      <c r="E47" s="1416">
        <f ca="1">SUM(E42,E43,E45)</f>
        <v>0</v>
      </c>
      <c r="F47" s="1417"/>
      <c r="G47" s="1403">
        <f ca="1">SUM(G42,G43,G45)</f>
        <v>0</v>
      </c>
      <c r="H47" s="1420"/>
      <c r="I47" s="1365">
        <f t="shared" ca="1" si="0"/>
        <v>0</v>
      </c>
      <c r="J47" s="1366"/>
    </row>
    <row r="48" spans="1:10" ht="14.75" customHeight="1" x14ac:dyDescent="0.5">
      <c r="A48" s="1386" t="s">
        <v>339</v>
      </c>
      <c r="B48" s="1387"/>
      <c r="C48" s="1387"/>
      <c r="D48" s="1397"/>
      <c r="E48" s="1361">
        <f ca="1">SUM(E46,E47)</f>
        <v>276.26</v>
      </c>
      <c r="F48" s="1373"/>
      <c r="G48" s="1363">
        <f ca="1">SUM(G46,G47)</f>
        <v>7.33</v>
      </c>
      <c r="H48" s="1389"/>
      <c r="I48" s="1365">
        <f t="shared" ca="1" si="0"/>
        <v>283.58999999999997</v>
      </c>
      <c r="J48" s="1366"/>
    </row>
    <row r="49" spans="1:10" ht="14.75" customHeight="1" x14ac:dyDescent="0.5">
      <c r="A49" s="1386" t="s">
        <v>340</v>
      </c>
      <c r="B49" s="1387"/>
      <c r="C49" s="1387"/>
      <c r="D49" s="1397"/>
      <c r="E49" s="1361">
        <f ca="1">E48+G48</f>
        <v>283.58999999999997</v>
      </c>
      <c r="F49" s="1373"/>
      <c r="G49" s="1363"/>
      <c r="H49" s="1389"/>
      <c r="I49" s="1365">
        <f t="shared" ca="1" si="0"/>
        <v>283.58999999999997</v>
      </c>
      <c r="J49" s="1366"/>
    </row>
    <row r="50" spans="1:10" ht="14.75" customHeight="1" x14ac:dyDescent="0.5">
      <c r="A50" s="1421" t="s">
        <v>341</v>
      </c>
      <c r="B50" s="1422"/>
      <c r="C50" s="1422"/>
      <c r="D50" s="1423">
        <f ca="1">KALKULATION!F63</f>
        <v>3.9</v>
      </c>
      <c r="E50" s="1424">
        <f ca="1">E49/D50</f>
        <v>72.72</v>
      </c>
      <c r="F50" s="3153" t="s">
        <v>1098</v>
      </c>
      <c r="G50" s="3153"/>
      <c r="H50" s="3153"/>
      <c r="I50" s="1894">
        <f ca="1">' K3 PP'!U45</f>
        <v>72.739999999999995</v>
      </c>
    </row>
    <row r="51" spans="1:10" x14ac:dyDescent="0.5">
      <c r="A51" s="1425"/>
      <c r="B51" s="1426"/>
      <c r="C51" s="1426"/>
      <c r="D51" s="1427"/>
      <c r="E51" s="1428"/>
      <c r="F51" s="1429"/>
      <c r="G51" s="1429"/>
      <c r="H51" s="1429"/>
      <c r="I51" s="1430"/>
    </row>
    <row r="52" spans="1:10" x14ac:dyDescent="0.5">
      <c r="A52" s="1431" t="s">
        <v>356</v>
      </c>
      <c r="B52" s="1344"/>
      <c r="C52" s="1432"/>
      <c r="D52" s="1345"/>
      <c r="E52" s="3167" t="s">
        <v>398</v>
      </c>
      <c r="F52" s="3168"/>
      <c r="G52" s="3200" t="s">
        <v>244</v>
      </c>
      <c r="H52" s="3201"/>
      <c r="I52" s="1350" t="s">
        <v>56</v>
      </c>
    </row>
    <row r="53" spans="1:10" ht="14.75" customHeight="1" x14ac:dyDescent="0.5">
      <c r="A53" s="1351"/>
      <c r="B53" s="267"/>
      <c r="C53" s="1352"/>
      <c r="D53" s="1353"/>
      <c r="E53" s="1433" t="s">
        <v>72</v>
      </c>
      <c r="F53" s="1434" t="s">
        <v>73</v>
      </c>
      <c r="G53" s="1435" t="s">
        <v>72</v>
      </c>
      <c r="H53" s="1436" t="s">
        <v>73</v>
      </c>
      <c r="I53" s="1437"/>
    </row>
    <row r="54" spans="1:10" ht="14.75" customHeight="1" x14ac:dyDescent="0.5">
      <c r="A54" s="1359" t="s">
        <v>242</v>
      </c>
      <c r="B54" s="1360"/>
      <c r="C54" s="1360"/>
      <c r="D54" s="514"/>
      <c r="E54" s="1438">
        <f ca="1">E24/$D$50</f>
        <v>17.649999999999999</v>
      </c>
      <c r="F54" s="1439">
        <f ca="1">F24/$D$50</f>
        <v>2.67</v>
      </c>
      <c r="G54" s="1440"/>
      <c r="H54" s="1441"/>
      <c r="I54" s="1442">
        <f ca="1">SUM(E54:H54)</f>
        <v>20.32</v>
      </c>
    </row>
    <row r="55" spans="1:10" ht="14.75" customHeight="1" x14ac:dyDescent="0.5">
      <c r="A55" s="1359" t="s">
        <v>243</v>
      </c>
      <c r="B55" s="1360"/>
      <c r="C55" s="1360"/>
      <c r="D55" s="514"/>
      <c r="E55" s="1438"/>
      <c r="F55" s="1439"/>
      <c r="G55" s="1440">
        <f ca="1">G25/$D$50</f>
        <v>0.51</v>
      </c>
      <c r="H55" s="1441">
        <f ca="1">H25/$D$50</f>
        <v>0.08</v>
      </c>
      <c r="I55" s="1442">
        <f t="shared" ref="I55:I61" ca="1" si="1">SUM(E55:H55)</f>
        <v>0.59</v>
      </c>
    </row>
    <row r="56" spans="1:10" ht="14.75" customHeight="1" x14ac:dyDescent="0.5">
      <c r="A56" s="1367" t="s">
        <v>328</v>
      </c>
      <c r="B56" s="1360"/>
      <c r="C56" s="1360"/>
      <c r="D56" s="514"/>
      <c r="E56" s="1443">
        <f ca="1">E26/$D$50</f>
        <v>0</v>
      </c>
      <c r="F56" s="1439">
        <f ca="1">F26/$D$50</f>
        <v>0</v>
      </c>
      <c r="G56" s="1440"/>
      <c r="H56" s="1441"/>
      <c r="I56" s="1442">
        <f t="shared" ca="1" si="1"/>
        <v>0</v>
      </c>
    </row>
    <row r="57" spans="1:10" ht="14.75" customHeight="1" x14ac:dyDescent="0.5">
      <c r="A57" s="1367" t="s">
        <v>942</v>
      </c>
      <c r="B57" s="1360"/>
      <c r="C57" s="1360"/>
      <c r="D57" s="514"/>
      <c r="E57" s="1443">
        <f ca="1">E27/$D$50</f>
        <v>0.53</v>
      </c>
      <c r="F57" s="1439"/>
      <c r="G57" s="1440">
        <f ca="1">G27/$D$50</f>
        <v>0.02</v>
      </c>
      <c r="H57" s="1441"/>
      <c r="I57" s="1442">
        <f t="shared" ca="1" si="1"/>
        <v>0.55000000000000004</v>
      </c>
    </row>
    <row r="58" spans="1:10" ht="14.75" customHeight="1" x14ac:dyDescent="0.5">
      <c r="A58" s="1367" t="s">
        <v>978</v>
      </c>
      <c r="B58" s="1360"/>
      <c r="C58" s="1360"/>
      <c r="D58" s="514"/>
      <c r="E58" s="1443">
        <f ca="1">E28/$D$50</f>
        <v>0.46</v>
      </c>
      <c r="F58" s="1439"/>
      <c r="G58" s="1440">
        <f ca="1">G28/$D$50</f>
        <v>0.01</v>
      </c>
      <c r="H58" s="1441"/>
      <c r="I58" s="1442">
        <f t="shared" ca="1" si="1"/>
        <v>0.47</v>
      </c>
    </row>
    <row r="59" spans="1:10" ht="14.75" customHeight="1" x14ac:dyDescent="0.5">
      <c r="A59" s="1359" t="s">
        <v>973</v>
      </c>
      <c r="B59" s="1360"/>
      <c r="C59" s="514"/>
      <c r="D59" s="1372"/>
      <c r="E59" s="1438">
        <f ca="1">E29/$D$50</f>
        <v>0</v>
      </c>
      <c r="F59" s="1439"/>
      <c r="G59" s="1440">
        <f ca="1">G29/$D$50</f>
        <v>0</v>
      </c>
      <c r="H59" s="1441"/>
      <c r="I59" s="1442">
        <f t="shared" ca="1" si="1"/>
        <v>0</v>
      </c>
    </row>
    <row r="60" spans="1:10" ht="14.75" customHeight="1" x14ac:dyDescent="0.5">
      <c r="A60" s="1359" t="str">
        <f>A37</f>
        <v>Sonst. abgabefreie Entschädigungen</v>
      </c>
      <c r="B60" s="1360"/>
      <c r="C60" s="1360"/>
      <c r="D60" s="1372"/>
      <c r="E60" s="1438">
        <f ca="1">E30/$D$50</f>
        <v>3.22</v>
      </c>
      <c r="F60" s="1444"/>
      <c r="G60" s="1440">
        <f ca="1">G30/$D$50</f>
        <v>0.08</v>
      </c>
      <c r="H60" s="1441"/>
      <c r="I60" s="1442">
        <f t="shared" ca="1" si="1"/>
        <v>3.3</v>
      </c>
    </row>
    <row r="61" spans="1:10" ht="14.75" customHeight="1" x14ac:dyDescent="0.5">
      <c r="A61" s="1374" t="s">
        <v>245</v>
      </c>
      <c r="B61" s="1375"/>
      <c r="C61" s="1375"/>
      <c r="D61" s="1376"/>
      <c r="E61" s="1445">
        <f ca="1">E31/$D$50</f>
        <v>21.86</v>
      </c>
      <c r="F61" s="1446">
        <f ca="1">F31/$D$50</f>
        <v>2.67</v>
      </c>
      <c r="G61" s="1447">
        <f ca="1">G31/$D$50</f>
        <v>0.62</v>
      </c>
      <c r="H61" s="1448">
        <f ca="1">H31/$D$50</f>
        <v>0.08</v>
      </c>
      <c r="I61" s="1449">
        <f t="shared" ca="1" si="1"/>
        <v>25.23</v>
      </c>
    </row>
    <row r="62" spans="1:10" ht="14.75" customHeight="1" x14ac:dyDescent="0.5">
      <c r="A62" s="1367"/>
      <c r="B62" s="1360"/>
      <c r="C62" s="1360"/>
      <c r="D62" s="1372"/>
      <c r="E62" s="1438"/>
      <c r="F62" s="1444"/>
      <c r="G62" s="1440"/>
      <c r="H62" s="1441"/>
      <c r="I62" s="1442"/>
    </row>
    <row r="63" spans="1:10" ht="14.75" customHeight="1" x14ac:dyDescent="0.5">
      <c r="A63" s="1367" t="s">
        <v>246</v>
      </c>
      <c r="B63" s="1360"/>
      <c r="C63" s="1360"/>
      <c r="D63" s="1372"/>
      <c r="E63" s="1438">
        <f t="shared" ref="E63:E78" ca="1" si="2">E33/$D$50</f>
        <v>24.53</v>
      </c>
      <c r="F63" s="1444"/>
      <c r="G63" s="1440">
        <f t="shared" ref="G63:G78" ca="1" si="3">G33/$D$50</f>
        <v>0.69</v>
      </c>
      <c r="H63" s="1441"/>
      <c r="I63" s="1442">
        <f t="shared" ref="I63:I78" ca="1" si="4">SUM(E63:H63)</f>
        <v>25.22</v>
      </c>
    </row>
    <row r="64" spans="1:10" ht="14.75" customHeight="1" x14ac:dyDescent="0.5">
      <c r="A64" s="666" t="s">
        <v>332</v>
      </c>
      <c r="B64" s="267"/>
      <c r="C64" s="267"/>
      <c r="D64" s="1371"/>
      <c r="E64" s="1438">
        <f t="shared" ca="1" si="2"/>
        <v>7.43</v>
      </c>
      <c r="F64" s="1444"/>
      <c r="G64" s="1440">
        <f t="shared" ca="1" si="3"/>
        <v>0.21</v>
      </c>
      <c r="H64" s="1441"/>
      <c r="I64" s="1442">
        <f t="shared" ca="1" si="4"/>
        <v>7.64</v>
      </c>
    </row>
    <row r="65" spans="1:18" ht="14.75" customHeight="1" x14ac:dyDescent="0.5">
      <c r="A65" s="666" t="s">
        <v>333</v>
      </c>
      <c r="B65" s="1360"/>
      <c r="C65" s="1360"/>
      <c r="D65" s="1372"/>
      <c r="E65" s="1438">
        <f t="shared" ca="1" si="2"/>
        <v>16.190000000000001</v>
      </c>
      <c r="F65" s="1444"/>
      <c r="G65" s="1440">
        <f t="shared" ca="1" si="3"/>
        <v>0.46</v>
      </c>
      <c r="H65" s="1441"/>
      <c r="I65" s="1442">
        <f t="shared" ca="1" si="4"/>
        <v>16.649999999999999</v>
      </c>
    </row>
    <row r="66" spans="1:18" ht="14.75" customHeight="1" x14ac:dyDescent="0.5">
      <c r="A66" s="666" t="s">
        <v>334</v>
      </c>
      <c r="B66" s="1360"/>
      <c r="C66" s="1360"/>
      <c r="D66" s="1372"/>
      <c r="E66" s="1438">
        <f t="shared" ca="1" si="2"/>
        <v>0.06</v>
      </c>
      <c r="F66" s="1444"/>
      <c r="G66" s="1440">
        <f t="shared" ca="1" si="3"/>
        <v>0</v>
      </c>
      <c r="H66" s="1441"/>
      <c r="I66" s="1442">
        <f t="shared" ca="1" si="4"/>
        <v>0.06</v>
      </c>
    </row>
    <row r="67" spans="1:18" ht="14.75" customHeight="1" x14ac:dyDescent="0.5">
      <c r="A67" s="1359" t="s">
        <v>335</v>
      </c>
      <c r="B67" s="1360"/>
      <c r="C67" s="1360"/>
      <c r="D67" s="1372"/>
      <c r="E67" s="1438">
        <f t="shared" ca="1" si="2"/>
        <v>1.56</v>
      </c>
      <c r="F67" s="1444"/>
      <c r="G67" s="1440">
        <f t="shared" ca="1" si="3"/>
        <v>0.04</v>
      </c>
      <c r="H67" s="1441"/>
      <c r="I67" s="1442">
        <f t="shared" ca="1" si="4"/>
        <v>1.6</v>
      </c>
    </row>
    <row r="68" spans="1:18" ht="14.75" customHeight="1" x14ac:dyDescent="0.5">
      <c r="A68" s="1382" t="s">
        <v>239</v>
      </c>
      <c r="B68" s="1383"/>
      <c r="C68" s="1383"/>
      <c r="D68" s="1864"/>
      <c r="E68" s="1445">
        <f t="shared" ca="1" si="2"/>
        <v>49.77</v>
      </c>
      <c r="F68" s="1446"/>
      <c r="G68" s="1447">
        <f t="shared" ca="1" si="3"/>
        <v>1.4</v>
      </c>
      <c r="H68" s="1450"/>
      <c r="I68" s="1449">
        <f ca="1">SUM(E68:H68)</f>
        <v>51.17</v>
      </c>
    </row>
    <row r="69" spans="1:18" ht="14.75" customHeight="1" x14ac:dyDescent="0.5">
      <c r="A69" s="1386" t="str">
        <f>A39</f>
        <v>Personalgemeinkosten in €</v>
      </c>
      <c r="B69" s="1387"/>
      <c r="C69" s="1387"/>
      <c r="D69" s="1865"/>
      <c r="E69" s="1438">
        <f t="shared" ca="1" si="2"/>
        <v>3.21</v>
      </c>
      <c r="F69" s="1444"/>
      <c r="G69" s="1438">
        <f t="shared" ca="1" si="3"/>
        <v>0</v>
      </c>
      <c r="H69" s="1451"/>
      <c r="I69" s="3198">
        <f ca="1">SUM(E69:H70)</f>
        <v>5.64</v>
      </c>
    </row>
    <row r="70" spans="1:18" ht="14.75" customHeight="1" x14ac:dyDescent="0.5">
      <c r="A70" s="1390" t="str">
        <f t="shared" ref="A70:A73" si="5">A40</f>
        <v>Personalgemeinkosten in %</v>
      </c>
      <c r="B70" s="1391"/>
      <c r="C70" s="1391"/>
      <c r="D70" s="1866"/>
      <c r="E70" s="1393">
        <f t="shared" ca="1" si="2"/>
        <v>2.36</v>
      </c>
      <c r="F70" s="1394"/>
      <c r="G70" s="1395">
        <f t="shared" ca="1" si="3"/>
        <v>7.0000000000000007E-2</v>
      </c>
      <c r="H70" s="1396"/>
      <c r="I70" s="3198"/>
    </row>
    <row r="71" spans="1:18" ht="14.75" customHeight="1" x14ac:dyDescent="0.5">
      <c r="A71" s="1386" t="str">
        <f t="shared" si="5"/>
        <v>Personalkosten vor GZ</v>
      </c>
      <c r="B71" s="1387"/>
      <c r="C71" s="1387"/>
      <c r="D71" s="1397"/>
      <c r="E71" s="1361">
        <f t="shared" ca="1" si="2"/>
        <v>55.34</v>
      </c>
      <c r="F71" s="1373"/>
      <c r="G71" s="1363">
        <f t="shared" ca="1" si="3"/>
        <v>1.47</v>
      </c>
      <c r="H71" s="1389"/>
      <c r="I71" s="1442">
        <f t="shared" ca="1" si="4"/>
        <v>56.81</v>
      </c>
    </row>
    <row r="72" spans="1:18" ht="14.75" customHeight="1" x14ac:dyDescent="0.5">
      <c r="A72" s="1386" t="str">
        <f t="shared" si="5"/>
        <v>Umlagen vor GZ  |  €</v>
      </c>
      <c r="B72" s="1399"/>
      <c r="C72" s="1399"/>
      <c r="D72" s="1400"/>
      <c r="E72" s="1401">
        <f t="shared" ca="1" si="2"/>
        <v>0</v>
      </c>
      <c r="F72" s="1402"/>
      <c r="G72" s="1403">
        <f t="shared" ca="1" si="3"/>
        <v>0</v>
      </c>
      <c r="H72" s="1404"/>
      <c r="I72" s="3198">
        <f ca="1">SUM(E72:H73)</f>
        <v>0</v>
      </c>
    </row>
    <row r="73" spans="1:18" ht="14.75" customHeight="1" x14ac:dyDescent="0.5">
      <c r="A73" s="1386" t="str">
        <f t="shared" si="5"/>
        <v>Umlagen vor GZ  |  %</v>
      </c>
      <c r="B73" s="1399"/>
      <c r="C73" s="1399"/>
      <c r="D73" s="1400"/>
      <c r="E73" s="1401">
        <f t="shared" ca="1" si="2"/>
        <v>0</v>
      </c>
      <c r="F73" s="1402"/>
      <c r="G73" s="1403">
        <f t="shared" ca="1" si="3"/>
        <v>0</v>
      </c>
      <c r="H73" s="1404"/>
      <c r="I73" s="3198"/>
    </row>
    <row r="74" spans="1:18" ht="14.75" customHeight="1" x14ac:dyDescent="0.5">
      <c r="A74" s="1452" t="s">
        <v>240</v>
      </c>
      <c r="B74" s="1453"/>
      <c r="C74" s="1453"/>
      <c r="D74" s="1454"/>
      <c r="E74" s="1455">
        <f t="shared" ca="1" si="2"/>
        <v>15.49</v>
      </c>
      <c r="F74" s="1456"/>
      <c r="G74" s="1457">
        <f t="shared" ca="1" si="3"/>
        <v>0.41</v>
      </c>
      <c r="H74" s="1458"/>
      <c r="I74" s="1459">
        <f t="shared" ca="1" si="4"/>
        <v>15.9</v>
      </c>
    </row>
    <row r="75" spans="1:18" ht="14.75" customHeight="1" x14ac:dyDescent="0.5">
      <c r="A75" s="1460" t="s">
        <v>241</v>
      </c>
      <c r="B75" s="1461"/>
      <c r="C75" s="1461"/>
      <c r="D75" s="1462"/>
      <c r="E75" s="1463">
        <f t="shared" ca="1" si="2"/>
        <v>0</v>
      </c>
      <c r="F75" s="1464"/>
      <c r="G75" s="1465">
        <f t="shared" ca="1" si="3"/>
        <v>0</v>
      </c>
      <c r="H75" s="1466"/>
      <c r="I75" s="1467">
        <f t="shared" ca="1" si="4"/>
        <v>0</v>
      </c>
    </row>
    <row r="76" spans="1:18" ht="14.75" customHeight="1" x14ac:dyDescent="0.5">
      <c r="A76" s="1468" t="s">
        <v>337</v>
      </c>
      <c r="B76" s="1383"/>
      <c r="C76" s="1383"/>
      <c r="D76" s="1384"/>
      <c r="E76" s="1377">
        <f t="shared" ca="1" si="2"/>
        <v>70.84</v>
      </c>
      <c r="F76" s="1378"/>
      <c r="G76" s="1377">
        <f t="shared" ca="1" si="3"/>
        <v>1.88</v>
      </c>
      <c r="H76" s="1385"/>
      <c r="I76" s="1449">
        <f t="shared" ca="1" si="4"/>
        <v>72.72</v>
      </c>
    </row>
    <row r="77" spans="1:18" ht="14.75" customHeight="1" x14ac:dyDescent="0.5">
      <c r="A77" s="1469" t="s">
        <v>338</v>
      </c>
      <c r="B77" s="1470"/>
      <c r="C77" s="1470"/>
      <c r="D77" s="1471"/>
      <c r="E77" s="1472">
        <f t="shared" ca="1" si="2"/>
        <v>0</v>
      </c>
      <c r="F77" s="1473"/>
      <c r="G77" s="1472">
        <f t="shared" ca="1" si="3"/>
        <v>0</v>
      </c>
      <c r="H77" s="1474"/>
      <c r="I77" s="1475">
        <f t="shared" ca="1" si="4"/>
        <v>0</v>
      </c>
    </row>
    <row r="78" spans="1:18" ht="14.75" customHeight="1" x14ac:dyDescent="0.5">
      <c r="A78" s="1405" t="s">
        <v>339</v>
      </c>
      <c r="B78" s="1406"/>
      <c r="C78" s="1406"/>
      <c r="D78" s="1407"/>
      <c r="E78" s="1408">
        <f t="shared" ca="1" si="2"/>
        <v>70.84</v>
      </c>
      <c r="F78" s="1409"/>
      <c r="G78" s="1410">
        <f t="shared" ca="1" si="3"/>
        <v>1.88</v>
      </c>
      <c r="H78" s="1411"/>
      <c r="I78" s="1467">
        <f t="shared" ca="1" si="4"/>
        <v>72.72</v>
      </c>
    </row>
    <row r="79" spans="1:18" ht="14.75" customHeight="1" x14ac:dyDescent="0.5">
      <c r="A79" s="1476" t="s">
        <v>340</v>
      </c>
      <c r="B79" s="1477"/>
      <c r="C79" s="1477"/>
      <c r="D79" s="1478"/>
      <c r="E79" s="1479"/>
      <c r="F79" s="1480"/>
      <c r="G79" s="1479"/>
      <c r="H79" s="1481"/>
      <c r="I79" s="1482">
        <f ca="1">I78</f>
        <v>72.72</v>
      </c>
    </row>
    <row r="80" spans="1:18" s="1488" customFormat="1" ht="11.75" customHeight="1" x14ac:dyDescent="0.4">
      <c r="A80" s="1483" t="s">
        <v>1086</v>
      </c>
      <c r="B80" s="1484"/>
      <c r="C80" s="1484"/>
      <c r="D80" s="1485"/>
      <c r="E80" s="1486"/>
      <c r="F80" s="1486"/>
      <c r="G80" s="1486"/>
      <c r="H80" s="1486"/>
      <c r="I80" s="1487"/>
      <c r="K80" s="1946"/>
      <c r="L80" s="1946"/>
      <c r="M80" s="1946"/>
      <c r="N80" s="1946"/>
      <c r="O80" s="1946"/>
      <c r="P80" s="1946"/>
      <c r="Q80" s="1946"/>
      <c r="R80" s="1946"/>
    </row>
    <row r="81" spans="1:9" x14ac:dyDescent="0.5">
      <c r="A81" s="1425"/>
      <c r="B81" s="1426"/>
      <c r="C81" s="1426"/>
      <c r="D81" s="1427"/>
      <c r="E81" s="1428"/>
      <c r="F81" s="1429"/>
      <c r="G81" s="1429"/>
      <c r="H81" s="1429"/>
      <c r="I81" s="1430"/>
    </row>
    <row r="82" spans="1:9" x14ac:dyDescent="0.5">
      <c r="A82" s="1343" t="s">
        <v>399</v>
      </c>
      <c r="B82" s="1489"/>
      <c r="C82" s="1489"/>
      <c r="D82" s="1490"/>
      <c r="E82" s="1341"/>
      <c r="F82" s="1342"/>
      <c r="G82" s="3154" t="s">
        <v>934</v>
      </c>
      <c r="H82" s="3156" t="s">
        <v>347</v>
      </c>
      <c r="I82" s="1430"/>
    </row>
    <row r="83" spans="1:9" x14ac:dyDescent="0.5">
      <c r="A83" s="1867"/>
      <c r="B83" s="1514"/>
      <c r="C83" s="1514"/>
      <c r="D83" s="1868"/>
      <c r="F83" s="1869"/>
      <c r="G83" s="3155"/>
      <c r="H83" s="3157"/>
      <c r="I83" s="1430"/>
    </row>
    <row r="84" spans="1:9" x14ac:dyDescent="0.5">
      <c r="A84" s="1492" t="s">
        <v>107</v>
      </c>
      <c r="B84" s="1493"/>
      <c r="C84" s="1493"/>
      <c r="D84" s="1494"/>
      <c r="E84" s="1870">
        <f ca="1">G84/G$84</f>
        <v>1</v>
      </c>
      <c r="F84" s="1496">
        <f ca="1">E84</f>
        <v>1</v>
      </c>
      <c r="G84" s="1497">
        <f ca="1">E24</f>
        <v>68.84</v>
      </c>
      <c r="H84" s="1498">
        <f ca="1">G84/D$50</f>
        <v>17.649999999999999</v>
      </c>
      <c r="I84" s="1430"/>
    </row>
    <row r="85" spans="1:9" x14ac:dyDescent="0.5">
      <c r="A85" s="1499" t="s">
        <v>343</v>
      </c>
      <c r="B85" s="1500"/>
      <c r="C85" s="1500"/>
      <c r="D85" s="1501"/>
      <c r="E85" s="1495">
        <f t="shared" ref="E85:E92" ca="1" si="6">G85/G$84</f>
        <v>0.15110000000000001</v>
      </c>
      <c r="F85" s="1502">
        <f ca="1">E85+F84</f>
        <v>1.1511</v>
      </c>
      <c r="G85" s="1503">
        <f ca="1">F24</f>
        <v>10.4</v>
      </c>
      <c r="H85" s="1504">
        <f t="shared" ref="H85:H92" ca="1" si="7">G85/D$50</f>
        <v>2.67</v>
      </c>
      <c r="I85" s="1430"/>
    </row>
    <row r="86" spans="1:9" x14ac:dyDescent="0.5">
      <c r="A86" s="1505" t="s">
        <v>933</v>
      </c>
      <c r="B86" s="1506"/>
      <c r="C86" s="1506"/>
      <c r="D86" s="267"/>
      <c r="E86" s="1495">
        <f t="shared" ca="1" si="6"/>
        <v>0</v>
      </c>
      <c r="F86" s="1502">
        <f t="shared" ref="F86:F92" ca="1" si="8">E86+F85</f>
        <v>1.1511</v>
      </c>
      <c r="G86" s="1507">
        <f ca="1">E26+F26</f>
        <v>0</v>
      </c>
      <c r="H86" s="1504">
        <f t="shared" ca="1" si="7"/>
        <v>0</v>
      </c>
      <c r="I86" s="1430"/>
    </row>
    <row r="87" spans="1:9" x14ac:dyDescent="0.5">
      <c r="A87" s="1505" t="s">
        <v>344</v>
      </c>
      <c r="B87" s="1506"/>
      <c r="C87" s="1506"/>
      <c r="D87" s="267"/>
      <c r="E87" s="1495">
        <f t="shared" ca="1" si="6"/>
        <v>0.3271</v>
      </c>
      <c r="F87" s="1502">
        <f t="shared" ca="1" si="8"/>
        <v>1.4782</v>
      </c>
      <c r="G87" s="1507">
        <f ca="1">E31-E24-E26+E37</f>
        <v>22.52</v>
      </c>
      <c r="H87" s="1504">
        <f t="shared" ca="1" si="7"/>
        <v>5.77</v>
      </c>
      <c r="I87" s="1430"/>
    </row>
    <row r="88" spans="1:9" x14ac:dyDescent="0.5">
      <c r="A88" s="1505" t="s">
        <v>956</v>
      </c>
      <c r="B88" s="1506"/>
      <c r="C88" s="1506"/>
      <c r="D88" s="267"/>
      <c r="E88" s="1495">
        <f t="shared" ca="1" si="6"/>
        <v>1.3414999999999999</v>
      </c>
      <c r="F88" s="1502">
        <f t="shared" ca="1" si="8"/>
        <v>2.8197000000000001</v>
      </c>
      <c r="G88" s="1507">
        <f ca="1">E34+E35+E36</f>
        <v>92.35</v>
      </c>
      <c r="H88" s="1504">
        <f t="shared" ca="1" si="7"/>
        <v>23.68</v>
      </c>
      <c r="I88" s="1430"/>
    </row>
    <row r="89" spans="1:9" x14ac:dyDescent="0.5">
      <c r="A89" s="1505" t="s">
        <v>1077</v>
      </c>
      <c r="B89" s="1506"/>
      <c r="C89" s="1506"/>
      <c r="D89" s="1508"/>
      <c r="E89" s="1495">
        <f t="shared" ca="1" si="6"/>
        <v>8.3199999999999996E-2</v>
      </c>
      <c r="F89" s="1502">
        <f t="shared" ca="1" si="8"/>
        <v>2.9028999999999998</v>
      </c>
      <c r="G89" s="1507">
        <f ca="1">G41</f>
        <v>5.73</v>
      </c>
      <c r="H89" s="1504">
        <f t="shared" ca="1" si="7"/>
        <v>1.47</v>
      </c>
      <c r="I89" s="1430"/>
    </row>
    <row r="90" spans="1:9" x14ac:dyDescent="0.5">
      <c r="A90" s="1505" t="s">
        <v>255</v>
      </c>
      <c r="B90" s="1506"/>
      <c r="C90" s="1506"/>
      <c r="D90" s="1508"/>
      <c r="E90" s="1495">
        <f t="shared" ca="1" si="6"/>
        <v>0.3155</v>
      </c>
      <c r="F90" s="1502">
        <f t="shared" ca="1" si="8"/>
        <v>3.2183999999999999</v>
      </c>
      <c r="G90" s="1507">
        <f ca="1">SUM(E39:E40)</f>
        <v>21.72</v>
      </c>
      <c r="H90" s="1504">
        <f t="shared" ca="1" si="7"/>
        <v>5.57</v>
      </c>
      <c r="I90" s="1430"/>
    </row>
    <row r="91" spans="1:9" x14ac:dyDescent="0.5">
      <c r="A91" s="1505" t="s">
        <v>247</v>
      </c>
      <c r="B91" s="1506"/>
      <c r="C91" s="1506"/>
      <c r="D91" s="1508"/>
      <c r="E91" s="1495">
        <f t="shared" ca="1" si="6"/>
        <v>0</v>
      </c>
      <c r="F91" s="1502">
        <f t="shared" ca="1" si="8"/>
        <v>3.2183999999999999</v>
      </c>
      <c r="G91" s="1507">
        <f ca="1">I42</f>
        <v>0</v>
      </c>
      <c r="H91" s="1504">
        <f t="shared" ca="1" si="7"/>
        <v>0</v>
      </c>
      <c r="I91" s="1430"/>
    </row>
    <row r="92" spans="1:9" x14ac:dyDescent="0.5">
      <c r="A92" s="1307" t="s">
        <v>957</v>
      </c>
      <c r="B92" s="1509"/>
      <c r="C92" s="1509"/>
      <c r="D92" s="1871"/>
      <c r="E92" s="1510">
        <f t="shared" ca="1" si="6"/>
        <v>0.90110000000000001</v>
      </c>
      <c r="F92" s="1872">
        <f t="shared" ca="1" si="8"/>
        <v>4.1195000000000004</v>
      </c>
      <c r="G92" s="1524">
        <f ca="1">SUM(I44,I45)</f>
        <v>62.03</v>
      </c>
      <c r="H92" s="1873">
        <f t="shared" ca="1" si="7"/>
        <v>15.91</v>
      </c>
      <c r="I92" s="1430"/>
    </row>
    <row r="93" spans="1:9" x14ac:dyDescent="0.5">
      <c r="A93" s="1307" t="s">
        <v>56</v>
      </c>
      <c r="B93" s="719"/>
      <c r="C93" s="1509"/>
      <c r="D93" s="1509"/>
      <c r="E93" s="1510"/>
      <c r="F93" s="1511"/>
      <c r="G93" s="1512">
        <f ca="1">SUM(G84:G92)</f>
        <v>283.58999999999997</v>
      </c>
      <c r="H93" s="1512">
        <f ca="1">SUM(H84:H92)</f>
        <v>72.72</v>
      </c>
      <c r="I93" s="1430"/>
    </row>
    <row r="94" spans="1:9" x14ac:dyDescent="0.5">
      <c r="A94" s="1513"/>
      <c r="B94" s="1514"/>
      <c r="C94" s="1514"/>
      <c r="D94" s="1514"/>
      <c r="E94" s="1514"/>
      <c r="G94" s="1514"/>
      <c r="H94" s="1514"/>
      <c r="I94" s="1430"/>
    </row>
    <row r="95" spans="1:9" x14ac:dyDescent="0.5">
      <c r="A95" s="1513"/>
      <c r="B95" s="1514"/>
      <c r="C95" s="1514"/>
      <c r="D95" s="1514"/>
      <c r="E95" s="1514"/>
      <c r="G95" s="1514"/>
      <c r="H95" s="1514"/>
      <c r="I95" s="1430"/>
    </row>
    <row r="96" spans="1:9" x14ac:dyDescent="0.5">
      <c r="A96" s="1513"/>
      <c r="B96" s="1514"/>
      <c r="C96" s="1514"/>
      <c r="D96" s="1514"/>
      <c r="E96" s="1514"/>
      <c r="G96" s="1514"/>
      <c r="H96" s="1514"/>
      <c r="I96" s="1430"/>
    </row>
    <row r="97" spans="1:9" x14ac:dyDescent="0.5">
      <c r="A97" s="1513"/>
      <c r="B97" s="1514"/>
      <c r="C97" s="1514"/>
      <c r="D97" s="1514"/>
      <c r="E97" s="1514"/>
      <c r="G97" s="1514"/>
      <c r="H97" s="1514"/>
      <c r="I97" s="1430"/>
    </row>
    <row r="98" spans="1:9" x14ac:dyDescent="0.5">
      <c r="A98" s="1513"/>
      <c r="B98" s="1514"/>
      <c r="C98" s="1514"/>
      <c r="D98" s="1514"/>
      <c r="E98" s="1514"/>
      <c r="G98" s="1514"/>
      <c r="H98" s="1514"/>
      <c r="I98" s="1430"/>
    </row>
    <row r="99" spans="1:9" x14ac:dyDescent="0.5">
      <c r="A99" s="1513"/>
      <c r="B99" s="1514"/>
      <c r="C99" s="1514"/>
      <c r="D99" s="1514"/>
      <c r="E99" s="1514"/>
      <c r="G99" s="1514"/>
      <c r="H99" s="1514"/>
      <c r="I99" s="1430"/>
    </row>
    <row r="100" spans="1:9" x14ac:dyDescent="0.5">
      <c r="A100" s="1513"/>
      <c r="B100" s="1514"/>
      <c r="C100" s="1514"/>
      <c r="D100" s="1514"/>
      <c r="E100" s="1514"/>
      <c r="G100" s="1514"/>
      <c r="H100" s="1514"/>
      <c r="I100" s="1430"/>
    </row>
    <row r="101" spans="1:9" x14ac:dyDescent="0.5">
      <c r="A101" s="1513"/>
      <c r="B101" s="1514"/>
      <c r="C101" s="1514"/>
      <c r="D101" s="1514"/>
      <c r="E101" s="1514"/>
      <c r="G101" s="1514"/>
      <c r="H101" s="1514"/>
      <c r="I101" s="1430"/>
    </row>
    <row r="102" spans="1:9" x14ac:dyDescent="0.5">
      <c r="A102" s="1513"/>
      <c r="B102" s="1514"/>
      <c r="C102" s="1514"/>
      <c r="D102" s="1514"/>
      <c r="E102" s="1514"/>
      <c r="G102" s="1514"/>
      <c r="H102" s="1514"/>
      <c r="I102" s="1430"/>
    </row>
    <row r="103" spans="1:9" x14ac:dyDescent="0.5">
      <c r="A103" s="1513"/>
      <c r="B103" s="1514"/>
      <c r="C103" s="1514"/>
      <c r="D103" s="1514"/>
      <c r="E103" s="1514"/>
      <c r="G103" s="1514"/>
      <c r="H103" s="1514"/>
      <c r="I103" s="1430"/>
    </row>
    <row r="104" spans="1:9" x14ac:dyDescent="0.5">
      <c r="A104" s="1513"/>
      <c r="B104" s="1514"/>
      <c r="C104" s="1514"/>
      <c r="D104" s="1514"/>
      <c r="E104" s="1514"/>
      <c r="G104" s="1514"/>
      <c r="H104" s="1514"/>
      <c r="I104" s="1430"/>
    </row>
    <row r="109" spans="1:9" x14ac:dyDescent="0.5">
      <c r="A109" s="1343" t="s">
        <v>974</v>
      </c>
      <c r="B109" s="1489"/>
      <c r="C109" s="1489"/>
      <c r="D109" s="1489"/>
      <c r="E109" s="1489"/>
      <c r="F109" s="1341"/>
      <c r="G109" s="1489"/>
      <c r="H109" s="1515"/>
    </row>
    <row r="110" spans="1:9" x14ac:dyDescent="0.5">
      <c r="A110" s="1505" t="s">
        <v>345</v>
      </c>
      <c r="B110" s="1506"/>
      <c r="C110" s="1506"/>
      <c r="D110" s="1506"/>
      <c r="E110" s="1506"/>
      <c r="F110" s="267"/>
      <c r="G110" s="1516">
        <f ca="1">H93</f>
        <v>72.72</v>
      </c>
      <c r="H110" s="1517">
        <f ca="1">G110/G$110</f>
        <v>1</v>
      </c>
      <c r="I110" s="267"/>
    </row>
    <row r="111" spans="1:9" x14ac:dyDescent="0.5">
      <c r="A111" s="1518" t="s">
        <v>935</v>
      </c>
      <c r="B111" s="1519"/>
      <c r="C111" s="1519"/>
      <c r="D111" s="1519"/>
      <c r="E111" s="1520"/>
      <c r="F111" s="1521">
        <f ca="1">G68</f>
        <v>1.4</v>
      </c>
      <c r="G111" s="1506"/>
      <c r="H111" s="1522"/>
      <c r="I111" s="267"/>
    </row>
    <row r="112" spans="1:9" x14ac:dyDescent="0.5">
      <c r="A112" s="1518" t="s">
        <v>937</v>
      </c>
      <c r="B112" s="1519"/>
      <c r="C112" s="1519"/>
      <c r="D112" s="1519"/>
      <c r="E112" s="1520"/>
      <c r="F112" s="1521">
        <f ca="1">H86*E71/E61</f>
        <v>0</v>
      </c>
      <c r="G112" s="1506"/>
      <c r="H112" s="1522"/>
      <c r="I112" s="267"/>
    </row>
    <row r="113" spans="1:18" x14ac:dyDescent="0.5">
      <c r="A113" s="1518" t="s">
        <v>938</v>
      </c>
      <c r="B113" s="1519"/>
      <c r="C113" s="1519"/>
      <c r="D113" s="1519"/>
      <c r="E113" s="1520"/>
      <c r="F113" s="1521">
        <f ca="1">I69</f>
        <v>5.64</v>
      </c>
      <c r="G113" s="1506"/>
      <c r="H113" s="1522"/>
      <c r="I113" s="267"/>
    </row>
    <row r="114" spans="1:18" x14ac:dyDescent="0.5">
      <c r="A114" s="1518" t="s">
        <v>939</v>
      </c>
      <c r="B114" s="1519"/>
      <c r="C114" s="1519"/>
      <c r="D114" s="1519"/>
      <c r="E114" s="1520"/>
      <c r="F114" s="1521">
        <f ca="1">SUM(I72)</f>
        <v>0</v>
      </c>
      <c r="G114" s="1506"/>
      <c r="H114" s="1522"/>
      <c r="I114" s="267"/>
    </row>
    <row r="115" spans="1:18" x14ac:dyDescent="0.5">
      <c r="A115" s="1518" t="s">
        <v>940</v>
      </c>
      <c r="B115" s="1519"/>
      <c r="C115" s="1519"/>
      <c r="D115" s="1519"/>
      <c r="E115" s="1520"/>
      <c r="F115" s="1521">
        <f ca="1">SUM(I74:I75)</f>
        <v>15.9</v>
      </c>
      <c r="G115" s="1509"/>
      <c r="H115" s="1522"/>
      <c r="I115" s="267"/>
    </row>
    <row r="116" spans="1:18" x14ac:dyDescent="0.5">
      <c r="A116" s="1505" t="s">
        <v>936</v>
      </c>
      <c r="B116" s="1506"/>
      <c r="C116" s="1506"/>
      <c r="D116" s="1506"/>
      <c r="E116" s="267"/>
      <c r="F116" s="267"/>
      <c r="G116" s="1523">
        <f ca="1">SUM(F111:F115)</f>
        <v>22.94</v>
      </c>
      <c r="H116" s="1517">
        <f ca="1">G116/G$110</f>
        <v>0.3155</v>
      </c>
      <c r="I116" s="267"/>
    </row>
    <row r="117" spans="1:18" x14ac:dyDescent="0.5">
      <c r="A117" s="1307" t="s">
        <v>941</v>
      </c>
      <c r="B117" s="1509"/>
      <c r="C117" s="1509"/>
      <c r="D117" s="1509"/>
      <c r="E117" s="719"/>
      <c r="F117" s="719"/>
      <c r="G117" s="1524">
        <f ca="1">H93-G116</f>
        <v>49.78</v>
      </c>
      <c r="H117" s="1525">
        <f ca="1">G117/G$110</f>
        <v>0.6845</v>
      </c>
      <c r="I117" s="267"/>
    </row>
    <row r="118" spans="1:18" x14ac:dyDescent="0.5">
      <c r="A118" s="267"/>
      <c r="B118" s="267"/>
      <c r="C118" s="267"/>
      <c r="D118" s="267"/>
      <c r="E118" s="267"/>
      <c r="F118" s="267"/>
      <c r="G118" s="267"/>
      <c r="H118" s="267"/>
      <c r="I118" s="267"/>
    </row>
    <row r="119" spans="1:18" x14ac:dyDescent="0.5">
      <c r="A119" s="267"/>
      <c r="B119" s="267"/>
      <c r="C119" s="267"/>
      <c r="D119" s="267"/>
      <c r="E119" s="267"/>
      <c r="F119" s="267"/>
      <c r="G119" s="267"/>
      <c r="H119" s="267"/>
      <c r="I119" s="267"/>
    </row>
    <row r="120" spans="1:18" s="1488" customFormat="1" ht="25.05" customHeight="1" x14ac:dyDescent="0.4">
      <c r="A120" s="1526" t="s">
        <v>348</v>
      </c>
      <c r="B120" s="1527"/>
      <c r="C120" s="1528"/>
      <c r="D120" s="1527"/>
      <c r="E120" s="1527"/>
      <c r="F120" s="1527"/>
      <c r="G120" s="1527"/>
      <c r="H120" s="1527"/>
      <c r="I120" s="1529"/>
      <c r="K120" s="1946"/>
      <c r="L120" s="1946"/>
      <c r="M120" s="1946"/>
      <c r="N120" s="1946"/>
      <c r="O120" s="1946"/>
      <c r="P120" s="1946"/>
      <c r="Q120" s="1946"/>
      <c r="R120" s="1946"/>
    </row>
    <row r="121" spans="1:18" x14ac:dyDescent="0.5">
      <c r="A121" s="1340" t="s">
        <v>349</v>
      </c>
      <c r="B121" s="1530"/>
      <c r="C121" s="1340"/>
      <c r="D121" s="1341"/>
      <c r="E121" s="1341"/>
      <c r="F121" s="1341"/>
      <c r="G121" s="1341"/>
      <c r="H121" s="1341"/>
      <c r="I121" s="1342"/>
    </row>
    <row r="122" spans="1:18" x14ac:dyDescent="0.5">
      <c r="A122" s="3202" t="s">
        <v>1073</v>
      </c>
      <c r="B122" s="3203"/>
      <c r="C122" s="3203"/>
      <c r="D122" s="3203"/>
      <c r="E122" s="3203"/>
      <c r="F122" s="3203"/>
      <c r="G122" s="3203"/>
      <c r="H122" s="3203"/>
      <c r="I122" s="3204"/>
    </row>
    <row r="123" spans="1:18" x14ac:dyDescent="0.5">
      <c r="A123" s="3205"/>
      <c r="B123" s="3206"/>
      <c r="C123" s="3206"/>
      <c r="D123" s="3206"/>
      <c r="E123" s="3206"/>
      <c r="F123" s="3206"/>
      <c r="G123" s="3206"/>
      <c r="H123" s="3206"/>
      <c r="I123" s="3207"/>
    </row>
    <row r="124" spans="1:18" x14ac:dyDescent="0.5">
      <c r="A124" s="3208" t="s">
        <v>1074</v>
      </c>
      <c r="B124" s="2588"/>
      <c r="C124" s="2588"/>
      <c r="D124" s="2588"/>
      <c r="E124" s="2588"/>
      <c r="F124" s="2588"/>
      <c r="G124" s="2588"/>
      <c r="H124" s="2588"/>
      <c r="I124" s="3209"/>
    </row>
    <row r="125" spans="1:18" ht="15.75" customHeight="1" x14ac:dyDescent="0.5">
      <c r="A125" s="3205" t="s">
        <v>1075</v>
      </c>
      <c r="B125" s="3206"/>
      <c r="C125" s="3206"/>
      <c r="D125" s="3206"/>
      <c r="E125" s="3206"/>
      <c r="F125" s="3206"/>
      <c r="G125" s="3206"/>
      <c r="H125" s="3206"/>
      <c r="I125" s="3207"/>
    </row>
    <row r="126" spans="1:18" x14ac:dyDescent="0.5">
      <c r="A126" s="3205"/>
      <c r="B126" s="3206"/>
      <c r="C126" s="3206"/>
      <c r="D126" s="3206"/>
      <c r="E126" s="3206"/>
      <c r="F126" s="3206"/>
      <c r="G126" s="3206"/>
      <c r="H126" s="3206"/>
      <c r="I126" s="3207"/>
    </row>
    <row r="127" spans="1:18" x14ac:dyDescent="0.5">
      <c r="A127" s="3205"/>
      <c r="B127" s="3206"/>
      <c r="C127" s="3206"/>
      <c r="D127" s="3206"/>
      <c r="E127" s="3206"/>
      <c r="F127" s="3206"/>
      <c r="G127" s="3206"/>
      <c r="H127" s="3206"/>
      <c r="I127" s="3207"/>
    </row>
    <row r="128" spans="1:18" x14ac:dyDescent="0.5">
      <c r="A128" s="3205"/>
      <c r="B128" s="3206"/>
      <c r="C128" s="3206"/>
      <c r="D128" s="3206"/>
      <c r="E128" s="3206"/>
      <c r="F128" s="3206"/>
      <c r="G128" s="3206"/>
      <c r="H128" s="3206"/>
      <c r="I128" s="3207"/>
    </row>
    <row r="129" spans="1:9" x14ac:dyDescent="0.5">
      <c r="A129" s="666" t="s">
        <v>325</v>
      </c>
      <c r="B129" s="267"/>
      <c r="C129" s="267"/>
      <c r="D129" s="267"/>
      <c r="E129" s="267"/>
      <c r="F129" s="267"/>
      <c r="G129" s="267"/>
      <c r="H129" s="267"/>
      <c r="I129" s="776"/>
    </row>
    <row r="130" spans="1:9" x14ac:dyDescent="0.5">
      <c r="A130" s="666" t="s">
        <v>326</v>
      </c>
      <c r="B130" s="267"/>
      <c r="C130" s="267"/>
      <c r="D130" s="267"/>
      <c r="E130" s="267"/>
      <c r="F130" s="267"/>
      <c r="G130" s="267"/>
      <c r="H130" s="267"/>
      <c r="I130" s="776"/>
    </row>
    <row r="131" spans="1:9" x14ac:dyDescent="0.5">
      <c r="A131" s="666" t="s">
        <v>425</v>
      </c>
      <c r="B131" s="267"/>
      <c r="C131" s="1531"/>
      <c r="D131" s="267"/>
      <c r="E131" s="267"/>
      <c r="F131" s="267"/>
      <c r="G131" s="267"/>
      <c r="H131" s="267"/>
      <c r="I131" s="776"/>
    </row>
    <row r="132" spans="1:9" x14ac:dyDescent="0.5">
      <c r="A132" s="666" t="s">
        <v>357</v>
      </c>
      <c r="B132" s="267"/>
      <c r="C132" s="267"/>
      <c r="D132" s="267"/>
      <c r="E132" s="267"/>
      <c r="F132" s="267"/>
      <c r="G132" s="267"/>
      <c r="H132" s="267"/>
      <c r="I132" s="776"/>
    </row>
    <row r="133" spans="1:9" x14ac:dyDescent="0.5">
      <c r="A133" s="666" t="s">
        <v>358</v>
      </c>
      <c r="B133" s="267"/>
      <c r="C133" s="267"/>
      <c r="D133" s="267"/>
      <c r="E133" s="267"/>
      <c r="F133" s="267"/>
      <c r="G133" s="267"/>
      <c r="H133" s="267"/>
      <c r="I133" s="776"/>
    </row>
    <row r="134" spans="1:9" x14ac:dyDescent="0.5">
      <c r="A134" s="666" t="s">
        <v>327</v>
      </c>
      <c r="B134" s="267"/>
      <c r="C134" s="267"/>
      <c r="D134" s="267"/>
      <c r="E134" s="267"/>
      <c r="F134" s="267"/>
      <c r="G134" s="267"/>
      <c r="H134" s="267"/>
      <c r="I134" s="776"/>
    </row>
    <row r="135" spans="1:9" x14ac:dyDescent="0.5">
      <c r="A135" s="3205" t="s">
        <v>1076</v>
      </c>
      <c r="B135" s="3206"/>
      <c r="C135" s="3206"/>
      <c r="D135" s="3206"/>
      <c r="E135" s="3206"/>
      <c r="F135" s="3206"/>
      <c r="G135" s="3206"/>
      <c r="H135" s="3206"/>
      <c r="I135" s="3207"/>
    </row>
    <row r="136" spans="1:9" x14ac:dyDescent="0.5">
      <c r="A136" s="3205"/>
      <c r="B136" s="3206"/>
      <c r="C136" s="3206"/>
      <c r="D136" s="3206"/>
      <c r="E136" s="3206"/>
      <c r="F136" s="3206"/>
      <c r="G136" s="3206"/>
      <c r="H136" s="3206"/>
      <c r="I136" s="3207"/>
    </row>
    <row r="137" spans="1:9" x14ac:dyDescent="0.5">
      <c r="A137" s="3169" t="str">
        <f ca="1">IF(A14=K14,"ACHTUNG: Beachte auch REPORT Pkt A. Es sind Hinweise wegen Überschreitung von Richtwerten vorhanden.","")</f>
        <v/>
      </c>
      <c r="B137" s="3170"/>
      <c r="C137" s="3170"/>
      <c r="D137" s="3170"/>
      <c r="E137" s="3170"/>
      <c r="F137" s="3170"/>
      <c r="G137" s="3170"/>
      <c r="H137" s="3170"/>
      <c r="I137" s="3171"/>
    </row>
    <row r="138" spans="1:9" ht="25.05" customHeight="1" x14ac:dyDescent="0.5">
      <c r="A138" s="3210" t="s">
        <v>350</v>
      </c>
      <c r="B138" s="3211"/>
      <c r="C138" s="3211"/>
      <c r="D138" s="3211"/>
      <c r="E138" s="3212"/>
      <c r="F138" s="1528"/>
      <c r="G138" s="1532" t="s">
        <v>359</v>
      </c>
      <c r="H138" s="1533">
        <f ca="1">TODAY()</f>
        <v>45671</v>
      </c>
      <c r="I138" s="1534">
        <f ca="1">NOW()</f>
        <v>45671.584024999996</v>
      </c>
    </row>
    <row r="139" spans="1:9" ht="15.85" customHeight="1" x14ac:dyDescent="0.5">
      <c r="A139" s="3158" t="str">
        <f ca="1">A19</f>
        <v>Kalkulation konnte mit einem Ergebnis abgeschlossen werden.</v>
      </c>
      <c r="B139" s="3159"/>
      <c r="C139" s="3159"/>
      <c r="D139" s="3159"/>
      <c r="E139" s="3159"/>
      <c r="F139" s="3159"/>
      <c r="G139" s="3159"/>
      <c r="H139" s="3159"/>
      <c r="I139" s="3160"/>
    </row>
    <row r="140" spans="1:9" ht="15.85" customHeight="1" x14ac:dyDescent="0.5">
      <c r="A140" s="3164"/>
      <c r="B140" s="3165"/>
      <c r="C140" s="3165"/>
      <c r="D140" s="3165"/>
      <c r="E140" s="3165"/>
      <c r="F140" s="3165"/>
      <c r="G140" s="3165"/>
      <c r="H140" s="3165"/>
      <c r="I140" s="3166"/>
    </row>
    <row r="141" spans="1:9" ht="15.85" customHeight="1" x14ac:dyDescent="0.5">
      <c r="A141" s="1535" t="s">
        <v>435</v>
      </c>
      <c r="B141" s="1536"/>
      <c r="C141" s="1537"/>
      <c r="D141" s="1538" t="str">
        <f ca="1">MID(CELL("Dateiname"),SEARCH("[",CELL("Dateiname"))+1,SEARCH("]",CELL("Dateiname"))-SEARCH("[",CELL("Dateiname"))-1)</f>
        <v>K3_Beispiel01.xlsx</v>
      </c>
      <c r="E141" s="1538"/>
      <c r="F141" s="1538"/>
      <c r="G141" s="1538"/>
      <c r="H141" s="1539"/>
      <c r="I141" s="1540"/>
    </row>
    <row r="142" spans="1:9" ht="15.85" customHeight="1" x14ac:dyDescent="0.5">
      <c r="A142" s="3172" t="s">
        <v>434</v>
      </c>
      <c r="B142" s="3173"/>
      <c r="C142" s="267"/>
      <c r="D142" s="3104"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[K3_EuM_Quelle.xlsx] und dem Blattnamen mit [EuM_Spengler_25].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88"/>
      <c r="F142" s="3088"/>
      <c r="G142" s="3088"/>
      <c r="H142" s="3088"/>
      <c r="I142" s="3105"/>
    </row>
    <row r="143" spans="1:9" ht="15.85" customHeight="1" x14ac:dyDescent="0.5">
      <c r="A143" s="3172"/>
      <c r="B143" s="3173"/>
      <c r="C143" s="1541"/>
      <c r="D143" s="3106"/>
      <c r="E143" s="3089"/>
      <c r="F143" s="3089"/>
      <c r="G143" s="3089"/>
      <c r="H143" s="3089"/>
      <c r="I143" s="3107"/>
    </row>
    <row r="144" spans="1:9" ht="15.85" customHeight="1" x14ac:dyDescent="0.5">
      <c r="A144" s="3172"/>
      <c r="B144" s="3173"/>
      <c r="C144" s="1541"/>
      <c r="D144" s="3106"/>
      <c r="E144" s="3089"/>
      <c r="F144" s="3089"/>
      <c r="G144" s="3089"/>
      <c r="H144" s="3089"/>
      <c r="I144" s="3107"/>
    </row>
    <row r="145" spans="1:11" ht="15.85" customHeight="1" x14ac:dyDescent="0.5">
      <c r="A145" s="3172"/>
      <c r="B145" s="3173"/>
      <c r="C145" s="1541"/>
      <c r="D145" s="3106"/>
      <c r="E145" s="3089"/>
      <c r="F145" s="3089"/>
      <c r="G145" s="3089"/>
      <c r="H145" s="3089"/>
      <c r="I145" s="3107"/>
    </row>
    <row r="146" spans="1:11" ht="15.85" customHeight="1" x14ac:dyDescent="0.5">
      <c r="A146" s="3172"/>
      <c r="B146" s="3173"/>
      <c r="C146" s="1541"/>
      <c r="D146" s="3106"/>
      <c r="E146" s="3089"/>
      <c r="F146" s="3089"/>
      <c r="G146" s="3089"/>
      <c r="H146" s="3089"/>
      <c r="I146" s="3107"/>
    </row>
    <row r="147" spans="1:11" ht="15.85" customHeight="1" x14ac:dyDescent="0.5">
      <c r="A147" s="3172"/>
      <c r="B147" s="3173"/>
      <c r="C147" s="1541"/>
      <c r="D147" s="3106"/>
      <c r="E147" s="3089"/>
      <c r="F147" s="3089"/>
      <c r="G147" s="3089"/>
      <c r="H147" s="3089"/>
      <c r="I147" s="3107"/>
    </row>
    <row r="148" spans="1:11" ht="15.85" customHeight="1" x14ac:dyDescent="0.5">
      <c r="A148" s="3172"/>
      <c r="B148" s="3173"/>
      <c r="C148" s="1541"/>
      <c r="D148" s="3106"/>
      <c r="E148" s="3089"/>
      <c r="F148" s="3089"/>
      <c r="G148" s="3089"/>
      <c r="H148" s="3089"/>
      <c r="I148" s="3107"/>
    </row>
    <row r="149" spans="1:11" ht="15.85" customHeight="1" x14ac:dyDescent="0.5">
      <c r="A149" s="3174"/>
      <c r="B149" s="3175"/>
      <c r="C149" s="1542"/>
      <c r="D149" s="3108"/>
      <c r="E149" s="3109"/>
      <c r="F149" s="3109"/>
      <c r="G149" s="3109"/>
      <c r="H149" s="3109"/>
      <c r="I149" s="3110"/>
    </row>
    <row r="150" spans="1:11" x14ac:dyDescent="0.5">
      <c r="A150" s="3210" t="s">
        <v>454</v>
      </c>
      <c r="B150" s="3211"/>
      <c r="C150" s="3211"/>
      <c r="D150" s="3211"/>
      <c r="E150" s="3211"/>
      <c r="F150" s="3211"/>
      <c r="G150" s="3211"/>
      <c r="H150" s="3211"/>
      <c r="I150" s="3212"/>
    </row>
    <row r="151" spans="1:11" x14ac:dyDescent="0.5">
      <c r="A151" s="1526"/>
      <c r="B151" s="1527"/>
      <c r="C151" s="1527"/>
      <c r="D151" s="1527"/>
      <c r="E151" s="1543" t="s">
        <v>402</v>
      </c>
      <c r="F151" s="3213" t="str">
        <f>"KALKULATION Punkt "&amp;K151</f>
        <v>KALKULATION Punkt A</v>
      </c>
      <c r="G151" s="3213"/>
      <c r="H151" s="1544" t="s">
        <v>400</v>
      </c>
      <c r="I151" s="1545" t="s">
        <v>401</v>
      </c>
      <c r="K151" s="1268" t="s">
        <v>6</v>
      </c>
    </row>
    <row r="152" spans="1:11" ht="18.399999999999999" customHeight="1" x14ac:dyDescent="0.5">
      <c r="A152" s="3104" t="str">
        <f ca="1">A403&amp;"
"&amp;A411&amp;"
"&amp;A415</f>
        <v>Die Kalkulation erfolgt für das Projekt [Musterprojekt Spenglerarbeiten]. Als Geschäftszahl der Ausschreibung ist [??] angegeben. Die GZ des Unternehmers ist mit [001/25] angegeben. 
Das angegebene Kalkulationsdatum ist der 01.01.2025. In Bezug zum heutigen Tag liegt das Kalkulationsdatum (wird als Datum der Erstellung der Kalkulation verstanden) 13 Tage zuvor. 
Der Personalpreis wird für die Personalkostenart [Lohn] und für die Leistungsart [Montage] ermittelt.</v>
      </c>
      <c r="B152" s="3088"/>
      <c r="C152" s="3088"/>
      <c r="D152" s="3088"/>
      <c r="E152" s="3088"/>
      <c r="F152" s="3088"/>
      <c r="G152" s="3088"/>
      <c r="H152" s="3088"/>
      <c r="I152" s="3105"/>
    </row>
    <row r="153" spans="1:11" ht="18.399999999999999" customHeight="1" x14ac:dyDescent="0.5">
      <c r="A153" s="3106"/>
      <c r="B153" s="3089"/>
      <c r="C153" s="3089"/>
      <c r="D153" s="3089"/>
      <c r="E153" s="3089"/>
      <c r="F153" s="3089"/>
      <c r="G153" s="3089"/>
      <c r="H153" s="3089"/>
      <c r="I153" s="3107"/>
    </row>
    <row r="154" spans="1:11" ht="18.399999999999999" customHeight="1" x14ac:dyDescent="0.5">
      <c r="A154" s="3106"/>
      <c r="B154" s="3089"/>
      <c r="C154" s="3089"/>
      <c r="D154" s="3089"/>
      <c r="E154" s="3089"/>
      <c r="F154" s="3089"/>
      <c r="G154" s="3089"/>
      <c r="H154" s="3089"/>
      <c r="I154" s="3107"/>
    </row>
    <row r="155" spans="1:11" ht="18.399999999999999" customHeight="1" x14ac:dyDescent="0.5">
      <c r="A155" s="3106"/>
      <c r="B155" s="3089"/>
      <c r="C155" s="3089"/>
      <c r="D155" s="3089"/>
      <c r="E155" s="3089"/>
      <c r="F155" s="3089"/>
      <c r="G155" s="3089"/>
      <c r="H155" s="3089"/>
      <c r="I155" s="3107"/>
    </row>
    <row r="156" spans="1:11" ht="18.399999999999999" customHeight="1" x14ac:dyDescent="0.5">
      <c r="A156" s="3106"/>
      <c r="B156" s="3089"/>
      <c r="C156" s="3089"/>
      <c r="D156" s="3089"/>
      <c r="E156" s="3089"/>
      <c r="F156" s="3089"/>
      <c r="G156" s="3089"/>
      <c r="H156" s="3089"/>
      <c r="I156" s="3107"/>
    </row>
    <row r="157" spans="1:11" ht="18.399999999999999" customHeight="1" x14ac:dyDescent="0.5">
      <c r="A157" s="3106"/>
      <c r="B157" s="3089"/>
      <c r="C157" s="3089"/>
      <c r="D157" s="3089"/>
      <c r="E157" s="3089"/>
      <c r="F157" s="3089"/>
      <c r="G157" s="3089"/>
      <c r="H157" s="3089"/>
      <c r="I157" s="3107"/>
    </row>
    <row r="158" spans="1:11" ht="18.399999999999999" customHeight="1" x14ac:dyDescent="0.5">
      <c r="A158" s="3108"/>
      <c r="B158" s="3109"/>
      <c r="C158" s="3109"/>
      <c r="D158" s="3109"/>
      <c r="E158" s="3109"/>
      <c r="F158" s="3109"/>
      <c r="G158" s="3109"/>
      <c r="H158" s="3109"/>
      <c r="I158" s="3110"/>
    </row>
    <row r="159" spans="1:11" ht="18.399999999999999" customHeight="1" x14ac:dyDescent="0.5">
      <c r="A159" s="1546" t="s">
        <v>958</v>
      </c>
      <c r="B159" s="1547"/>
      <c r="C159" s="1547"/>
      <c r="D159" s="1547"/>
      <c r="E159" s="1547"/>
      <c r="F159" s="1547"/>
      <c r="G159" s="1547"/>
      <c r="H159" s="1547"/>
      <c r="I159" s="1548"/>
    </row>
    <row r="160" spans="1:11" ht="18.399999999999999" customHeight="1" x14ac:dyDescent="0.5">
      <c r="A160" s="1526"/>
      <c r="B160" s="1527"/>
      <c r="C160" s="1527"/>
      <c r="D160" s="1527"/>
      <c r="E160" s="1543" t="s">
        <v>402</v>
      </c>
      <c r="F160" s="3213" t="str">
        <f>"KALKULATION Punkt "&amp;K160</f>
        <v>KALKULATION Punkt B1</v>
      </c>
      <c r="G160" s="3213"/>
      <c r="H160" s="1544" t="s">
        <v>400</v>
      </c>
      <c r="I160" s="1545" t="s">
        <v>406</v>
      </c>
      <c r="K160" s="1268" t="s">
        <v>740</v>
      </c>
    </row>
    <row r="161" spans="1:9" ht="15.75" customHeight="1" x14ac:dyDescent="0.5">
      <c r="A161" s="3104" t="str">
        <f ca="1">A428&amp;A447&amp;A454&amp;A461&amp;A466</f>
        <v xml:space="preserve">Der verwendete Kollektivvertrag (KollV) ist der [KollV Eisen- und Metallverarbeitende Gewerbe (ArbeiterInnen)] mit dem Stichtag 01.01.2025. Im Bezug zum angegebenen Kalkulationsdatum liegt der KollV-Stichtag 0 Tage zuvor. Im Bezug zum heutigen Tag liegt der KollV-Stichtag 13 Tage zuvor. 
Die durchschnittliche Arbeitsgruppe für die Mittelpersonalkosten ist mit 4 Personen angenommen (B1). Dabei sind folgende Beschäftigungsgruppen (Anteile in %) berücksichtigt: [LG 2 Qualifizierter Facharbeiter (50%), LG 5 Qualifizierter Arbeitnehmer (50%)]. 
Das angesetzte höchste KV-Entgelt beträgt 19,91€/Std, das niedrigste 15,39€/Std. Im gewichteten Mittel beträgt das KV-Entgelt 17,65€. Darauf ist eine durchschnittliche Überzahlung (AKV-Entgelt) in Hv 2,65€ bzw 15,0% aufgeschlagen. Wegen der vorgenommenen Umlage von unproduktivem Personal (B2.a) kann der zuvor angegebene AKV-Wert vom im K3-Blatt dargestellten Wert abweichen. Er liegt (gewichtet über produktivem und unproduktivem Personal) bei 15,0% (B3). </v>
      </c>
      <c r="B161" s="3088"/>
      <c r="C161" s="3088"/>
      <c r="D161" s="3088"/>
      <c r="E161" s="3088"/>
      <c r="F161" s="3088"/>
      <c r="G161" s="3088"/>
      <c r="H161" s="3088"/>
      <c r="I161" s="3105"/>
    </row>
    <row r="162" spans="1:9" x14ac:dyDescent="0.5">
      <c r="A162" s="3106"/>
      <c r="B162" s="3089"/>
      <c r="C162" s="3089"/>
      <c r="D162" s="3089"/>
      <c r="E162" s="3089"/>
      <c r="F162" s="3089"/>
      <c r="G162" s="3089"/>
      <c r="H162" s="3089"/>
      <c r="I162" s="3107"/>
    </row>
    <row r="163" spans="1:9" x14ac:dyDescent="0.5">
      <c r="A163" s="3106"/>
      <c r="B163" s="3089"/>
      <c r="C163" s="3089"/>
      <c r="D163" s="3089"/>
      <c r="E163" s="3089"/>
      <c r="F163" s="3089"/>
      <c r="G163" s="3089"/>
      <c r="H163" s="3089"/>
      <c r="I163" s="3107"/>
    </row>
    <row r="164" spans="1:9" x14ac:dyDescent="0.5">
      <c r="A164" s="3106"/>
      <c r="B164" s="3089"/>
      <c r="C164" s="3089"/>
      <c r="D164" s="3089"/>
      <c r="E164" s="3089"/>
      <c r="F164" s="3089"/>
      <c r="G164" s="3089"/>
      <c r="H164" s="3089"/>
      <c r="I164" s="3107"/>
    </row>
    <row r="165" spans="1:9" x14ac:dyDescent="0.5">
      <c r="A165" s="3106"/>
      <c r="B165" s="3089"/>
      <c r="C165" s="3089"/>
      <c r="D165" s="3089"/>
      <c r="E165" s="3089"/>
      <c r="F165" s="3089"/>
      <c r="G165" s="3089"/>
      <c r="H165" s="3089"/>
      <c r="I165" s="3107"/>
    </row>
    <row r="166" spans="1:9" x14ac:dyDescent="0.5">
      <c r="A166" s="3106"/>
      <c r="B166" s="3089"/>
      <c r="C166" s="3089"/>
      <c r="D166" s="3089"/>
      <c r="E166" s="3089"/>
      <c r="F166" s="3089"/>
      <c r="G166" s="3089"/>
      <c r="H166" s="3089"/>
      <c r="I166" s="3107"/>
    </row>
    <row r="167" spans="1:9" x14ac:dyDescent="0.5">
      <c r="A167" s="3106"/>
      <c r="B167" s="3089"/>
      <c r="C167" s="3089"/>
      <c r="D167" s="3089"/>
      <c r="E167" s="3089"/>
      <c r="F167" s="3089"/>
      <c r="G167" s="3089"/>
      <c r="H167" s="3089"/>
      <c r="I167" s="3107"/>
    </row>
    <row r="168" spans="1:9" x14ac:dyDescent="0.5">
      <c r="A168" s="3106"/>
      <c r="B168" s="3089"/>
      <c r="C168" s="3089"/>
      <c r="D168" s="3089"/>
      <c r="E168" s="3089"/>
      <c r="F168" s="3089"/>
      <c r="G168" s="3089"/>
      <c r="H168" s="3089"/>
      <c r="I168" s="3107"/>
    </row>
    <row r="169" spans="1:9" x14ac:dyDescent="0.5">
      <c r="A169" s="3106"/>
      <c r="B169" s="3089"/>
      <c r="C169" s="3089"/>
      <c r="D169" s="3089"/>
      <c r="E169" s="3089"/>
      <c r="F169" s="3089"/>
      <c r="G169" s="3089"/>
      <c r="H169" s="3089"/>
      <c r="I169" s="3107"/>
    </row>
    <row r="170" spans="1:9" x14ac:dyDescent="0.5">
      <c r="A170" s="3106"/>
      <c r="B170" s="3089"/>
      <c r="C170" s="3089"/>
      <c r="D170" s="3089"/>
      <c r="E170" s="3089"/>
      <c r="F170" s="3089"/>
      <c r="G170" s="3089"/>
      <c r="H170" s="3089"/>
      <c r="I170" s="3107"/>
    </row>
    <row r="171" spans="1:9" x14ac:dyDescent="0.5">
      <c r="A171" s="3106"/>
      <c r="B171" s="3089"/>
      <c r="C171" s="3089"/>
      <c r="D171" s="3089"/>
      <c r="E171" s="3089"/>
      <c r="F171" s="3089"/>
      <c r="G171" s="3089"/>
      <c r="H171" s="3089"/>
      <c r="I171" s="3107"/>
    </row>
    <row r="172" spans="1:9" x14ac:dyDescent="0.5">
      <c r="A172" s="3106"/>
      <c r="B172" s="3089"/>
      <c r="C172" s="3089"/>
      <c r="D172" s="3089"/>
      <c r="E172" s="3089"/>
      <c r="F172" s="3089"/>
      <c r="G172" s="3089"/>
      <c r="H172" s="3089"/>
      <c r="I172" s="3107"/>
    </row>
    <row r="173" spans="1:9" x14ac:dyDescent="0.5">
      <c r="A173" s="3106"/>
      <c r="B173" s="3089"/>
      <c r="C173" s="3089"/>
      <c r="D173" s="3089"/>
      <c r="E173" s="3089"/>
      <c r="F173" s="3089"/>
      <c r="G173" s="3089"/>
      <c r="H173" s="3089"/>
      <c r="I173" s="3107"/>
    </row>
    <row r="174" spans="1:9" x14ac:dyDescent="0.5">
      <c r="A174" s="3106"/>
      <c r="B174" s="3089"/>
      <c r="C174" s="3089"/>
      <c r="D174" s="3089"/>
      <c r="E174" s="3089"/>
      <c r="F174" s="3089"/>
      <c r="G174" s="3089"/>
      <c r="H174" s="3089"/>
      <c r="I174" s="3107"/>
    </row>
    <row r="175" spans="1:9" x14ac:dyDescent="0.5">
      <c r="A175" s="3106"/>
      <c r="B175" s="3089"/>
      <c r="C175" s="3089"/>
      <c r="D175" s="3089"/>
      <c r="E175" s="3089"/>
      <c r="F175" s="3089"/>
      <c r="G175" s="3089"/>
      <c r="H175" s="3089"/>
      <c r="I175" s="3107"/>
    </row>
    <row r="176" spans="1:9" x14ac:dyDescent="0.5">
      <c r="A176" s="3108"/>
      <c r="B176" s="3109"/>
      <c r="C176" s="3109"/>
      <c r="D176" s="3109"/>
      <c r="E176" s="3109"/>
      <c r="F176" s="3109"/>
      <c r="G176" s="3109"/>
      <c r="H176" s="3109"/>
      <c r="I176" s="3110"/>
    </row>
    <row r="177" spans="1:11" x14ac:dyDescent="0.5">
      <c r="A177" s="3210" t="s">
        <v>455</v>
      </c>
      <c r="B177" s="3211"/>
      <c r="C177" s="3211"/>
      <c r="D177" s="3211"/>
      <c r="E177" s="3211"/>
      <c r="F177" s="3211"/>
      <c r="G177" s="3211"/>
      <c r="H177" s="3211"/>
      <c r="I177" s="3212"/>
    </row>
    <row r="178" spans="1:11" x14ac:dyDescent="0.5">
      <c r="A178" s="1549"/>
      <c r="B178" s="1550"/>
      <c r="C178" s="1550"/>
      <c r="D178" s="1550"/>
      <c r="E178" s="1551" t="s">
        <v>402</v>
      </c>
      <c r="F178" s="3213" t="str">
        <f>"KALKULATION Punkt "&amp;K178</f>
        <v>KALKULATION Punkt B2</v>
      </c>
      <c r="G178" s="3213"/>
      <c r="H178" s="1552" t="s">
        <v>400</v>
      </c>
      <c r="I178" s="1553" t="s">
        <v>403</v>
      </c>
      <c r="K178" s="1268" t="s">
        <v>672</v>
      </c>
    </row>
    <row r="179" spans="1:11" ht="15.75" customHeight="1" x14ac:dyDescent="0.5">
      <c r="A179" s="3104"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(2)) Anteil der Arbeitszeit der betroffenen Person. Hinweis: Eine Änderung der Anzahl in Pkt B1 ändert die Anzahl des unprod. Personals nicht (Auswahl 2 ist eine alternative Darstellung der Auswahl 1). 
Die Umlage betrifft das Ausmaß von 0,10 Person(en) / Köpfe und setzt sich wie folgt zusammen: [LG 2 Qualifizierter Facharbeiter]. Die 'produktiv' tätige Personenanzahl, jenes Personal das die verkaufbare Leistung erbringt, beträgt 3,90 (Köpfe). Der Umlageprozentsatz nach 'Köpfen' beträgt 2,56% (die wertmäßige Umlage kann davon abweichen). 
Es ist kein Ansatz für sonstige unproduktive Zeiten (B2.b) vorgenommen. 
Die Ansätze für unproduktives Personal (B2.a) und/oder sonstige unproduktive Zeiten (B2.b) ergeben einen Aufschlag nach 'Köpfen' von 2,56% bzw kalkulatorisch einen monetären Aufschlag in Höhe von 2,89%. </v>
      </c>
      <c r="B179" s="3088"/>
      <c r="C179" s="3088"/>
      <c r="D179" s="3088"/>
      <c r="E179" s="3088"/>
      <c r="F179" s="3088"/>
      <c r="G179" s="3088"/>
      <c r="H179" s="3088"/>
      <c r="I179" s="3105"/>
    </row>
    <row r="180" spans="1:11" x14ac:dyDescent="0.5">
      <c r="A180" s="3106"/>
      <c r="B180" s="3089"/>
      <c r="C180" s="3089"/>
      <c r="D180" s="3089"/>
      <c r="E180" s="3089"/>
      <c r="F180" s="3089"/>
      <c r="G180" s="3089"/>
      <c r="H180" s="3089"/>
      <c r="I180" s="3107"/>
    </row>
    <row r="181" spans="1:11" x14ac:dyDescent="0.5">
      <c r="A181" s="3106"/>
      <c r="B181" s="3089"/>
      <c r="C181" s="3089"/>
      <c r="D181" s="3089"/>
      <c r="E181" s="3089"/>
      <c r="F181" s="3089"/>
      <c r="G181" s="3089"/>
      <c r="H181" s="3089"/>
      <c r="I181" s="3107"/>
    </row>
    <row r="182" spans="1:11" x14ac:dyDescent="0.5">
      <c r="A182" s="3106"/>
      <c r="B182" s="3089"/>
      <c r="C182" s="3089"/>
      <c r="D182" s="3089"/>
      <c r="E182" s="3089"/>
      <c r="F182" s="3089"/>
      <c r="G182" s="3089"/>
      <c r="H182" s="3089"/>
      <c r="I182" s="3107"/>
    </row>
    <row r="183" spans="1:11" x14ac:dyDescent="0.5">
      <c r="A183" s="3106"/>
      <c r="B183" s="3089"/>
      <c r="C183" s="3089"/>
      <c r="D183" s="3089"/>
      <c r="E183" s="3089"/>
      <c r="F183" s="3089"/>
      <c r="G183" s="3089"/>
      <c r="H183" s="3089"/>
      <c r="I183" s="3107"/>
    </row>
    <row r="184" spans="1:11" x14ac:dyDescent="0.5">
      <c r="A184" s="3106"/>
      <c r="B184" s="3089"/>
      <c r="C184" s="3089"/>
      <c r="D184" s="3089"/>
      <c r="E184" s="3089"/>
      <c r="F184" s="3089"/>
      <c r="G184" s="3089"/>
      <c r="H184" s="3089"/>
      <c r="I184" s="3107"/>
    </row>
    <row r="185" spans="1:11" x14ac:dyDescent="0.5">
      <c r="A185" s="3106"/>
      <c r="B185" s="3089"/>
      <c r="C185" s="3089"/>
      <c r="D185" s="3089"/>
      <c r="E185" s="3089"/>
      <c r="F185" s="3089"/>
      <c r="G185" s="3089"/>
      <c r="H185" s="3089"/>
      <c r="I185" s="3107"/>
    </row>
    <row r="186" spans="1:11" x14ac:dyDescent="0.5">
      <c r="A186" s="3106"/>
      <c r="B186" s="3089"/>
      <c r="C186" s="3089"/>
      <c r="D186" s="3089"/>
      <c r="E186" s="3089"/>
      <c r="F186" s="3089"/>
      <c r="G186" s="3089"/>
      <c r="H186" s="3089"/>
      <c r="I186" s="3107"/>
    </row>
    <row r="187" spans="1:11" x14ac:dyDescent="0.5">
      <c r="A187" s="3106"/>
      <c r="B187" s="3089"/>
      <c r="C187" s="3089"/>
      <c r="D187" s="3089"/>
      <c r="E187" s="3089"/>
      <c r="F187" s="3089"/>
      <c r="G187" s="3089"/>
      <c r="H187" s="3089"/>
      <c r="I187" s="3107"/>
    </row>
    <row r="188" spans="1:11" x14ac:dyDescent="0.5">
      <c r="A188" s="3106"/>
      <c r="B188" s="3089"/>
      <c r="C188" s="3089"/>
      <c r="D188" s="3089"/>
      <c r="E188" s="3089"/>
      <c r="F188" s="3089"/>
      <c r="G188" s="3089"/>
      <c r="H188" s="3089"/>
      <c r="I188" s="3107"/>
    </row>
    <row r="189" spans="1:11" x14ac:dyDescent="0.5">
      <c r="A189" s="3106"/>
      <c r="B189" s="3089"/>
      <c r="C189" s="3089"/>
      <c r="D189" s="3089"/>
      <c r="E189" s="3089"/>
      <c r="F189" s="3089"/>
      <c r="G189" s="3089"/>
      <c r="H189" s="3089"/>
      <c r="I189" s="3107"/>
    </row>
    <row r="190" spans="1:11" x14ac:dyDescent="0.5">
      <c r="A190" s="3106"/>
      <c r="B190" s="3089"/>
      <c r="C190" s="3089"/>
      <c r="D190" s="3089"/>
      <c r="E190" s="3089"/>
      <c r="F190" s="3089"/>
      <c r="G190" s="3089"/>
      <c r="H190" s="3089"/>
      <c r="I190" s="3107"/>
    </row>
    <row r="191" spans="1:11" x14ac:dyDescent="0.5">
      <c r="A191" s="3106"/>
      <c r="B191" s="3089"/>
      <c r="C191" s="3089"/>
      <c r="D191" s="3089"/>
      <c r="E191" s="3089"/>
      <c r="F191" s="3089"/>
      <c r="G191" s="3089"/>
      <c r="H191" s="3089"/>
      <c r="I191" s="3107"/>
    </row>
    <row r="192" spans="1:11" x14ac:dyDescent="0.5">
      <c r="A192" s="3106"/>
      <c r="B192" s="3089"/>
      <c r="C192" s="3089"/>
      <c r="D192" s="3089"/>
      <c r="E192" s="3089"/>
      <c r="F192" s="3089"/>
      <c r="G192" s="3089"/>
      <c r="H192" s="3089"/>
      <c r="I192" s="3107"/>
    </row>
    <row r="193" spans="1:11" x14ac:dyDescent="0.5">
      <c r="A193" s="3106"/>
      <c r="B193" s="3089"/>
      <c r="C193" s="3089"/>
      <c r="D193" s="3089"/>
      <c r="E193" s="3089"/>
      <c r="F193" s="3089"/>
      <c r="G193" s="3089"/>
      <c r="H193" s="3089"/>
      <c r="I193" s="3107"/>
    </row>
    <row r="194" spans="1:11" x14ac:dyDescent="0.5">
      <c r="A194" s="3106"/>
      <c r="B194" s="3089"/>
      <c r="C194" s="3089"/>
      <c r="D194" s="3089"/>
      <c r="E194" s="3089"/>
      <c r="F194" s="3089"/>
      <c r="G194" s="3089"/>
      <c r="H194" s="3089"/>
      <c r="I194" s="3107"/>
    </row>
    <row r="195" spans="1:11" x14ac:dyDescent="0.5">
      <c r="A195" s="3106"/>
      <c r="B195" s="3089"/>
      <c r="C195" s="3089"/>
      <c r="D195" s="3089"/>
      <c r="E195" s="3089"/>
      <c r="F195" s="3089"/>
      <c r="G195" s="3089"/>
      <c r="H195" s="3089"/>
      <c r="I195" s="3107"/>
    </row>
    <row r="196" spans="1:11" x14ac:dyDescent="0.5">
      <c r="A196" s="3106"/>
      <c r="B196" s="3089"/>
      <c r="C196" s="3089"/>
      <c r="D196" s="3089"/>
      <c r="E196" s="3089"/>
      <c r="F196" s="3089"/>
      <c r="G196" s="3089"/>
      <c r="H196" s="3089"/>
      <c r="I196" s="3107"/>
    </row>
    <row r="197" spans="1:11" x14ac:dyDescent="0.5">
      <c r="A197" s="3106"/>
      <c r="B197" s="3089"/>
      <c r="C197" s="3089"/>
      <c r="D197" s="3089"/>
      <c r="E197" s="3089"/>
      <c r="F197" s="3089"/>
      <c r="G197" s="3089"/>
      <c r="H197" s="3089"/>
      <c r="I197" s="3107"/>
    </row>
    <row r="198" spans="1:11" x14ac:dyDescent="0.5">
      <c r="A198" s="3106"/>
      <c r="B198" s="3089"/>
      <c r="C198" s="3089"/>
      <c r="D198" s="3089"/>
      <c r="E198" s="3089"/>
      <c r="F198" s="3089"/>
      <c r="G198" s="3089"/>
      <c r="H198" s="3089"/>
      <c r="I198" s="3107"/>
    </row>
    <row r="199" spans="1:11" x14ac:dyDescent="0.5">
      <c r="A199" s="3106"/>
      <c r="B199" s="3089"/>
      <c r="C199" s="3089"/>
      <c r="D199" s="3089"/>
      <c r="E199" s="3089"/>
      <c r="F199" s="3089"/>
      <c r="G199" s="3089"/>
      <c r="H199" s="3089"/>
      <c r="I199" s="3107"/>
    </row>
    <row r="200" spans="1:11" x14ac:dyDescent="0.5">
      <c r="A200" s="3106"/>
      <c r="B200" s="3089"/>
      <c r="C200" s="3089"/>
      <c r="D200" s="3089"/>
      <c r="E200" s="3089"/>
      <c r="F200" s="3089"/>
      <c r="G200" s="3089"/>
      <c r="H200" s="3089"/>
      <c r="I200" s="3107"/>
    </row>
    <row r="201" spans="1:11" x14ac:dyDescent="0.5">
      <c r="A201" s="3106"/>
      <c r="B201" s="3089"/>
      <c r="C201" s="3089"/>
      <c r="D201" s="3089"/>
      <c r="E201" s="3089"/>
      <c r="F201" s="3089"/>
      <c r="G201" s="3089"/>
      <c r="H201" s="3089"/>
      <c r="I201" s="3107"/>
    </row>
    <row r="202" spans="1:11" x14ac:dyDescent="0.5">
      <c r="A202" s="3106"/>
      <c r="B202" s="3089"/>
      <c r="C202" s="3089"/>
      <c r="D202" s="3089"/>
      <c r="E202" s="3089"/>
      <c r="F202" s="3089"/>
      <c r="G202" s="3089"/>
      <c r="H202" s="3089"/>
      <c r="I202" s="3107"/>
    </row>
    <row r="203" spans="1:11" x14ac:dyDescent="0.5">
      <c r="A203" s="3106"/>
      <c r="B203" s="3089"/>
      <c r="C203" s="3089"/>
      <c r="D203" s="3089"/>
      <c r="E203" s="3089"/>
      <c r="F203" s="3089"/>
      <c r="G203" s="3089"/>
      <c r="H203" s="3089"/>
      <c r="I203" s="3107"/>
    </row>
    <row r="204" spans="1:11" x14ac:dyDescent="0.5">
      <c r="A204" s="3108"/>
      <c r="B204" s="3109"/>
      <c r="C204" s="3109"/>
      <c r="D204" s="3109"/>
      <c r="E204" s="3109"/>
      <c r="F204" s="3109"/>
      <c r="G204" s="3109"/>
      <c r="H204" s="3109"/>
      <c r="I204" s="3110"/>
    </row>
    <row r="205" spans="1:11" x14ac:dyDescent="0.5">
      <c r="A205" s="3216" t="s">
        <v>456</v>
      </c>
      <c r="B205" s="3217"/>
      <c r="C205" s="3217"/>
      <c r="D205" s="3217"/>
      <c r="E205" s="3217"/>
      <c r="F205" s="3217"/>
      <c r="G205" s="3217"/>
      <c r="H205" s="3217"/>
      <c r="I205" s="3218"/>
    </row>
    <row r="206" spans="1:11" x14ac:dyDescent="0.5">
      <c r="A206" s="1526"/>
      <c r="B206" s="1527"/>
      <c r="C206" s="1527"/>
      <c r="D206" s="1527"/>
      <c r="E206" s="1543" t="s">
        <v>402</v>
      </c>
      <c r="F206" s="3213" t="str">
        <f>"KALKULATION Punkt "&amp;K206</f>
        <v>KALKULATION Punkt C</v>
      </c>
      <c r="G206" s="3213"/>
      <c r="H206" s="1544" t="s">
        <v>400</v>
      </c>
      <c r="I206" s="1545" t="s">
        <v>404</v>
      </c>
      <c r="K206" s="1268" t="s">
        <v>159</v>
      </c>
    </row>
    <row r="207" spans="1:11" ht="15.75" customHeight="1" x14ac:dyDescent="0.5">
      <c r="A207" s="3104"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38,5 Std/Wo). 
Als Differenz zur KV-Arbeitszeit bestehen 1,50 Std. Diese ergeben sich aus [Überstunde 50% für 1,50 Std]. Die Hinzurechnung für Mehrarbeit/Überstunden beträgt 2,53% bzw 0,46€. Die Berechnung erfolgt auf Basis des jeweiligen Überstundenzuschlags und des KV-Entgelts  zuzüglich 15,10%, die sich aus Entgeltüberzahlungen und zuzüglich  17,00%, die sich aus Erhöhungsfaktoren gem KollV ergeben. Es sind keine Verrechnungsstunden (zB für Nacht- oder Schichtarbeit) angesetzt. 
Insgesamt (C1 und C2) ergibt sich eine Hinzurechnung in Hv 2,60% bzw ein Betrag für Arbeitszeitzuschläge in Hv 0,47€/Std (K3 Zeile 8). </v>
      </c>
      <c r="B207" s="3088"/>
      <c r="C207" s="3088"/>
      <c r="D207" s="3088"/>
      <c r="E207" s="3088"/>
      <c r="F207" s="3088"/>
      <c r="G207" s="3088"/>
      <c r="H207" s="3088"/>
      <c r="I207" s="3105"/>
    </row>
    <row r="208" spans="1:11" x14ac:dyDescent="0.5">
      <c r="A208" s="3106"/>
      <c r="B208" s="3089"/>
      <c r="C208" s="3089"/>
      <c r="D208" s="3089"/>
      <c r="E208" s="3089"/>
      <c r="F208" s="3089"/>
      <c r="G208" s="3089"/>
      <c r="H208" s="3089"/>
      <c r="I208" s="3107"/>
    </row>
    <row r="209" spans="1:9" x14ac:dyDescent="0.5">
      <c r="A209" s="3106"/>
      <c r="B209" s="3089"/>
      <c r="C209" s="3089"/>
      <c r="D209" s="3089"/>
      <c r="E209" s="3089"/>
      <c r="F209" s="3089"/>
      <c r="G209" s="3089"/>
      <c r="H209" s="3089"/>
      <c r="I209" s="3107"/>
    </row>
    <row r="210" spans="1:9" x14ac:dyDescent="0.5">
      <c r="A210" s="3106"/>
      <c r="B210" s="3089"/>
      <c r="C210" s="3089"/>
      <c r="D210" s="3089"/>
      <c r="E210" s="3089"/>
      <c r="F210" s="3089"/>
      <c r="G210" s="3089"/>
      <c r="H210" s="3089"/>
      <c r="I210" s="3107"/>
    </row>
    <row r="211" spans="1:9" x14ac:dyDescent="0.5">
      <c r="A211" s="3106"/>
      <c r="B211" s="3089"/>
      <c r="C211" s="3089"/>
      <c r="D211" s="3089"/>
      <c r="E211" s="3089"/>
      <c r="F211" s="3089"/>
      <c r="G211" s="3089"/>
      <c r="H211" s="3089"/>
      <c r="I211" s="3107"/>
    </row>
    <row r="212" spans="1:9" x14ac:dyDescent="0.5">
      <c r="A212" s="3106"/>
      <c r="B212" s="3089"/>
      <c r="C212" s="3089"/>
      <c r="D212" s="3089"/>
      <c r="E212" s="3089"/>
      <c r="F212" s="3089"/>
      <c r="G212" s="3089"/>
      <c r="H212" s="3089"/>
      <c r="I212" s="3107"/>
    </row>
    <row r="213" spans="1:9" x14ac:dyDescent="0.5">
      <c r="A213" s="3106"/>
      <c r="B213" s="3089"/>
      <c r="C213" s="3089"/>
      <c r="D213" s="3089"/>
      <c r="E213" s="3089"/>
      <c r="F213" s="3089"/>
      <c r="G213" s="3089"/>
      <c r="H213" s="3089"/>
      <c r="I213" s="3107"/>
    </row>
    <row r="214" spans="1:9" x14ac:dyDescent="0.5">
      <c r="A214" s="3106"/>
      <c r="B214" s="3089"/>
      <c r="C214" s="3089"/>
      <c r="D214" s="3089"/>
      <c r="E214" s="3089"/>
      <c r="F214" s="3089"/>
      <c r="G214" s="3089"/>
      <c r="H214" s="3089"/>
      <c r="I214" s="3107"/>
    </row>
    <row r="215" spans="1:9" x14ac:dyDescent="0.5">
      <c r="A215" s="3106"/>
      <c r="B215" s="3089"/>
      <c r="C215" s="3089"/>
      <c r="D215" s="3089"/>
      <c r="E215" s="3089"/>
      <c r="F215" s="3089"/>
      <c r="G215" s="3089"/>
      <c r="H215" s="3089"/>
      <c r="I215" s="3107"/>
    </row>
    <row r="216" spans="1:9" x14ac:dyDescent="0.5">
      <c r="A216" s="3106"/>
      <c r="B216" s="3089"/>
      <c r="C216" s="3089"/>
      <c r="D216" s="3089"/>
      <c r="E216" s="3089"/>
      <c r="F216" s="3089"/>
      <c r="G216" s="3089"/>
      <c r="H216" s="3089"/>
      <c r="I216" s="3107"/>
    </row>
    <row r="217" spans="1:9" x14ac:dyDescent="0.5">
      <c r="A217" s="3106"/>
      <c r="B217" s="3089"/>
      <c r="C217" s="3089"/>
      <c r="D217" s="3089"/>
      <c r="E217" s="3089"/>
      <c r="F217" s="3089"/>
      <c r="G217" s="3089"/>
      <c r="H217" s="3089"/>
      <c r="I217" s="3107"/>
    </row>
    <row r="218" spans="1:9" x14ac:dyDescent="0.5">
      <c r="A218" s="3106"/>
      <c r="B218" s="3089"/>
      <c r="C218" s="3089"/>
      <c r="D218" s="3089"/>
      <c r="E218" s="3089"/>
      <c r="F218" s="3089"/>
      <c r="G218" s="3089"/>
      <c r="H218" s="3089"/>
      <c r="I218" s="3107"/>
    </row>
    <row r="219" spans="1:9" x14ac:dyDescent="0.5">
      <c r="A219" s="3106"/>
      <c r="B219" s="3089"/>
      <c r="C219" s="3089"/>
      <c r="D219" s="3089"/>
      <c r="E219" s="3089"/>
      <c r="F219" s="3089"/>
      <c r="G219" s="3089"/>
      <c r="H219" s="3089"/>
      <c r="I219" s="3107"/>
    </row>
    <row r="220" spans="1:9" x14ac:dyDescent="0.5">
      <c r="A220" s="3106"/>
      <c r="B220" s="3089"/>
      <c r="C220" s="3089"/>
      <c r="D220" s="3089"/>
      <c r="E220" s="3089"/>
      <c r="F220" s="3089"/>
      <c r="G220" s="3089"/>
      <c r="H220" s="3089"/>
      <c r="I220" s="3107"/>
    </row>
    <row r="221" spans="1:9" x14ac:dyDescent="0.5">
      <c r="A221" s="3106"/>
      <c r="B221" s="3089"/>
      <c r="C221" s="3089"/>
      <c r="D221" s="3089"/>
      <c r="E221" s="3089"/>
      <c r="F221" s="3089"/>
      <c r="G221" s="3089"/>
      <c r="H221" s="3089"/>
      <c r="I221" s="3107"/>
    </row>
    <row r="222" spans="1:9" x14ac:dyDescent="0.5">
      <c r="A222" s="3106"/>
      <c r="B222" s="3089"/>
      <c r="C222" s="3089"/>
      <c r="D222" s="3089"/>
      <c r="E222" s="3089"/>
      <c r="F222" s="3089"/>
      <c r="G222" s="3089"/>
      <c r="H222" s="3089"/>
      <c r="I222" s="3107"/>
    </row>
    <row r="223" spans="1:9" x14ac:dyDescent="0.5">
      <c r="A223" s="3108"/>
      <c r="B223" s="3109"/>
      <c r="C223" s="3109"/>
      <c r="D223" s="3109"/>
      <c r="E223" s="3109"/>
      <c r="F223" s="3109"/>
      <c r="G223" s="3109"/>
      <c r="H223" s="3109"/>
      <c r="I223" s="3110"/>
    </row>
    <row r="224" spans="1:9" x14ac:dyDescent="0.5">
      <c r="A224" s="3125" t="s">
        <v>457</v>
      </c>
      <c r="B224" s="3126"/>
      <c r="C224" s="3126"/>
      <c r="D224" s="3126"/>
      <c r="E224" s="3126"/>
      <c r="F224" s="3126"/>
      <c r="G224" s="3126"/>
      <c r="H224" s="3126"/>
      <c r="I224" s="3127"/>
    </row>
    <row r="225" spans="1:11" x14ac:dyDescent="0.5">
      <c r="A225" s="1526"/>
      <c r="B225" s="1527"/>
      <c r="C225" s="1527"/>
      <c r="D225" s="1527"/>
      <c r="E225" s="1543" t="s">
        <v>402</v>
      </c>
      <c r="F225" s="3213" t="str">
        <f>"KALKULATION Punkt "&amp;K225</f>
        <v>KALKULATION Punkt D</v>
      </c>
      <c r="G225" s="3213"/>
      <c r="H225" s="1544" t="s">
        <v>400</v>
      </c>
      <c r="I225" s="1545" t="s">
        <v>405</v>
      </c>
      <c r="K225" s="1268" t="s">
        <v>8</v>
      </c>
    </row>
    <row r="226" spans="1:11" ht="15.75" customHeight="1" x14ac:dyDescent="0.5">
      <c r="A226" s="3104"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2,95% für folgende Zulagen erfasst; in Klammer der Anteil der davon betroffenen gesamten Leistungsstunden: [Vorarbeiterzuschlag (25,0%), Gefahrenzulage (1,8%)]. 
Als Basis für Zulagen in % ist gem Auswahl in D1.a1 [KV+AKV] herangezogen. Das kalkulatorische Rechenergebnis der Berücksichtigung der Zulagen für das produktive Personal beträgt 2,87%. 
Für das UNPRODUKTIVE PERSONAL (gem B2.a) sind Zulagen im Gesamtausmaß von 2,95% in Ansatz gebracht. Dieser Ansatz entspricht jenem des produktiven Personals. Das kalkulatorische Rechenergebnis zur Berücksichtigung der Zulagen für das unproduktive Personal beträgt 0,08%. 
Insgesamt sind Zulagen mit einer Auswirkung in Hv 0,55€ (K3 Zeile 7) in die Kalkulation eingeflossen (3,00%). </v>
      </c>
      <c r="B226" s="3088"/>
      <c r="C226" s="3088"/>
      <c r="D226" s="3088"/>
      <c r="E226" s="3088"/>
      <c r="F226" s="3088"/>
      <c r="G226" s="3088"/>
      <c r="H226" s="3088"/>
      <c r="I226" s="3105"/>
    </row>
    <row r="227" spans="1:11" x14ac:dyDescent="0.5">
      <c r="A227" s="3106"/>
      <c r="B227" s="3089"/>
      <c r="C227" s="3089"/>
      <c r="D227" s="3089"/>
      <c r="E227" s="3089"/>
      <c r="F227" s="3089"/>
      <c r="G227" s="3089"/>
      <c r="H227" s="3089"/>
      <c r="I227" s="3107"/>
    </row>
    <row r="228" spans="1:11" x14ac:dyDescent="0.5">
      <c r="A228" s="3106"/>
      <c r="B228" s="3089"/>
      <c r="C228" s="3089"/>
      <c r="D228" s="3089"/>
      <c r="E228" s="3089"/>
      <c r="F228" s="3089"/>
      <c r="G228" s="3089"/>
      <c r="H228" s="3089"/>
      <c r="I228" s="3107"/>
    </row>
    <row r="229" spans="1:11" x14ac:dyDescent="0.5">
      <c r="A229" s="3106"/>
      <c r="B229" s="3089"/>
      <c r="C229" s="3089"/>
      <c r="D229" s="3089"/>
      <c r="E229" s="3089"/>
      <c r="F229" s="3089"/>
      <c r="G229" s="3089"/>
      <c r="H229" s="3089"/>
      <c r="I229" s="3107"/>
    </row>
    <row r="230" spans="1:11" x14ac:dyDescent="0.5">
      <c r="A230" s="3106"/>
      <c r="B230" s="3089"/>
      <c r="C230" s="3089"/>
      <c r="D230" s="3089"/>
      <c r="E230" s="3089"/>
      <c r="F230" s="3089"/>
      <c r="G230" s="3089"/>
      <c r="H230" s="3089"/>
      <c r="I230" s="3107"/>
    </row>
    <row r="231" spans="1:11" x14ac:dyDescent="0.5">
      <c r="A231" s="3106"/>
      <c r="B231" s="3089"/>
      <c r="C231" s="3089"/>
      <c r="D231" s="3089"/>
      <c r="E231" s="3089"/>
      <c r="F231" s="3089"/>
      <c r="G231" s="3089"/>
      <c r="H231" s="3089"/>
      <c r="I231" s="3107"/>
    </row>
    <row r="232" spans="1:11" x14ac:dyDescent="0.5">
      <c r="A232" s="3106"/>
      <c r="B232" s="3089"/>
      <c r="C232" s="3089"/>
      <c r="D232" s="3089"/>
      <c r="E232" s="3089"/>
      <c r="F232" s="3089"/>
      <c r="G232" s="3089"/>
      <c r="H232" s="3089"/>
      <c r="I232" s="3107"/>
    </row>
    <row r="233" spans="1:11" x14ac:dyDescent="0.5">
      <c r="A233" s="3106"/>
      <c r="B233" s="3089"/>
      <c r="C233" s="3089"/>
      <c r="D233" s="3089"/>
      <c r="E233" s="3089"/>
      <c r="F233" s="3089"/>
      <c r="G233" s="3089"/>
      <c r="H233" s="3089"/>
      <c r="I233" s="3107"/>
    </row>
    <row r="234" spans="1:11" x14ac:dyDescent="0.5">
      <c r="A234" s="3106"/>
      <c r="B234" s="3089"/>
      <c r="C234" s="3089"/>
      <c r="D234" s="3089"/>
      <c r="E234" s="3089"/>
      <c r="F234" s="3089"/>
      <c r="G234" s="3089"/>
      <c r="H234" s="3089"/>
      <c r="I234" s="3107"/>
    </row>
    <row r="235" spans="1:11" x14ac:dyDescent="0.5">
      <c r="A235" s="3106"/>
      <c r="B235" s="3089"/>
      <c r="C235" s="3089"/>
      <c r="D235" s="3089"/>
      <c r="E235" s="3089"/>
      <c r="F235" s="3089"/>
      <c r="G235" s="3089"/>
      <c r="H235" s="3089"/>
      <c r="I235" s="3107"/>
    </row>
    <row r="236" spans="1:11" x14ac:dyDescent="0.5">
      <c r="A236" s="3106"/>
      <c r="B236" s="3089"/>
      <c r="C236" s="3089"/>
      <c r="D236" s="3089"/>
      <c r="E236" s="3089"/>
      <c r="F236" s="3089"/>
      <c r="G236" s="3089"/>
      <c r="H236" s="3089"/>
      <c r="I236" s="3107"/>
    </row>
    <row r="237" spans="1:11" x14ac:dyDescent="0.5">
      <c r="A237" s="3106"/>
      <c r="B237" s="3089"/>
      <c r="C237" s="3089"/>
      <c r="D237" s="3089"/>
      <c r="E237" s="3089"/>
      <c r="F237" s="3089"/>
      <c r="G237" s="3089"/>
      <c r="H237" s="3089"/>
      <c r="I237" s="3107"/>
    </row>
    <row r="238" spans="1:11" x14ac:dyDescent="0.5">
      <c r="A238" s="3106"/>
      <c r="B238" s="3089"/>
      <c r="C238" s="3089"/>
      <c r="D238" s="3089"/>
      <c r="E238" s="3089"/>
      <c r="F238" s="3089"/>
      <c r="G238" s="3089"/>
      <c r="H238" s="3089"/>
      <c r="I238" s="3107"/>
    </row>
    <row r="239" spans="1:11" x14ac:dyDescent="0.5">
      <c r="A239" s="3106"/>
      <c r="B239" s="3089"/>
      <c r="C239" s="3089"/>
      <c r="D239" s="3089"/>
      <c r="E239" s="3089"/>
      <c r="F239" s="3089"/>
      <c r="G239" s="3089"/>
      <c r="H239" s="3089"/>
      <c r="I239" s="3107"/>
    </row>
    <row r="240" spans="1:11" x14ac:dyDescent="0.5">
      <c r="A240" s="3106"/>
      <c r="B240" s="3089"/>
      <c r="C240" s="3089"/>
      <c r="D240" s="3089"/>
      <c r="E240" s="3089"/>
      <c r="F240" s="3089"/>
      <c r="G240" s="3089"/>
      <c r="H240" s="3089"/>
      <c r="I240" s="3107"/>
    </row>
    <row r="241" spans="1:11" x14ac:dyDescent="0.5">
      <c r="A241" s="3106"/>
      <c r="B241" s="3089"/>
      <c r="C241" s="3089"/>
      <c r="D241" s="3089"/>
      <c r="E241" s="3089"/>
      <c r="F241" s="3089"/>
      <c r="G241" s="3089"/>
      <c r="H241" s="3089"/>
      <c r="I241" s="3107"/>
    </row>
    <row r="242" spans="1:11" x14ac:dyDescent="0.5">
      <c r="A242" s="3106"/>
      <c r="B242" s="3089"/>
      <c r="C242" s="3089"/>
      <c r="D242" s="3089"/>
      <c r="E242" s="3089"/>
      <c r="F242" s="3089"/>
      <c r="G242" s="3089"/>
      <c r="H242" s="3089"/>
      <c r="I242" s="3107"/>
    </row>
    <row r="243" spans="1:11" x14ac:dyDescent="0.5">
      <c r="A243" s="3106"/>
      <c r="B243" s="3089"/>
      <c r="C243" s="3089"/>
      <c r="D243" s="3089"/>
      <c r="E243" s="3089"/>
      <c r="F243" s="3089"/>
      <c r="G243" s="3089"/>
      <c r="H243" s="3089"/>
      <c r="I243" s="3107"/>
    </row>
    <row r="244" spans="1:11" x14ac:dyDescent="0.5">
      <c r="A244" s="3106"/>
      <c r="B244" s="3089"/>
      <c r="C244" s="3089"/>
      <c r="D244" s="3089"/>
      <c r="E244" s="3089"/>
      <c r="F244" s="3089"/>
      <c r="G244" s="3089"/>
      <c r="H244" s="3089"/>
      <c r="I244" s="3107"/>
    </row>
    <row r="245" spans="1:11" x14ac:dyDescent="0.5">
      <c r="A245" s="3106"/>
      <c r="B245" s="3089"/>
      <c r="C245" s="3089"/>
      <c r="D245" s="3089"/>
      <c r="E245" s="3089"/>
      <c r="F245" s="3089"/>
      <c r="G245" s="3089"/>
      <c r="H245" s="3089"/>
      <c r="I245" s="3107"/>
    </row>
    <row r="246" spans="1:11" x14ac:dyDescent="0.5">
      <c r="A246" s="3106"/>
      <c r="B246" s="3089"/>
      <c r="C246" s="3089"/>
      <c r="D246" s="3089"/>
      <c r="E246" s="3089"/>
      <c r="F246" s="3089"/>
      <c r="G246" s="3089"/>
      <c r="H246" s="3089"/>
      <c r="I246" s="3107"/>
    </row>
    <row r="247" spans="1:11" x14ac:dyDescent="0.5">
      <c r="A247" s="3106"/>
      <c r="B247" s="3089"/>
      <c r="C247" s="3089"/>
      <c r="D247" s="3089"/>
      <c r="E247" s="3089"/>
      <c r="F247" s="3089"/>
      <c r="G247" s="3089"/>
      <c r="H247" s="3089"/>
      <c r="I247" s="3107"/>
    </row>
    <row r="248" spans="1:11" x14ac:dyDescent="0.5">
      <c r="A248" s="3106"/>
      <c r="B248" s="3089"/>
      <c r="C248" s="3089"/>
      <c r="D248" s="3089"/>
      <c r="E248" s="3089"/>
      <c r="F248" s="3089"/>
      <c r="G248" s="3089"/>
      <c r="H248" s="3089"/>
      <c r="I248" s="3107"/>
    </row>
    <row r="249" spans="1:11" x14ac:dyDescent="0.5">
      <c r="A249" s="3108"/>
      <c r="B249" s="3109"/>
      <c r="C249" s="3109"/>
      <c r="D249" s="3109"/>
      <c r="E249" s="3109"/>
      <c r="F249" s="3109"/>
      <c r="G249" s="3109"/>
      <c r="H249" s="3109"/>
      <c r="I249" s="3110"/>
    </row>
    <row r="250" spans="1:11" x14ac:dyDescent="0.5">
      <c r="A250" s="3125" t="s">
        <v>458</v>
      </c>
      <c r="B250" s="3126"/>
      <c r="C250" s="3126"/>
      <c r="D250" s="3126"/>
      <c r="E250" s="3126"/>
      <c r="F250" s="3126"/>
      <c r="G250" s="3126"/>
      <c r="H250" s="3126"/>
      <c r="I250" s="3127"/>
    </row>
    <row r="251" spans="1:11" x14ac:dyDescent="0.5">
      <c r="A251" s="1526"/>
      <c r="B251" s="1527"/>
      <c r="C251" s="1527"/>
      <c r="D251" s="1527"/>
      <c r="E251" s="1543" t="s">
        <v>402</v>
      </c>
      <c r="F251" s="3213" t="str">
        <f>"KALKULATION Punkt "&amp;K251</f>
        <v>KALKULATION Punkt E</v>
      </c>
      <c r="G251" s="3213"/>
      <c r="H251" s="1544" t="s">
        <v>400</v>
      </c>
      <c r="I251" s="1545" t="s">
        <v>407</v>
      </c>
      <c r="K251" s="1268" t="s">
        <v>9</v>
      </c>
    </row>
    <row r="252" spans="1:11" ht="15.75" customHeight="1" x14ac:dyDescent="0.5">
      <c r="A252" s="3104" t="str">
        <f ca="1">A700&amp;A716&amp;A775&amp;A790&amp;A795&amp;A799</f>
        <v xml:space="preserve">Für abgabepflichtige sonstige Entgelte und Entschädigungen sind Kosten in Hv 3,30€/Std und für nicht abgabepflichtige (abgabefreie) Entschädigungen sind Kosten in Hv 1,60€/Std in Ansatz gebracht (K3 Zeile 9 bzw 11). 
Es finden sich folgende Entschädigungen bzw Entgeltbestandteile (Prozent der Anspruchsberechtigten jeweils in Klammer) in der Kalkulation: 
-- An Entschädigungen mit ANSPRUCH PRO STUNDE ist/sind [Montagezulage (100%)] berücksichtigt (E1). Daraus ergeben sich Kosten pro Woche in Hv 45,20€ (abgabepflichtig) bzw 0,00€ (abgabefrei). 
-- An Entschädigungen mit ANSPRUCH PRO TAG ist/sind [kleine Entfernungszul. (&gt;6Std) (100%)] berücksichtigt (E2). Daraus ergeben sich Kosten pro Woche in Hv 0,00€ (abgabepflichtig) bzw 58,55€ (abgabefrei). 
-- An zusätzlichen VERRECHNUNGSSTUNDEN ist/sind [1,00 Verrechnungsstunde(n) pro Tag (75%) ] berücksichtigt (E4). Daraus ergeben sich Kosten pro Woche in Hv 76,13€ (abgabepflichtig). 
Für unproduktive Zeiten ist ein Zuschlag in Hv 2,56% berücksichtigt (nähere Erläuterungen in E6.a). 
Wegen Ausfallzeit bei Schlechtwetter sind die Berechnungsergebnisse um 5,00% erhöht (E6.b). </v>
      </c>
      <c r="B252" s="3088"/>
      <c r="C252" s="3088"/>
      <c r="D252" s="3088"/>
      <c r="E252" s="3088"/>
      <c r="F252" s="3088"/>
      <c r="G252" s="3088"/>
      <c r="H252" s="3088"/>
      <c r="I252" s="3105"/>
    </row>
    <row r="253" spans="1:11" x14ac:dyDescent="0.5">
      <c r="A253" s="3106"/>
      <c r="B253" s="3089"/>
      <c r="C253" s="3089"/>
      <c r="D253" s="3089"/>
      <c r="E253" s="3089"/>
      <c r="F253" s="3089"/>
      <c r="G253" s="3089"/>
      <c r="H253" s="3089"/>
      <c r="I253" s="3107"/>
    </row>
    <row r="254" spans="1:11" x14ac:dyDescent="0.5">
      <c r="A254" s="3106"/>
      <c r="B254" s="3089"/>
      <c r="C254" s="3089"/>
      <c r="D254" s="3089"/>
      <c r="E254" s="3089"/>
      <c r="F254" s="3089"/>
      <c r="G254" s="3089"/>
      <c r="H254" s="3089"/>
      <c r="I254" s="3107"/>
    </row>
    <row r="255" spans="1:11" x14ac:dyDescent="0.5">
      <c r="A255" s="3106"/>
      <c r="B255" s="3089"/>
      <c r="C255" s="3089"/>
      <c r="D255" s="3089"/>
      <c r="E255" s="3089"/>
      <c r="F255" s="3089"/>
      <c r="G255" s="3089"/>
      <c r="H255" s="3089"/>
      <c r="I255" s="3107"/>
    </row>
    <row r="256" spans="1:11" x14ac:dyDescent="0.5">
      <c r="A256" s="3106"/>
      <c r="B256" s="3089"/>
      <c r="C256" s="3089"/>
      <c r="D256" s="3089"/>
      <c r="E256" s="3089"/>
      <c r="F256" s="3089"/>
      <c r="G256" s="3089"/>
      <c r="H256" s="3089"/>
      <c r="I256" s="3107"/>
    </row>
    <row r="257" spans="1:9" x14ac:dyDescent="0.5">
      <c r="A257" s="3106"/>
      <c r="B257" s="3089"/>
      <c r="C257" s="3089"/>
      <c r="D257" s="3089"/>
      <c r="E257" s="3089"/>
      <c r="F257" s="3089"/>
      <c r="G257" s="3089"/>
      <c r="H257" s="3089"/>
      <c r="I257" s="3107"/>
    </row>
    <row r="258" spans="1:9" x14ac:dyDescent="0.5">
      <c r="A258" s="3106"/>
      <c r="B258" s="3089"/>
      <c r="C258" s="3089"/>
      <c r="D258" s="3089"/>
      <c r="E258" s="3089"/>
      <c r="F258" s="3089"/>
      <c r="G258" s="3089"/>
      <c r="H258" s="3089"/>
      <c r="I258" s="3107"/>
    </row>
    <row r="259" spans="1:9" x14ac:dyDescent="0.5">
      <c r="A259" s="3106"/>
      <c r="B259" s="3089"/>
      <c r="C259" s="3089"/>
      <c r="D259" s="3089"/>
      <c r="E259" s="3089"/>
      <c r="F259" s="3089"/>
      <c r="G259" s="3089"/>
      <c r="H259" s="3089"/>
      <c r="I259" s="3107"/>
    </row>
    <row r="260" spans="1:9" x14ac:dyDescent="0.5">
      <c r="A260" s="3106"/>
      <c r="B260" s="3089"/>
      <c r="C260" s="3089"/>
      <c r="D260" s="3089"/>
      <c r="E260" s="3089"/>
      <c r="F260" s="3089"/>
      <c r="G260" s="3089"/>
      <c r="H260" s="3089"/>
      <c r="I260" s="3107"/>
    </row>
    <row r="261" spans="1:9" x14ac:dyDescent="0.5">
      <c r="A261" s="3106"/>
      <c r="B261" s="3089"/>
      <c r="C261" s="3089"/>
      <c r="D261" s="3089"/>
      <c r="E261" s="3089"/>
      <c r="F261" s="3089"/>
      <c r="G261" s="3089"/>
      <c r="H261" s="3089"/>
      <c r="I261" s="3107"/>
    </row>
    <row r="262" spans="1:9" x14ac:dyDescent="0.5">
      <c r="A262" s="3106"/>
      <c r="B262" s="3089"/>
      <c r="C262" s="3089"/>
      <c r="D262" s="3089"/>
      <c r="E262" s="3089"/>
      <c r="F262" s="3089"/>
      <c r="G262" s="3089"/>
      <c r="H262" s="3089"/>
      <c r="I262" s="3107"/>
    </row>
    <row r="263" spans="1:9" x14ac:dyDescent="0.5">
      <c r="A263" s="3106"/>
      <c r="B263" s="3089"/>
      <c r="C263" s="3089"/>
      <c r="D263" s="3089"/>
      <c r="E263" s="3089"/>
      <c r="F263" s="3089"/>
      <c r="G263" s="3089"/>
      <c r="H263" s="3089"/>
      <c r="I263" s="3107"/>
    </row>
    <row r="264" spans="1:9" x14ac:dyDescent="0.5">
      <c r="A264" s="3106"/>
      <c r="B264" s="3089"/>
      <c r="C264" s="3089"/>
      <c r="D264" s="3089"/>
      <c r="E264" s="3089"/>
      <c r="F264" s="3089"/>
      <c r="G264" s="3089"/>
      <c r="H264" s="3089"/>
      <c r="I264" s="3107"/>
    </row>
    <row r="265" spans="1:9" x14ac:dyDescent="0.5">
      <c r="A265" s="3106"/>
      <c r="B265" s="3089"/>
      <c r="C265" s="3089"/>
      <c r="D265" s="3089"/>
      <c r="E265" s="3089"/>
      <c r="F265" s="3089"/>
      <c r="G265" s="3089"/>
      <c r="H265" s="3089"/>
      <c r="I265" s="3107"/>
    </row>
    <row r="266" spans="1:9" x14ac:dyDescent="0.5">
      <c r="A266" s="3106"/>
      <c r="B266" s="3089"/>
      <c r="C266" s="3089"/>
      <c r="D266" s="3089"/>
      <c r="E266" s="3089"/>
      <c r="F266" s="3089"/>
      <c r="G266" s="3089"/>
      <c r="H266" s="3089"/>
      <c r="I266" s="3107"/>
    </row>
    <row r="267" spans="1:9" x14ac:dyDescent="0.5">
      <c r="A267" s="3106"/>
      <c r="B267" s="3089"/>
      <c r="C267" s="3089"/>
      <c r="D267" s="3089"/>
      <c r="E267" s="3089"/>
      <c r="F267" s="3089"/>
      <c r="G267" s="3089"/>
      <c r="H267" s="3089"/>
      <c r="I267" s="3107"/>
    </row>
    <row r="268" spans="1:9" x14ac:dyDescent="0.5">
      <c r="A268" s="3106"/>
      <c r="B268" s="3089"/>
      <c r="C268" s="3089"/>
      <c r="D268" s="3089"/>
      <c r="E268" s="3089"/>
      <c r="F268" s="3089"/>
      <c r="G268" s="3089"/>
      <c r="H268" s="3089"/>
      <c r="I268" s="3107"/>
    </row>
    <row r="269" spans="1:9" x14ac:dyDescent="0.5">
      <c r="A269" s="3106"/>
      <c r="B269" s="3089"/>
      <c r="C269" s="3089"/>
      <c r="D269" s="3089"/>
      <c r="E269" s="3089"/>
      <c r="F269" s="3089"/>
      <c r="G269" s="3089"/>
      <c r="H269" s="3089"/>
      <c r="I269" s="3107"/>
    </row>
    <row r="270" spans="1:9" x14ac:dyDescent="0.5">
      <c r="A270" s="3106"/>
      <c r="B270" s="3089"/>
      <c r="C270" s="3089"/>
      <c r="D270" s="3089"/>
      <c r="E270" s="3089"/>
      <c r="F270" s="3089"/>
      <c r="G270" s="3089"/>
      <c r="H270" s="3089"/>
      <c r="I270" s="3107"/>
    </row>
    <row r="271" spans="1:9" x14ac:dyDescent="0.5">
      <c r="A271" s="3106"/>
      <c r="B271" s="3089"/>
      <c r="C271" s="3089"/>
      <c r="D271" s="3089"/>
      <c r="E271" s="3089"/>
      <c r="F271" s="3089"/>
      <c r="G271" s="3089"/>
      <c r="H271" s="3089"/>
      <c r="I271" s="3107"/>
    </row>
    <row r="272" spans="1:9" x14ac:dyDescent="0.5">
      <c r="A272" s="3106"/>
      <c r="B272" s="3089"/>
      <c r="C272" s="3089"/>
      <c r="D272" s="3089"/>
      <c r="E272" s="3089"/>
      <c r="F272" s="3089"/>
      <c r="G272" s="3089"/>
      <c r="H272" s="3089"/>
      <c r="I272" s="3107"/>
    </row>
    <row r="273" spans="1:11" x14ac:dyDescent="0.5">
      <c r="A273" s="3106"/>
      <c r="B273" s="3089"/>
      <c r="C273" s="3089"/>
      <c r="D273" s="3089"/>
      <c r="E273" s="3089"/>
      <c r="F273" s="3089"/>
      <c r="G273" s="3089"/>
      <c r="H273" s="3089"/>
      <c r="I273" s="3107"/>
    </row>
    <row r="274" spans="1:11" x14ac:dyDescent="0.5">
      <c r="A274" s="3106"/>
      <c r="B274" s="3089"/>
      <c r="C274" s="3089"/>
      <c r="D274" s="3089"/>
      <c r="E274" s="3089"/>
      <c r="F274" s="3089"/>
      <c r="G274" s="3089"/>
      <c r="H274" s="3089"/>
      <c r="I274" s="3107"/>
    </row>
    <row r="275" spans="1:11" x14ac:dyDescent="0.5">
      <c r="A275" s="3106"/>
      <c r="B275" s="3089"/>
      <c r="C275" s="3089"/>
      <c r="D275" s="3089"/>
      <c r="E275" s="3089"/>
      <c r="F275" s="3089"/>
      <c r="G275" s="3089"/>
      <c r="H275" s="3089"/>
      <c r="I275" s="3107"/>
    </row>
    <row r="276" spans="1:11" x14ac:dyDescent="0.5">
      <c r="A276" s="3106"/>
      <c r="B276" s="3089"/>
      <c r="C276" s="3089"/>
      <c r="D276" s="3089"/>
      <c r="E276" s="3089"/>
      <c r="F276" s="3089"/>
      <c r="G276" s="3089"/>
      <c r="H276" s="3089"/>
      <c r="I276" s="3107"/>
    </row>
    <row r="277" spans="1:11" x14ac:dyDescent="0.5">
      <c r="A277" s="3108"/>
      <c r="B277" s="3109"/>
      <c r="C277" s="3109"/>
      <c r="D277" s="3109"/>
      <c r="E277" s="3109"/>
      <c r="F277" s="3109"/>
      <c r="G277" s="3109"/>
      <c r="H277" s="3109"/>
      <c r="I277" s="3110"/>
    </row>
    <row r="278" spans="1:11" x14ac:dyDescent="0.5">
      <c r="A278" s="1554" t="s">
        <v>459</v>
      </c>
      <c r="B278" s="1555"/>
      <c r="C278" s="1555"/>
      <c r="D278" s="1555"/>
      <c r="E278" s="1555"/>
      <c r="F278" s="1555"/>
      <c r="G278" s="1555"/>
      <c r="H278" s="1555"/>
      <c r="I278" s="1556"/>
    </row>
    <row r="279" spans="1:11" x14ac:dyDescent="0.5">
      <c r="A279" s="1526"/>
      <c r="B279" s="1527"/>
      <c r="C279" s="1527"/>
      <c r="D279" s="1527"/>
      <c r="E279" s="1543" t="s">
        <v>402</v>
      </c>
      <c r="F279" s="3213" t="str">
        <f>"KALKULATION Punkt "&amp;K279</f>
        <v>KALKULATION Punkt F</v>
      </c>
      <c r="G279" s="3213"/>
      <c r="H279" s="1544" t="s">
        <v>400</v>
      </c>
      <c r="I279" s="1545" t="s">
        <v>408</v>
      </c>
      <c r="K279" s="1268" t="s">
        <v>10</v>
      </c>
    </row>
    <row r="280" spans="1:11" ht="15.75" customHeight="1" x14ac:dyDescent="0.5">
      <c r="A280" s="3104" t="str">
        <f ca="1">A812&amp;A820&amp;A832&amp;A841&amp;A865&amp;A869&amp;A876</f>
        <v xml:space="preserve">Die DIREKTEN Personalnebenkosten (DPNK) sind in Hv 30,27% angegeben. (Informativer Hinweis: Dieser Wert wird regelmäßig einer Preisprüfung unterzogen, er sollte daher korrekt und erklärbar sein; ggf Kontrolle der Einzelwerte im Blatt STAMMDATEN bzw Änderungen in der QUELLDATEI [K3_EuM_Quelle.xlsx] Blatt DPNK vornehmen.) 
Die verwendeten Werte für die DPNK (Sozialversicherungsbeiträge und Nebenbeiträge) sind in der QUELLDATEI Blatt DPNK mit dem Stichtag 01.01.2025 versehen. In Bezug zum angegebenen Kalkulationsdatum liegt dieser Stichtag 0 Tage zuvor. Im Bezug zum heutigen Tag liegt der Stichtag 13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66,00% angesetzt. Der Wert ergibt sich aus dem Blatt STAMMDATEN; dort ist er mit 83,63% angegeben. Folgende Ansätze/Annahmen sind für die Anpassung von 83,63% auf 66,00%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
Weitere Personalnebenkosten (WPNK) sind in Hv 0,26% bzw 0,07€ (K3 Zeile 14) in Ansatz gebracht. 
Die gesamten Personalnebenkosten betragen 96,53% bzw 24,36€. Das Verhältnis von DPNK zu UPNK beträgt 1 zu 2,2. </v>
      </c>
      <c r="B280" s="3088"/>
      <c r="C280" s="3088"/>
      <c r="D280" s="3088"/>
      <c r="E280" s="3088"/>
      <c r="F280" s="3088"/>
      <c r="G280" s="3088"/>
      <c r="H280" s="3088"/>
      <c r="I280" s="3105"/>
    </row>
    <row r="281" spans="1:11" x14ac:dyDescent="0.5">
      <c r="A281" s="3106"/>
      <c r="B281" s="3089"/>
      <c r="C281" s="3089"/>
      <c r="D281" s="3089"/>
      <c r="E281" s="3089"/>
      <c r="F281" s="3089"/>
      <c r="G281" s="3089"/>
      <c r="H281" s="3089"/>
      <c r="I281" s="3107"/>
    </row>
    <row r="282" spans="1:11" x14ac:dyDescent="0.5">
      <c r="A282" s="3106"/>
      <c r="B282" s="3089"/>
      <c r="C282" s="3089"/>
      <c r="D282" s="3089"/>
      <c r="E282" s="3089"/>
      <c r="F282" s="3089"/>
      <c r="G282" s="3089"/>
      <c r="H282" s="3089"/>
      <c r="I282" s="3107"/>
    </row>
    <row r="283" spans="1:11" x14ac:dyDescent="0.5">
      <c r="A283" s="3106"/>
      <c r="B283" s="3089"/>
      <c r="C283" s="3089"/>
      <c r="D283" s="3089"/>
      <c r="E283" s="3089"/>
      <c r="F283" s="3089"/>
      <c r="G283" s="3089"/>
      <c r="H283" s="3089"/>
      <c r="I283" s="3107"/>
    </row>
    <row r="284" spans="1:11" x14ac:dyDescent="0.5">
      <c r="A284" s="3106"/>
      <c r="B284" s="3089"/>
      <c r="C284" s="3089"/>
      <c r="D284" s="3089"/>
      <c r="E284" s="3089"/>
      <c r="F284" s="3089"/>
      <c r="G284" s="3089"/>
      <c r="H284" s="3089"/>
      <c r="I284" s="3107"/>
    </row>
    <row r="285" spans="1:11" x14ac:dyDescent="0.5">
      <c r="A285" s="3106"/>
      <c r="B285" s="3089"/>
      <c r="C285" s="3089"/>
      <c r="D285" s="3089"/>
      <c r="E285" s="3089"/>
      <c r="F285" s="3089"/>
      <c r="G285" s="3089"/>
      <c r="H285" s="3089"/>
      <c r="I285" s="3107"/>
    </row>
    <row r="286" spans="1:11" x14ac:dyDescent="0.5">
      <c r="A286" s="3106"/>
      <c r="B286" s="3089"/>
      <c r="C286" s="3089"/>
      <c r="D286" s="3089"/>
      <c r="E286" s="3089"/>
      <c r="F286" s="3089"/>
      <c r="G286" s="3089"/>
      <c r="H286" s="3089"/>
      <c r="I286" s="3107"/>
    </row>
    <row r="287" spans="1:11" x14ac:dyDescent="0.5">
      <c r="A287" s="3106"/>
      <c r="B287" s="3089"/>
      <c r="C287" s="3089"/>
      <c r="D287" s="3089"/>
      <c r="E287" s="3089"/>
      <c r="F287" s="3089"/>
      <c r="G287" s="3089"/>
      <c r="H287" s="3089"/>
      <c r="I287" s="3107"/>
    </row>
    <row r="288" spans="1:11" x14ac:dyDescent="0.5">
      <c r="A288" s="3106"/>
      <c r="B288" s="3089"/>
      <c r="C288" s="3089"/>
      <c r="D288" s="3089"/>
      <c r="E288" s="3089"/>
      <c r="F288" s="3089"/>
      <c r="G288" s="3089"/>
      <c r="H288" s="3089"/>
      <c r="I288" s="3107"/>
    </row>
    <row r="289" spans="1:11" x14ac:dyDescent="0.5">
      <c r="A289" s="3106"/>
      <c r="B289" s="3089"/>
      <c r="C289" s="3089"/>
      <c r="D289" s="3089"/>
      <c r="E289" s="3089"/>
      <c r="F289" s="3089"/>
      <c r="G289" s="3089"/>
      <c r="H289" s="3089"/>
      <c r="I289" s="3107"/>
    </row>
    <row r="290" spans="1:11" x14ac:dyDescent="0.5">
      <c r="A290" s="3106"/>
      <c r="B290" s="3089"/>
      <c r="C290" s="3089"/>
      <c r="D290" s="3089"/>
      <c r="E290" s="3089"/>
      <c r="F290" s="3089"/>
      <c r="G290" s="3089"/>
      <c r="H290" s="3089"/>
      <c r="I290" s="3107"/>
    </row>
    <row r="291" spans="1:11" x14ac:dyDescent="0.5">
      <c r="A291" s="3106"/>
      <c r="B291" s="3089"/>
      <c r="C291" s="3089"/>
      <c r="D291" s="3089"/>
      <c r="E291" s="3089"/>
      <c r="F291" s="3089"/>
      <c r="G291" s="3089"/>
      <c r="H291" s="3089"/>
      <c r="I291" s="3107"/>
    </row>
    <row r="292" spans="1:11" x14ac:dyDescent="0.5">
      <c r="A292" s="3106"/>
      <c r="B292" s="3089"/>
      <c r="C292" s="3089"/>
      <c r="D292" s="3089"/>
      <c r="E292" s="3089"/>
      <c r="F292" s="3089"/>
      <c r="G292" s="3089"/>
      <c r="H292" s="3089"/>
      <c r="I292" s="3107"/>
    </row>
    <row r="293" spans="1:11" x14ac:dyDescent="0.5">
      <c r="A293" s="3106"/>
      <c r="B293" s="3089"/>
      <c r="C293" s="3089"/>
      <c r="D293" s="3089"/>
      <c r="E293" s="3089"/>
      <c r="F293" s="3089"/>
      <c r="G293" s="3089"/>
      <c r="H293" s="3089"/>
      <c r="I293" s="3107"/>
    </row>
    <row r="294" spans="1:11" x14ac:dyDescent="0.5">
      <c r="A294" s="3106"/>
      <c r="B294" s="3089"/>
      <c r="C294" s="3089"/>
      <c r="D294" s="3089"/>
      <c r="E294" s="3089"/>
      <c r="F294" s="3089"/>
      <c r="G294" s="3089"/>
      <c r="H294" s="3089"/>
      <c r="I294" s="3107"/>
    </row>
    <row r="295" spans="1:11" x14ac:dyDescent="0.5">
      <c r="A295" s="3106"/>
      <c r="B295" s="3089"/>
      <c r="C295" s="3089"/>
      <c r="D295" s="3089"/>
      <c r="E295" s="3089"/>
      <c r="F295" s="3089"/>
      <c r="G295" s="3089"/>
      <c r="H295" s="3089"/>
      <c r="I295" s="3107"/>
    </row>
    <row r="296" spans="1:11" x14ac:dyDescent="0.5">
      <c r="A296" s="3106"/>
      <c r="B296" s="3089"/>
      <c r="C296" s="3089"/>
      <c r="D296" s="3089"/>
      <c r="E296" s="3089"/>
      <c r="F296" s="3089"/>
      <c r="G296" s="3089"/>
      <c r="H296" s="3089"/>
      <c r="I296" s="3107"/>
    </row>
    <row r="297" spans="1:11" x14ac:dyDescent="0.5">
      <c r="A297" s="3106"/>
      <c r="B297" s="3089"/>
      <c r="C297" s="3089"/>
      <c r="D297" s="3089"/>
      <c r="E297" s="3089"/>
      <c r="F297" s="3089"/>
      <c r="G297" s="3089"/>
      <c r="H297" s="3089"/>
      <c r="I297" s="3107"/>
    </row>
    <row r="298" spans="1:11" x14ac:dyDescent="0.5">
      <c r="A298" s="3106"/>
      <c r="B298" s="3089"/>
      <c r="C298" s="3089"/>
      <c r="D298" s="3089"/>
      <c r="E298" s="3089"/>
      <c r="F298" s="3089"/>
      <c r="G298" s="3089"/>
      <c r="H298" s="3089"/>
      <c r="I298" s="3107"/>
    </row>
    <row r="299" spans="1:11" x14ac:dyDescent="0.5">
      <c r="A299" s="3106"/>
      <c r="B299" s="3089"/>
      <c r="C299" s="3089"/>
      <c r="D299" s="3089"/>
      <c r="E299" s="3089"/>
      <c r="F299" s="3089"/>
      <c r="G299" s="3089"/>
      <c r="H299" s="3089"/>
      <c r="I299" s="3107"/>
    </row>
    <row r="300" spans="1:11" x14ac:dyDescent="0.5">
      <c r="A300" s="3106"/>
      <c r="B300" s="3089"/>
      <c r="C300" s="3089"/>
      <c r="D300" s="3089"/>
      <c r="E300" s="3089"/>
      <c r="F300" s="3089"/>
      <c r="G300" s="3089"/>
      <c r="H300" s="3089"/>
      <c r="I300" s="3107"/>
    </row>
    <row r="301" spans="1:11" x14ac:dyDescent="0.5">
      <c r="A301" s="3106"/>
      <c r="B301" s="3089"/>
      <c r="C301" s="3089"/>
      <c r="D301" s="3089"/>
      <c r="E301" s="3089"/>
      <c r="F301" s="3089"/>
      <c r="G301" s="3089"/>
      <c r="H301" s="3089"/>
      <c r="I301" s="3107"/>
    </row>
    <row r="302" spans="1:11" x14ac:dyDescent="0.5">
      <c r="A302" s="3108"/>
      <c r="B302" s="3109"/>
      <c r="C302" s="3109"/>
      <c r="D302" s="3109"/>
      <c r="E302" s="3109"/>
      <c r="F302" s="3109"/>
      <c r="G302" s="3109"/>
      <c r="H302" s="3109"/>
      <c r="I302" s="3110"/>
    </row>
    <row r="303" spans="1:11" x14ac:dyDescent="0.5">
      <c r="A303" s="1554" t="s">
        <v>460</v>
      </c>
      <c r="B303" s="1557"/>
      <c r="C303" s="1558"/>
      <c r="D303" s="1558"/>
      <c r="E303" s="1558"/>
      <c r="F303" s="1558"/>
      <c r="G303" s="1558"/>
      <c r="H303" s="1558"/>
      <c r="I303" s="1559"/>
    </row>
    <row r="304" spans="1:11" x14ac:dyDescent="0.5">
      <c r="A304" s="1526"/>
      <c r="B304" s="1527"/>
      <c r="C304" s="1527"/>
      <c r="D304" s="1527"/>
      <c r="E304" s="1543" t="s">
        <v>402</v>
      </c>
      <c r="F304" s="3213" t="str">
        <f>"KALKULATION Punkt "&amp;K304</f>
        <v>KALKULATION Punkt G</v>
      </c>
      <c r="G304" s="3213"/>
      <c r="H304" s="1544" t="s">
        <v>400</v>
      </c>
      <c r="I304" s="1545" t="s">
        <v>409</v>
      </c>
      <c r="K304" s="1268" t="s">
        <v>11</v>
      </c>
    </row>
    <row r="305" spans="1:11" x14ac:dyDescent="0.5">
      <c r="A305" s="3104" t="str">
        <f ca="1">A890&amp;A898&amp;"
"&amp;A902&amp;A907</f>
        <v xml:space="preserve">Personalgemeinkosten sind in Hv 5,64€/Std in Ansatz gebracht. Es entfallen 2,43€ auf Werte die als % eingetragen sind, und daher variabel zu den Personalkosten sind, und 3,21€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88"/>
      <c r="C305" s="3088"/>
      <c r="D305" s="3088"/>
      <c r="E305" s="3088"/>
      <c r="F305" s="3088"/>
      <c r="G305" s="3088"/>
      <c r="H305" s="3088"/>
      <c r="I305" s="3105"/>
    </row>
    <row r="306" spans="1:11" x14ac:dyDescent="0.5">
      <c r="A306" s="3106"/>
      <c r="B306" s="3089"/>
      <c r="C306" s="3089"/>
      <c r="D306" s="3089"/>
      <c r="E306" s="3089"/>
      <c r="F306" s="3089"/>
      <c r="G306" s="3089"/>
      <c r="H306" s="3089"/>
      <c r="I306" s="3107"/>
    </row>
    <row r="307" spans="1:11" x14ac:dyDescent="0.5">
      <c r="A307" s="3106"/>
      <c r="B307" s="3089"/>
      <c r="C307" s="3089"/>
      <c r="D307" s="3089"/>
      <c r="E307" s="3089"/>
      <c r="F307" s="3089"/>
      <c r="G307" s="3089"/>
      <c r="H307" s="3089"/>
      <c r="I307" s="3107"/>
    </row>
    <row r="308" spans="1:11" x14ac:dyDescent="0.5">
      <c r="A308" s="3106"/>
      <c r="B308" s="3089"/>
      <c r="C308" s="3089"/>
      <c r="D308" s="3089"/>
      <c r="E308" s="3089"/>
      <c r="F308" s="3089"/>
      <c r="G308" s="3089"/>
      <c r="H308" s="3089"/>
      <c r="I308" s="3107"/>
    </row>
    <row r="309" spans="1:11" x14ac:dyDescent="0.5">
      <c r="A309" s="3106"/>
      <c r="B309" s="3089"/>
      <c r="C309" s="3089"/>
      <c r="D309" s="3089"/>
      <c r="E309" s="3089"/>
      <c r="F309" s="3089"/>
      <c r="G309" s="3089"/>
      <c r="H309" s="3089"/>
      <c r="I309" s="3107"/>
    </row>
    <row r="310" spans="1:11" x14ac:dyDescent="0.5">
      <c r="A310" s="3106"/>
      <c r="B310" s="3089"/>
      <c r="C310" s="3089"/>
      <c r="D310" s="3089"/>
      <c r="E310" s="3089"/>
      <c r="F310" s="3089"/>
      <c r="G310" s="3089"/>
      <c r="H310" s="3089"/>
      <c r="I310" s="3107"/>
    </row>
    <row r="311" spans="1:11" x14ac:dyDescent="0.5">
      <c r="A311" s="3106"/>
      <c r="B311" s="3089"/>
      <c r="C311" s="3089"/>
      <c r="D311" s="3089"/>
      <c r="E311" s="3089"/>
      <c r="F311" s="3089"/>
      <c r="G311" s="3089"/>
      <c r="H311" s="3089"/>
      <c r="I311" s="3107"/>
    </row>
    <row r="312" spans="1:11" x14ac:dyDescent="0.5">
      <c r="A312" s="3106"/>
      <c r="B312" s="3089"/>
      <c r="C312" s="3089"/>
      <c r="D312" s="3089"/>
      <c r="E312" s="3089"/>
      <c r="F312" s="3089"/>
      <c r="G312" s="3089"/>
      <c r="H312" s="3089"/>
      <c r="I312" s="3107"/>
    </row>
    <row r="313" spans="1:11" x14ac:dyDescent="0.5">
      <c r="A313" s="3106"/>
      <c r="B313" s="3089"/>
      <c r="C313" s="3089"/>
      <c r="D313" s="3089"/>
      <c r="E313" s="3089"/>
      <c r="F313" s="3089"/>
      <c r="G313" s="3089"/>
      <c r="H313" s="3089"/>
      <c r="I313" s="3107"/>
    </row>
    <row r="314" spans="1:11" x14ac:dyDescent="0.5">
      <c r="A314" s="3106"/>
      <c r="B314" s="3089"/>
      <c r="C314" s="3089"/>
      <c r="D314" s="3089"/>
      <c r="E314" s="3089"/>
      <c r="F314" s="3089"/>
      <c r="G314" s="3089"/>
      <c r="H314" s="3089"/>
      <c r="I314" s="3107"/>
    </row>
    <row r="315" spans="1:11" x14ac:dyDescent="0.5">
      <c r="A315" s="3108"/>
      <c r="B315" s="3109"/>
      <c r="C315" s="3109"/>
      <c r="D315" s="3109"/>
      <c r="E315" s="3109"/>
      <c r="F315" s="3109"/>
      <c r="G315" s="3109"/>
      <c r="H315" s="3109"/>
      <c r="I315" s="3110"/>
    </row>
    <row r="316" spans="1:11" x14ac:dyDescent="0.5">
      <c r="A316" s="1554" t="s">
        <v>461</v>
      </c>
      <c r="B316" s="1555"/>
      <c r="C316" s="1555"/>
      <c r="D316" s="1555"/>
      <c r="E316" s="1555"/>
      <c r="F316" s="1555"/>
      <c r="G316" s="1555"/>
      <c r="H316" s="1555"/>
      <c r="I316" s="1556"/>
    </row>
    <row r="317" spans="1:11" x14ac:dyDescent="0.5">
      <c r="A317" s="1549"/>
      <c r="B317" s="1550"/>
      <c r="C317" s="1550"/>
      <c r="D317" s="1550"/>
      <c r="E317" s="1551" t="s">
        <v>402</v>
      </c>
      <c r="F317" s="3213" t="str">
        <f>"KALKULATION Punkt "&amp;K317</f>
        <v>KALKULATION Punkt H</v>
      </c>
      <c r="G317" s="3213"/>
      <c r="H317" s="1552" t="s">
        <v>400</v>
      </c>
      <c r="I317" s="1553" t="s">
        <v>410</v>
      </c>
      <c r="K317" s="1268" t="s">
        <v>12</v>
      </c>
    </row>
    <row r="318" spans="1:11" x14ac:dyDescent="0.5">
      <c r="A318" s="3104" t="str">
        <f ca="1">IF(' K3 PP'!M39=0,"",A915&amp;A932&amp;A936&amp;A939)</f>
        <v xml:space="preserve">Es sind keine Umlagen (Hinzurechnungen) vorgesehen. </v>
      </c>
      <c r="B318" s="3088"/>
      <c r="C318" s="3088"/>
      <c r="D318" s="3088"/>
      <c r="E318" s="3088"/>
      <c r="F318" s="3088"/>
      <c r="G318" s="3088"/>
      <c r="H318" s="3088"/>
      <c r="I318" s="3105"/>
    </row>
    <row r="319" spans="1:11" x14ac:dyDescent="0.5">
      <c r="A319" s="3106"/>
      <c r="B319" s="3089"/>
      <c r="C319" s="3089"/>
      <c r="D319" s="3089"/>
      <c r="E319" s="3089"/>
      <c r="F319" s="3089"/>
      <c r="G319" s="3089"/>
      <c r="H319" s="3089"/>
      <c r="I319" s="3107"/>
    </row>
    <row r="320" spans="1:11" x14ac:dyDescent="0.5">
      <c r="A320" s="3106"/>
      <c r="B320" s="3089"/>
      <c r="C320" s="3089"/>
      <c r="D320" s="3089"/>
      <c r="E320" s="3089"/>
      <c r="F320" s="3089"/>
      <c r="G320" s="3089"/>
      <c r="H320" s="3089"/>
      <c r="I320" s="3107"/>
    </row>
    <row r="321" spans="1:11" x14ac:dyDescent="0.5">
      <c r="A321" s="3106"/>
      <c r="B321" s="3089"/>
      <c r="C321" s="3089"/>
      <c r="D321" s="3089"/>
      <c r="E321" s="3089"/>
      <c r="F321" s="3089"/>
      <c r="G321" s="3089"/>
      <c r="H321" s="3089"/>
      <c r="I321" s="3107"/>
    </row>
    <row r="322" spans="1:11" x14ac:dyDescent="0.5">
      <c r="A322" s="3106"/>
      <c r="B322" s="3089"/>
      <c r="C322" s="3089"/>
      <c r="D322" s="3089"/>
      <c r="E322" s="3089"/>
      <c r="F322" s="3089"/>
      <c r="G322" s="3089"/>
      <c r="H322" s="3089"/>
      <c r="I322" s="3107"/>
    </row>
    <row r="323" spans="1:11" x14ac:dyDescent="0.5">
      <c r="A323" s="3106"/>
      <c r="B323" s="3089"/>
      <c r="C323" s="3089"/>
      <c r="D323" s="3089"/>
      <c r="E323" s="3089"/>
      <c r="F323" s="3089"/>
      <c r="G323" s="3089"/>
      <c r="H323" s="3089"/>
      <c r="I323" s="3107"/>
    </row>
    <row r="324" spans="1:11" x14ac:dyDescent="0.5">
      <c r="A324" s="3106"/>
      <c r="B324" s="3089"/>
      <c r="C324" s="3089"/>
      <c r="D324" s="3089"/>
      <c r="E324" s="3089"/>
      <c r="F324" s="3089"/>
      <c r="G324" s="3089"/>
      <c r="H324" s="3089"/>
      <c r="I324" s="3107"/>
    </row>
    <row r="325" spans="1:11" x14ac:dyDescent="0.5">
      <c r="A325" s="3106"/>
      <c r="B325" s="3089"/>
      <c r="C325" s="3089"/>
      <c r="D325" s="3089"/>
      <c r="E325" s="3089"/>
      <c r="F325" s="3089"/>
      <c r="G325" s="3089"/>
      <c r="H325" s="3089"/>
      <c r="I325" s="3107"/>
    </row>
    <row r="326" spans="1:11" x14ac:dyDescent="0.5">
      <c r="A326" s="3106"/>
      <c r="B326" s="3089"/>
      <c r="C326" s="3089"/>
      <c r="D326" s="3089"/>
      <c r="E326" s="3089"/>
      <c r="F326" s="3089"/>
      <c r="G326" s="3089"/>
      <c r="H326" s="3089"/>
      <c r="I326" s="3107"/>
    </row>
    <row r="327" spans="1:11" x14ac:dyDescent="0.5">
      <c r="A327" s="3108"/>
      <c r="B327" s="3109"/>
      <c r="C327" s="3109"/>
      <c r="D327" s="3109"/>
      <c r="E327" s="3109"/>
      <c r="F327" s="3109"/>
      <c r="G327" s="3109"/>
      <c r="H327" s="3109"/>
      <c r="I327" s="3110"/>
    </row>
    <row r="328" spans="1:11" x14ac:dyDescent="0.5">
      <c r="A328" s="1560" t="s">
        <v>462</v>
      </c>
      <c r="B328" s="1329"/>
      <c r="C328" s="1561"/>
      <c r="D328" s="1561"/>
      <c r="E328" s="1561"/>
      <c r="F328" s="1561"/>
      <c r="G328" s="1561"/>
      <c r="H328" s="1561"/>
      <c r="I328" s="1562"/>
    </row>
    <row r="329" spans="1:11" x14ac:dyDescent="0.5">
      <c r="A329" s="1526"/>
      <c r="B329" s="1527"/>
      <c r="C329" s="1527"/>
      <c r="D329" s="1527"/>
      <c r="E329" s="1543" t="s">
        <v>402</v>
      </c>
      <c r="F329" s="3213" t="str">
        <f>"KALKULATION Punkt "&amp;K329</f>
        <v>KALKULATION Punkt I</v>
      </c>
      <c r="G329" s="3213"/>
      <c r="H329" s="1544" t="s">
        <v>400</v>
      </c>
      <c r="I329" s="1545" t="s">
        <v>411</v>
      </c>
      <c r="K329" s="1268" t="s">
        <v>0</v>
      </c>
    </row>
    <row r="330" spans="1:11" ht="15.75" customHeight="1" x14ac:dyDescent="0.5">
      <c r="A330" s="3104" t="str">
        <f ca="1">A947&amp;A950&amp;A955&amp;A957</f>
        <v xml:space="preserve">Der Gesamtzuschlag auf die Personalkosten (K3, Spalte B) ist mit 28,000% angegeben und ist gem K2-Blatt mit [Alle Kostenarten] bezeichnet. Der Zuschlag beträgt 15,91€. 
GZ auf Umlagen: Der Wert liegt außerhalb der im Blatt REPORT festgelegten Richtwerte. Bei öffentlichen Aufträgen (BVergG) auf die Erklärbarkeit und Plausibilität der Werte achten. </v>
      </c>
      <c r="B330" s="3088"/>
      <c r="C330" s="3088"/>
      <c r="D330" s="3088"/>
      <c r="E330" s="3088"/>
      <c r="F330" s="3088"/>
      <c r="G330" s="3088"/>
      <c r="H330" s="3088"/>
      <c r="I330" s="3105"/>
    </row>
    <row r="331" spans="1:11" x14ac:dyDescent="0.5">
      <c r="A331" s="3106"/>
      <c r="B331" s="3089"/>
      <c r="C331" s="3089"/>
      <c r="D331" s="3089"/>
      <c r="E331" s="3089"/>
      <c r="F331" s="3089"/>
      <c r="G331" s="3089"/>
      <c r="H331" s="3089"/>
      <c r="I331" s="3107"/>
    </row>
    <row r="332" spans="1:11" x14ac:dyDescent="0.5">
      <c r="A332" s="3106"/>
      <c r="B332" s="3089"/>
      <c r="C332" s="3089"/>
      <c r="D332" s="3089"/>
      <c r="E332" s="3089"/>
      <c r="F332" s="3089"/>
      <c r="G332" s="3089"/>
      <c r="H332" s="3089"/>
      <c r="I332" s="3107"/>
    </row>
    <row r="333" spans="1:11" x14ac:dyDescent="0.5">
      <c r="A333" s="3106"/>
      <c r="B333" s="3089"/>
      <c r="C333" s="3089"/>
      <c r="D333" s="3089"/>
      <c r="E333" s="3089"/>
      <c r="F333" s="3089"/>
      <c r="G333" s="3089"/>
      <c r="H333" s="3089"/>
      <c r="I333" s="3107"/>
    </row>
    <row r="334" spans="1:11" x14ac:dyDescent="0.5">
      <c r="A334" s="3106"/>
      <c r="B334" s="3089"/>
      <c r="C334" s="3089"/>
      <c r="D334" s="3089"/>
      <c r="E334" s="3089"/>
      <c r="F334" s="3089"/>
      <c r="G334" s="3089"/>
      <c r="H334" s="3089"/>
      <c r="I334" s="3107"/>
    </row>
    <row r="335" spans="1:11" x14ac:dyDescent="0.5">
      <c r="A335" s="3106"/>
      <c r="B335" s="3089"/>
      <c r="C335" s="3089"/>
      <c r="D335" s="3089"/>
      <c r="E335" s="3089"/>
      <c r="F335" s="3089"/>
      <c r="G335" s="3089"/>
      <c r="H335" s="3089"/>
      <c r="I335" s="3107"/>
    </row>
    <row r="336" spans="1:11" x14ac:dyDescent="0.5">
      <c r="A336" s="3106"/>
      <c r="B336" s="3089"/>
      <c r="C336" s="3089"/>
      <c r="D336" s="3089"/>
      <c r="E336" s="3089"/>
      <c r="F336" s="3089"/>
      <c r="G336" s="3089"/>
      <c r="H336" s="3089"/>
      <c r="I336" s="3107"/>
    </row>
    <row r="337" spans="1:11" x14ac:dyDescent="0.5">
      <c r="A337" s="3106"/>
      <c r="B337" s="3089"/>
      <c r="C337" s="3089"/>
      <c r="D337" s="3089"/>
      <c r="E337" s="3089"/>
      <c r="F337" s="3089"/>
      <c r="G337" s="3089"/>
      <c r="H337" s="3089"/>
      <c r="I337" s="3107"/>
    </row>
    <row r="338" spans="1:11" x14ac:dyDescent="0.5">
      <c r="A338" s="3106"/>
      <c r="B338" s="3089"/>
      <c r="C338" s="3089"/>
      <c r="D338" s="3089"/>
      <c r="E338" s="3089"/>
      <c r="F338" s="3089"/>
      <c r="G338" s="3089"/>
      <c r="H338" s="3089"/>
      <c r="I338" s="3107"/>
    </row>
    <row r="339" spans="1:11" x14ac:dyDescent="0.5">
      <c r="A339" s="3106"/>
      <c r="B339" s="3089"/>
      <c r="C339" s="3089"/>
      <c r="D339" s="3089"/>
      <c r="E339" s="3089"/>
      <c r="F339" s="3089"/>
      <c r="G339" s="3089"/>
      <c r="H339" s="3089"/>
      <c r="I339" s="3107"/>
    </row>
    <row r="340" spans="1:11" x14ac:dyDescent="0.5">
      <c r="A340" s="3106"/>
      <c r="B340" s="3089"/>
      <c r="C340" s="3089"/>
      <c r="D340" s="3089"/>
      <c r="E340" s="3089"/>
      <c r="F340" s="3089"/>
      <c r="G340" s="3089"/>
      <c r="H340" s="3089"/>
      <c r="I340" s="3107"/>
    </row>
    <row r="341" spans="1:11" x14ac:dyDescent="0.5">
      <c r="A341" s="3108"/>
      <c r="B341" s="3109"/>
      <c r="C341" s="3109"/>
      <c r="D341" s="3109"/>
      <c r="E341" s="3109"/>
      <c r="F341" s="3109"/>
      <c r="G341" s="3109"/>
      <c r="H341" s="3109"/>
      <c r="I341" s="3110"/>
    </row>
    <row r="342" spans="1:11" x14ac:dyDescent="0.5">
      <c r="A342" s="1554" t="s">
        <v>909</v>
      </c>
      <c r="B342" s="1563"/>
      <c r="C342" s="1564"/>
      <c r="D342" s="1564"/>
      <c r="E342" s="1564"/>
      <c r="F342" s="1564"/>
      <c r="G342" s="1564"/>
      <c r="H342" s="1564"/>
      <c r="I342" s="1565"/>
    </row>
    <row r="343" spans="1:11" x14ac:dyDescent="0.5">
      <c r="A343" s="1549"/>
      <c r="B343" s="1550"/>
      <c r="C343" s="1550"/>
      <c r="D343" s="1550"/>
      <c r="E343" s="1551" t="s">
        <v>402</v>
      </c>
      <c r="F343" s="3213" t="str">
        <f>"KALKULATION Punkt "&amp;K343</f>
        <v>KALKULATION Punkt J</v>
      </c>
      <c r="G343" s="3213"/>
      <c r="H343" s="1552" t="s">
        <v>400</v>
      </c>
      <c r="I343" s="1553" t="s">
        <v>418</v>
      </c>
      <c r="K343" s="1268" t="s">
        <v>13</v>
      </c>
    </row>
    <row r="344" spans="1:11" x14ac:dyDescent="0.5">
      <c r="A344" s="3104" t="str">
        <f ca="1">A992&amp;A999&amp;A975&amp;A980&amp;A986</f>
        <v>Das Ergebnis für den PERSONALPREIS GESAMT [Mittellohnpreis] beträgt 
72,74 €/Std | 
1,21 €/Min.
Wenn Sie die Kalkulation auf PREIS-Basis fortsetzen (K7-Blätter), ist dieses Ergebnis relevant. Der GZ ist nicht mehr zu berücksichtigen. 
Das Ergebnis für die PERSONALKOSTEN GESAMT [Mittellohnkosten] beträgt 
56,83 €/Std
0,95 €/Min.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88"/>
      <c r="C344" s="3088"/>
      <c r="D344" s="3088"/>
      <c r="E344" s="3088"/>
      <c r="F344" s="3088"/>
      <c r="G344" s="3088"/>
      <c r="H344" s="3088"/>
      <c r="I344" s="3105"/>
    </row>
    <row r="345" spans="1:11" x14ac:dyDescent="0.5">
      <c r="A345" s="3106"/>
      <c r="B345" s="3089"/>
      <c r="C345" s="3089"/>
      <c r="D345" s="3089"/>
      <c r="E345" s="3089"/>
      <c r="F345" s="3089"/>
      <c r="G345" s="3089"/>
      <c r="H345" s="3089"/>
      <c r="I345" s="3107"/>
    </row>
    <row r="346" spans="1:11" x14ac:dyDescent="0.5">
      <c r="A346" s="3106"/>
      <c r="B346" s="3089"/>
      <c r="C346" s="3089"/>
      <c r="D346" s="3089"/>
      <c r="E346" s="3089"/>
      <c r="F346" s="3089"/>
      <c r="G346" s="3089"/>
      <c r="H346" s="3089"/>
      <c r="I346" s="3107"/>
    </row>
    <row r="347" spans="1:11" x14ac:dyDescent="0.5">
      <c r="A347" s="3106"/>
      <c r="B347" s="3089"/>
      <c r="C347" s="3089"/>
      <c r="D347" s="3089"/>
      <c r="E347" s="3089"/>
      <c r="F347" s="3089"/>
      <c r="G347" s="3089"/>
      <c r="H347" s="3089"/>
      <c r="I347" s="3107"/>
    </row>
    <row r="348" spans="1:11" x14ac:dyDescent="0.5">
      <c r="A348" s="3106"/>
      <c r="B348" s="3089"/>
      <c r="C348" s="3089"/>
      <c r="D348" s="3089"/>
      <c r="E348" s="3089"/>
      <c r="F348" s="3089"/>
      <c r="G348" s="3089"/>
      <c r="H348" s="3089"/>
      <c r="I348" s="3107"/>
    </row>
    <row r="349" spans="1:11" x14ac:dyDescent="0.5">
      <c r="A349" s="3106"/>
      <c r="B349" s="3089"/>
      <c r="C349" s="3089"/>
      <c r="D349" s="3089"/>
      <c r="E349" s="3089"/>
      <c r="F349" s="3089"/>
      <c r="G349" s="3089"/>
      <c r="H349" s="3089"/>
      <c r="I349" s="3107"/>
    </row>
    <row r="350" spans="1:11" x14ac:dyDescent="0.5">
      <c r="A350" s="3106"/>
      <c r="B350" s="3089"/>
      <c r="C350" s="3089"/>
      <c r="D350" s="3089"/>
      <c r="E350" s="3089"/>
      <c r="F350" s="3089"/>
      <c r="G350" s="3089"/>
      <c r="H350" s="3089"/>
      <c r="I350" s="3107"/>
    </row>
    <row r="351" spans="1:11" x14ac:dyDescent="0.5">
      <c r="A351" s="3106"/>
      <c r="B351" s="3089"/>
      <c r="C351" s="3089"/>
      <c r="D351" s="3089"/>
      <c r="E351" s="3089"/>
      <c r="F351" s="3089"/>
      <c r="G351" s="3089"/>
      <c r="H351" s="3089"/>
      <c r="I351" s="3107"/>
    </row>
    <row r="352" spans="1:11" x14ac:dyDescent="0.5">
      <c r="A352" s="3106"/>
      <c r="B352" s="3089"/>
      <c r="C352" s="3089"/>
      <c r="D352" s="3089"/>
      <c r="E352" s="3089"/>
      <c r="F352" s="3089"/>
      <c r="G352" s="3089"/>
      <c r="H352" s="3089"/>
      <c r="I352" s="3107"/>
    </row>
    <row r="353" spans="1:9" x14ac:dyDescent="0.5">
      <c r="A353" s="3106"/>
      <c r="B353" s="3089"/>
      <c r="C353" s="3089"/>
      <c r="D353" s="3089"/>
      <c r="E353" s="3089"/>
      <c r="F353" s="3089"/>
      <c r="G353" s="3089"/>
      <c r="H353" s="3089"/>
      <c r="I353" s="3107"/>
    </row>
    <row r="354" spans="1:9" x14ac:dyDescent="0.5">
      <c r="A354" s="3106"/>
      <c r="B354" s="3089"/>
      <c r="C354" s="3089"/>
      <c r="D354" s="3089"/>
      <c r="E354" s="3089"/>
      <c r="F354" s="3089"/>
      <c r="G354" s="3089"/>
      <c r="H354" s="3089"/>
      <c r="I354" s="3107"/>
    </row>
    <row r="355" spans="1:9" x14ac:dyDescent="0.5">
      <c r="A355" s="3106"/>
      <c r="B355" s="3089"/>
      <c r="C355" s="3089"/>
      <c r="D355" s="3089"/>
      <c r="E355" s="3089"/>
      <c r="F355" s="3089"/>
      <c r="G355" s="3089"/>
      <c r="H355" s="3089"/>
      <c r="I355" s="3107"/>
    </row>
    <row r="356" spans="1:9" x14ac:dyDescent="0.5">
      <c r="A356" s="3106"/>
      <c r="B356" s="3089"/>
      <c r="C356" s="3089"/>
      <c r="D356" s="3089"/>
      <c r="E356" s="3089"/>
      <c r="F356" s="3089"/>
      <c r="G356" s="3089"/>
      <c r="H356" s="3089"/>
      <c r="I356" s="3107"/>
    </row>
    <row r="357" spans="1:9" x14ac:dyDescent="0.5">
      <c r="A357" s="3106"/>
      <c r="B357" s="3089"/>
      <c r="C357" s="3089"/>
      <c r="D357" s="3089"/>
      <c r="E357" s="3089"/>
      <c r="F357" s="3089"/>
      <c r="G357" s="3089"/>
      <c r="H357" s="3089"/>
      <c r="I357" s="3107"/>
    </row>
    <row r="358" spans="1:9" x14ac:dyDescent="0.5">
      <c r="A358" s="3106"/>
      <c r="B358" s="3089"/>
      <c r="C358" s="3089"/>
      <c r="D358" s="3089"/>
      <c r="E358" s="3089"/>
      <c r="F358" s="3089"/>
      <c r="G358" s="3089"/>
      <c r="H358" s="3089"/>
      <c r="I358" s="3107"/>
    </row>
    <row r="359" spans="1:9" x14ac:dyDescent="0.5">
      <c r="A359" s="3106"/>
      <c r="B359" s="3089"/>
      <c r="C359" s="3089"/>
      <c r="D359" s="3089"/>
      <c r="E359" s="3089"/>
      <c r="F359" s="3089"/>
      <c r="G359" s="3089"/>
      <c r="H359" s="3089"/>
      <c r="I359" s="3107"/>
    </row>
    <row r="360" spans="1:9" x14ac:dyDescent="0.5">
      <c r="A360" s="3106"/>
      <c r="B360" s="3089"/>
      <c r="C360" s="3089"/>
      <c r="D360" s="3089"/>
      <c r="E360" s="3089"/>
      <c r="F360" s="3089"/>
      <c r="G360" s="3089"/>
      <c r="H360" s="3089"/>
      <c r="I360" s="3107"/>
    </row>
    <row r="361" spans="1:9" x14ac:dyDescent="0.5">
      <c r="A361" s="3106"/>
      <c r="B361" s="3089"/>
      <c r="C361" s="3089"/>
      <c r="D361" s="3089"/>
      <c r="E361" s="3089"/>
      <c r="F361" s="3089"/>
      <c r="G361" s="3089"/>
      <c r="H361" s="3089"/>
      <c r="I361" s="3107"/>
    </row>
    <row r="362" spans="1:9" x14ac:dyDescent="0.5">
      <c r="A362" s="3106"/>
      <c r="B362" s="3089"/>
      <c r="C362" s="3089"/>
      <c r="D362" s="3089"/>
      <c r="E362" s="3089"/>
      <c r="F362" s="3089"/>
      <c r="G362" s="3089"/>
      <c r="H362" s="3089"/>
      <c r="I362" s="3107"/>
    </row>
    <row r="363" spans="1:9" x14ac:dyDescent="0.5">
      <c r="A363" s="3106"/>
      <c r="B363" s="3089"/>
      <c r="C363" s="3089"/>
      <c r="D363" s="3089"/>
      <c r="E363" s="3089"/>
      <c r="F363" s="3089"/>
      <c r="G363" s="3089"/>
      <c r="H363" s="3089"/>
      <c r="I363" s="3107"/>
    </row>
    <row r="364" spans="1:9" x14ac:dyDescent="0.5">
      <c r="A364" s="3106"/>
      <c r="B364" s="3089"/>
      <c r="C364" s="3089"/>
      <c r="D364" s="3089"/>
      <c r="E364" s="3089"/>
      <c r="F364" s="3089"/>
      <c r="G364" s="3089"/>
      <c r="H364" s="3089"/>
      <c r="I364" s="3107"/>
    </row>
    <row r="365" spans="1:9" x14ac:dyDescent="0.5">
      <c r="A365" s="3106"/>
      <c r="B365" s="3089"/>
      <c r="C365" s="3089"/>
      <c r="D365" s="3089"/>
      <c r="E365" s="3089"/>
      <c r="F365" s="3089"/>
      <c r="G365" s="3089"/>
      <c r="H365" s="3089"/>
      <c r="I365" s="3107"/>
    </row>
    <row r="366" spans="1:9" x14ac:dyDescent="0.5">
      <c r="A366" s="3108"/>
      <c r="B366" s="3109"/>
      <c r="C366" s="3109"/>
      <c r="D366" s="3109"/>
      <c r="E366" s="3109"/>
      <c r="F366" s="3109"/>
      <c r="G366" s="3109"/>
      <c r="H366" s="3109"/>
      <c r="I366" s="3110"/>
    </row>
    <row r="367" spans="1:9" x14ac:dyDescent="0.5">
      <c r="A367" s="1566" t="s">
        <v>463</v>
      </c>
      <c r="B367" s="1341"/>
      <c r="C367" s="1558"/>
      <c r="D367" s="1558"/>
      <c r="E367" s="1558"/>
      <c r="F367" s="1558"/>
      <c r="G367" s="1558"/>
      <c r="H367" s="1558"/>
      <c r="I367" s="1559"/>
    </row>
    <row r="368" spans="1:9" x14ac:dyDescent="0.5">
      <c r="A368" s="1526"/>
      <c r="B368" s="1527"/>
      <c r="C368" s="1527"/>
      <c r="D368" s="1527"/>
      <c r="E368" s="1543" t="s">
        <v>402</v>
      </c>
      <c r="F368" s="1544" t="s">
        <v>446</v>
      </c>
      <c r="G368" s="1543"/>
      <c r="H368" s="1544"/>
      <c r="I368" s="1545"/>
    </row>
    <row r="369" spans="1:9" x14ac:dyDescent="0.5">
      <c r="A369" s="3104" t="str">
        <f ca="1">A1029&amp;"
"&amp;A1042&amp;"
"&amp;A1060</f>
        <v xml:space="preserve">Im K2-Blatt finden sich folgende Gesamtzuschläge (Bezeichnung und GZ in %): [Alle Kostenarten (28,000%)]. Die Werte sind als gerundet ausgewiesen. 
Personalkosten sind mit dem GZ [Alle Kostenarten] beaufschlagt, dessen 28,000% Deckungsbeiträge in Hv 15,91€/Std bzw 2482€ pro Woche (bei der kalkulierten Arbeitszeit und Beschäftigtenzahl; ohne Berücksichtigung von Feiertagen - daher maximal) ergeben. Die Deckungsbeiträge erwirtschaften sich im Detail wie folgt: 
- aus dem Ansatz für GGK in Hv 10,23€/Std bzw 1596€ pro Woche
- aus dem Ansatz für Finanzierungskosten in Hv 1,34€/Std bzw 209€ pro Woche
- aus dem Ansatz für Wagnis in Hv 2,05€/Std bzw 320€ pro Woche
- aus dem Ansatz für Gewinn in Hv 2,29€/Std bzw 357€ pro Woche.
Betreffend Herleitung siehe auch www.bauwesen.at/tools (Nr 08)!
</v>
      </c>
      <c r="B369" s="3088"/>
      <c r="C369" s="3088"/>
      <c r="D369" s="3088"/>
      <c r="E369" s="3088"/>
      <c r="F369" s="3088"/>
      <c r="G369" s="3088"/>
      <c r="H369" s="3088"/>
      <c r="I369" s="3105"/>
    </row>
    <row r="370" spans="1:9" x14ac:dyDescent="0.5">
      <c r="A370" s="3106"/>
      <c r="B370" s="3089"/>
      <c r="C370" s="3089"/>
      <c r="D370" s="3089"/>
      <c r="E370" s="3089"/>
      <c r="F370" s="3089"/>
      <c r="G370" s="3089"/>
      <c r="H370" s="3089"/>
      <c r="I370" s="3107"/>
    </row>
    <row r="371" spans="1:9" x14ac:dyDescent="0.5">
      <c r="A371" s="3106"/>
      <c r="B371" s="3089"/>
      <c r="C371" s="3089"/>
      <c r="D371" s="3089"/>
      <c r="E371" s="3089"/>
      <c r="F371" s="3089"/>
      <c r="G371" s="3089"/>
      <c r="H371" s="3089"/>
      <c r="I371" s="3107"/>
    </row>
    <row r="372" spans="1:9" x14ac:dyDescent="0.5">
      <c r="A372" s="3106"/>
      <c r="B372" s="3089"/>
      <c r="C372" s="3089"/>
      <c r="D372" s="3089"/>
      <c r="E372" s="3089"/>
      <c r="F372" s="3089"/>
      <c r="G372" s="3089"/>
      <c r="H372" s="3089"/>
      <c r="I372" s="3107"/>
    </row>
    <row r="373" spans="1:9" x14ac:dyDescent="0.5">
      <c r="A373" s="3106"/>
      <c r="B373" s="3089"/>
      <c r="C373" s="3089"/>
      <c r="D373" s="3089"/>
      <c r="E373" s="3089"/>
      <c r="F373" s="3089"/>
      <c r="G373" s="3089"/>
      <c r="H373" s="3089"/>
      <c r="I373" s="3107"/>
    </row>
    <row r="374" spans="1:9" x14ac:dyDescent="0.5">
      <c r="A374" s="3106"/>
      <c r="B374" s="3089"/>
      <c r="C374" s="3089"/>
      <c r="D374" s="3089"/>
      <c r="E374" s="3089"/>
      <c r="F374" s="3089"/>
      <c r="G374" s="3089"/>
      <c r="H374" s="3089"/>
      <c r="I374" s="3107"/>
    </row>
    <row r="375" spans="1:9" x14ac:dyDescent="0.5">
      <c r="A375" s="3106"/>
      <c r="B375" s="3089"/>
      <c r="C375" s="3089"/>
      <c r="D375" s="3089"/>
      <c r="E375" s="3089"/>
      <c r="F375" s="3089"/>
      <c r="G375" s="3089"/>
      <c r="H375" s="3089"/>
      <c r="I375" s="3107"/>
    </row>
    <row r="376" spans="1:9" x14ac:dyDescent="0.5">
      <c r="A376" s="3106"/>
      <c r="B376" s="3089"/>
      <c r="C376" s="3089"/>
      <c r="D376" s="3089"/>
      <c r="E376" s="3089"/>
      <c r="F376" s="3089"/>
      <c r="G376" s="3089"/>
      <c r="H376" s="3089"/>
      <c r="I376" s="3107"/>
    </row>
    <row r="377" spans="1:9" x14ac:dyDescent="0.5">
      <c r="A377" s="3106"/>
      <c r="B377" s="3089"/>
      <c r="C377" s="3089"/>
      <c r="D377" s="3089"/>
      <c r="E377" s="3089"/>
      <c r="F377" s="3089"/>
      <c r="G377" s="3089"/>
      <c r="H377" s="3089"/>
      <c r="I377" s="3107"/>
    </row>
    <row r="378" spans="1:9" x14ac:dyDescent="0.5">
      <c r="A378" s="3106"/>
      <c r="B378" s="3089"/>
      <c r="C378" s="3089"/>
      <c r="D378" s="3089"/>
      <c r="E378" s="3089"/>
      <c r="F378" s="3089"/>
      <c r="G378" s="3089"/>
      <c r="H378" s="3089"/>
      <c r="I378" s="3107"/>
    </row>
    <row r="379" spans="1:9" x14ac:dyDescent="0.5">
      <c r="A379" s="3106"/>
      <c r="B379" s="3089"/>
      <c r="C379" s="3089"/>
      <c r="D379" s="3089"/>
      <c r="E379" s="3089"/>
      <c r="F379" s="3089"/>
      <c r="G379" s="3089"/>
      <c r="H379" s="3089"/>
      <c r="I379" s="3107"/>
    </row>
    <row r="380" spans="1:9" x14ac:dyDescent="0.5">
      <c r="A380" s="3106"/>
      <c r="B380" s="3089"/>
      <c r="C380" s="3089"/>
      <c r="D380" s="3089"/>
      <c r="E380" s="3089"/>
      <c r="F380" s="3089"/>
      <c r="G380" s="3089"/>
      <c r="H380" s="3089"/>
      <c r="I380" s="3107"/>
    </row>
    <row r="381" spans="1:9" x14ac:dyDescent="0.5">
      <c r="A381" s="3106"/>
      <c r="B381" s="3089"/>
      <c r="C381" s="3089"/>
      <c r="D381" s="3089"/>
      <c r="E381" s="3089"/>
      <c r="F381" s="3089"/>
      <c r="G381" s="3089"/>
      <c r="H381" s="3089"/>
      <c r="I381" s="3107"/>
    </row>
    <row r="382" spans="1:9" x14ac:dyDescent="0.5">
      <c r="A382" s="3106"/>
      <c r="B382" s="3089"/>
      <c r="C382" s="3089"/>
      <c r="D382" s="3089"/>
      <c r="E382" s="3089"/>
      <c r="F382" s="3089"/>
      <c r="G382" s="3089"/>
      <c r="H382" s="3089"/>
      <c r="I382" s="3107"/>
    </row>
    <row r="383" spans="1:9" x14ac:dyDescent="0.5">
      <c r="A383" s="3106"/>
      <c r="B383" s="3089"/>
      <c r="C383" s="3089"/>
      <c r="D383" s="3089"/>
      <c r="E383" s="3089"/>
      <c r="F383" s="3089"/>
      <c r="G383" s="3089"/>
      <c r="H383" s="3089"/>
      <c r="I383" s="3107"/>
    </row>
    <row r="384" spans="1:9" x14ac:dyDescent="0.5">
      <c r="A384" s="3106"/>
      <c r="B384" s="3089"/>
      <c r="C384" s="3089"/>
      <c r="D384" s="3089"/>
      <c r="E384" s="3089"/>
      <c r="F384" s="3089"/>
      <c r="G384" s="3089"/>
      <c r="H384" s="3089"/>
      <c r="I384" s="3107"/>
    </row>
    <row r="385" spans="1:9" x14ac:dyDescent="0.5">
      <c r="A385" s="3106"/>
      <c r="B385" s="3089"/>
      <c r="C385" s="3089"/>
      <c r="D385" s="3089"/>
      <c r="E385" s="3089"/>
      <c r="F385" s="3089"/>
      <c r="G385" s="3089"/>
      <c r="H385" s="3089"/>
      <c r="I385" s="3107"/>
    </row>
    <row r="386" spans="1:9" x14ac:dyDescent="0.5">
      <c r="A386" s="3106"/>
      <c r="B386" s="3089"/>
      <c r="C386" s="3089"/>
      <c r="D386" s="3089"/>
      <c r="E386" s="3089"/>
      <c r="F386" s="3089"/>
      <c r="G386" s="3089"/>
      <c r="H386" s="3089"/>
      <c r="I386" s="3107"/>
    </row>
    <row r="387" spans="1:9" x14ac:dyDescent="0.5">
      <c r="A387" s="3106"/>
      <c r="B387" s="3089"/>
      <c r="C387" s="3089"/>
      <c r="D387" s="3089"/>
      <c r="E387" s="3089"/>
      <c r="F387" s="3089"/>
      <c r="G387" s="3089"/>
      <c r="H387" s="3089"/>
      <c r="I387" s="3107"/>
    </row>
    <row r="388" spans="1:9" x14ac:dyDescent="0.5">
      <c r="A388" s="3106"/>
      <c r="B388" s="3089"/>
      <c r="C388" s="3089"/>
      <c r="D388" s="3089"/>
      <c r="E388" s="3089"/>
      <c r="F388" s="3089"/>
      <c r="G388" s="3089"/>
      <c r="H388" s="3089"/>
      <c r="I388" s="3107"/>
    </row>
    <row r="389" spans="1:9" x14ac:dyDescent="0.5">
      <c r="A389" s="3106"/>
      <c r="B389" s="3089"/>
      <c r="C389" s="3089"/>
      <c r="D389" s="3089"/>
      <c r="E389" s="3089"/>
      <c r="F389" s="3089"/>
      <c r="G389" s="3089"/>
      <c r="H389" s="3089"/>
      <c r="I389" s="3107"/>
    </row>
    <row r="390" spans="1:9" x14ac:dyDescent="0.5">
      <c r="A390" s="3108"/>
      <c r="B390" s="3109"/>
      <c r="C390" s="3109"/>
      <c r="D390" s="3109"/>
      <c r="E390" s="3109"/>
      <c r="F390" s="3109"/>
      <c r="G390" s="3109"/>
      <c r="H390" s="3109"/>
      <c r="I390" s="3110"/>
    </row>
    <row r="391" spans="1:9" x14ac:dyDescent="0.5">
      <c r="A391" s="1874"/>
      <c r="B391" s="1875"/>
      <c r="C391" s="1875"/>
      <c r="D391" s="1875"/>
      <c r="E391" s="1875"/>
      <c r="F391" s="1875"/>
      <c r="G391" s="1875"/>
      <c r="H391" s="1875"/>
      <c r="I391" s="1876"/>
    </row>
    <row r="392" spans="1:9" x14ac:dyDescent="0.5">
      <c r="A392" s="1877"/>
      <c r="B392" s="1491"/>
      <c r="C392" s="1491"/>
      <c r="D392" s="1491"/>
      <c r="E392" s="1491"/>
      <c r="F392" s="1491"/>
      <c r="G392" s="1491"/>
      <c r="H392" s="1491"/>
      <c r="I392" s="1878"/>
    </row>
    <row r="393" spans="1:9" x14ac:dyDescent="0.5">
      <c r="A393" s="1567"/>
      <c r="B393" s="1514"/>
      <c r="C393" s="1514"/>
      <c r="D393" s="1514"/>
      <c r="E393" s="1514"/>
      <c r="F393" s="1514"/>
      <c r="G393" s="1514"/>
      <c r="H393" s="1514"/>
      <c r="I393" s="1514"/>
    </row>
    <row r="394" spans="1:9" x14ac:dyDescent="0.5">
      <c r="A394" s="1567"/>
      <c r="B394" s="1514"/>
      <c r="C394" s="1514"/>
      <c r="D394" s="1514"/>
      <c r="E394" s="1514"/>
      <c r="F394" s="1514"/>
      <c r="G394" s="1514"/>
      <c r="H394" s="1514"/>
      <c r="I394" s="1514"/>
    </row>
    <row r="395" spans="1:9" x14ac:dyDescent="0.5">
      <c r="A395" s="1567"/>
      <c r="B395" s="1514"/>
      <c r="C395" s="1514"/>
      <c r="D395" s="1514"/>
      <c r="E395" s="1514"/>
      <c r="F395" s="1514"/>
      <c r="G395" s="1514"/>
      <c r="H395" s="1514"/>
      <c r="I395" s="1514"/>
    </row>
    <row r="396" spans="1:9" x14ac:dyDescent="0.5">
      <c r="A396" s="1568"/>
      <c r="B396" s="1569"/>
      <c r="C396" s="1569"/>
      <c r="D396" s="1569"/>
      <c r="E396" s="1569"/>
      <c r="F396" s="1569"/>
      <c r="G396" s="1569"/>
      <c r="H396" s="1569"/>
      <c r="I396" s="1569"/>
    </row>
    <row r="397" spans="1:9" x14ac:dyDescent="0.5">
      <c r="A397" s="1568"/>
      <c r="B397" s="1569"/>
      <c r="C397" s="1569"/>
      <c r="D397" s="1569"/>
      <c r="E397" s="1569"/>
      <c r="F397" s="1569"/>
      <c r="G397" s="1569"/>
      <c r="H397" s="1569"/>
      <c r="I397" s="1569"/>
    </row>
    <row r="398" spans="1:9" x14ac:dyDescent="0.5">
      <c r="A398" s="1568"/>
      <c r="B398" s="1569"/>
      <c r="C398" s="1569"/>
      <c r="D398" s="1569"/>
      <c r="E398" s="1569"/>
      <c r="F398" s="1569"/>
      <c r="G398" s="1569"/>
      <c r="H398" s="1569"/>
      <c r="I398" s="1569"/>
    </row>
    <row r="399" spans="1:9" x14ac:dyDescent="0.5">
      <c r="A399" s="1568"/>
      <c r="B399" s="1569"/>
      <c r="C399" s="1569"/>
      <c r="D399" s="1569"/>
      <c r="E399" s="1569"/>
      <c r="F399" s="1569"/>
      <c r="G399" s="1569"/>
      <c r="H399" s="1569"/>
      <c r="I399" s="1569"/>
    </row>
    <row r="400" spans="1:9" ht="17.75" hidden="1" customHeight="1" x14ac:dyDescent="0.5">
      <c r="A400" s="1570"/>
      <c r="B400" s="1571"/>
      <c r="C400" s="1571"/>
      <c r="D400" s="1571"/>
      <c r="E400" s="1571"/>
      <c r="F400" s="1571"/>
      <c r="G400" s="1571"/>
      <c r="H400" s="1571"/>
      <c r="I400" s="1572"/>
    </row>
    <row r="401" spans="1:9" ht="17.75" hidden="1" customHeight="1" x14ac:dyDescent="0.5">
      <c r="A401" s="1573"/>
      <c r="B401" s="1574"/>
      <c r="C401" s="1574"/>
      <c r="D401" s="1574"/>
      <c r="E401" s="1574"/>
      <c r="F401" s="1574"/>
      <c r="G401" s="1574"/>
      <c r="H401" s="1574"/>
      <c r="I401" s="1575"/>
    </row>
    <row r="402" spans="1:9" ht="15.75" hidden="1" customHeight="1" x14ac:dyDescent="0.5">
      <c r="A402" s="1576" t="s">
        <v>322</v>
      </c>
      <c r="B402" s="1577"/>
      <c r="C402" s="1577"/>
      <c r="D402" s="1577"/>
      <c r="E402" s="1577"/>
      <c r="F402" s="1577"/>
      <c r="G402" s="1577"/>
      <c r="H402" s="1577"/>
      <c r="I402" s="1578"/>
    </row>
    <row r="403" spans="1:9" ht="15.75" hidden="1" customHeight="1" x14ac:dyDescent="0.5">
      <c r="A403" s="3068" t="str">
        <f>IFERROR("Die Kalkulation erfolgt für das Projekt ["&amp;' K3 PP'!G1&amp;"]. Als Geschäftszahl der Ausschreibung ist ["&amp;' K3 PP'!G4&amp;"] angegeben. Die GZ des Unternehmers ist mit ["&amp;' K3 PP'!C4&amp;"] angegeben. ",$K$6)</f>
        <v xml:space="preserve">Die Kalkulation erfolgt für das Projekt [Musterprojekt Spenglerarbeiten]. Als Geschäftszahl der Ausschreibung ist [??] angegeben. Die GZ des Unternehmers ist mit [001/25] angegeben. </v>
      </c>
      <c r="B403" s="3069"/>
      <c r="C403" s="3069"/>
      <c r="D403" s="3069"/>
      <c r="E403" s="3069"/>
      <c r="F403" s="3069"/>
      <c r="G403" s="3069"/>
      <c r="H403" s="3069"/>
      <c r="I403" s="3070"/>
    </row>
    <row r="404" spans="1:9" ht="15.75" hidden="1" customHeight="1" x14ac:dyDescent="0.5">
      <c r="A404" s="3066"/>
      <c r="B404" s="3053"/>
      <c r="C404" s="3053"/>
      <c r="D404" s="3053"/>
      <c r="E404" s="3053"/>
      <c r="F404" s="3053"/>
      <c r="G404" s="3053"/>
      <c r="H404" s="3053"/>
      <c r="I404" s="3067"/>
    </row>
    <row r="405" spans="1:9" ht="15.75" hidden="1" customHeight="1" x14ac:dyDescent="0.5">
      <c r="A405" s="3066"/>
      <c r="B405" s="3053"/>
      <c r="C405" s="3053"/>
      <c r="D405" s="3053"/>
      <c r="E405" s="3053"/>
      <c r="F405" s="3053"/>
      <c r="G405" s="3053"/>
      <c r="H405" s="3053"/>
      <c r="I405" s="3067"/>
    </row>
    <row r="406" spans="1:9" ht="15.75" hidden="1" customHeight="1" x14ac:dyDescent="0.5">
      <c r="A406" s="3071"/>
      <c r="B406" s="3072"/>
      <c r="C406" s="3072"/>
      <c r="D406" s="3072"/>
      <c r="E406" s="3072"/>
      <c r="F406" s="3072"/>
      <c r="G406" s="3072"/>
      <c r="H406" s="3072"/>
      <c r="I406" s="3073"/>
    </row>
    <row r="407" spans="1:9" ht="15.75" hidden="1" customHeight="1" x14ac:dyDescent="0.5">
      <c r="A407" s="1579"/>
      <c r="B407" s="1579"/>
      <c r="C407" s="1579"/>
      <c r="D407" s="1580"/>
      <c r="E407" s="1579"/>
      <c r="F407" s="1579"/>
      <c r="G407" s="1579"/>
      <c r="H407" s="1581"/>
      <c r="I407" s="1579"/>
    </row>
    <row r="408" spans="1:9" ht="15.75" hidden="1" customHeight="1" x14ac:dyDescent="0.5">
      <c r="A408" s="1579"/>
      <c r="B408" s="1579" t="s">
        <v>353</v>
      </c>
      <c r="C408" s="1579" t="s">
        <v>351</v>
      </c>
      <c r="D408" s="1580"/>
      <c r="E408" s="1579"/>
      <c r="F408" s="1579"/>
      <c r="G408" s="1579"/>
      <c r="H408" s="1581"/>
      <c r="I408" s="1579"/>
    </row>
    <row r="409" spans="1:9" ht="15.75" hidden="1" customHeight="1" x14ac:dyDescent="0.5">
      <c r="A409" s="1579"/>
      <c r="B409" s="1580">
        <f>KALKULATION!F18</f>
        <v>45658</v>
      </c>
      <c r="C409" s="1580">
        <f ca="1">TODAY()</f>
        <v>45671</v>
      </c>
      <c r="D409" s="1579">
        <f ca="1">B409-C409</f>
        <v>-13</v>
      </c>
      <c r="E409" s="1579"/>
      <c r="F409" s="1579"/>
      <c r="G409" s="1579"/>
      <c r="H409" s="1581"/>
      <c r="I409" s="1579"/>
    </row>
    <row r="410" spans="1:9" ht="15.75" hidden="1" customHeight="1" x14ac:dyDescent="0.5">
      <c r="A410" s="1579"/>
      <c r="B410" s="1580"/>
      <c r="C410" s="1579" t="str">
        <f ca="1">IF(D409&gt;0,TEXT(D409,"##0")&amp;" Tage in der Zukunft. ",TEXT(ABS(D409),"##0")&amp;" Tage zuvor. ")</f>
        <v xml:space="preserve">13 Tage zuvor. </v>
      </c>
      <c r="D410" s="1579"/>
      <c r="E410" s="1579"/>
      <c r="F410" s="1579"/>
      <c r="G410" s="1579"/>
      <c r="H410" s="1581"/>
      <c r="I410" s="1579"/>
    </row>
    <row r="411" spans="1:9" ht="15.75" hidden="1" customHeight="1" x14ac:dyDescent="0.5">
      <c r="A411" s="3069" t="str">
        <f ca="1">IFERROR("Das angegebene Kalkulationsdatum ist der "&amp;TEXT(B409,"TT.MM.JJJJ")&amp;". In Bezug zum heutigen Tag liegt das Kalkulationsdatum (wird als Datum der Erstellung der Kalkulation verstanden) "&amp;C410,$K$6)</f>
        <v xml:space="preserve">Das angegebene Kalkulationsdatum ist der 01.01.2025. In Bezug zum heutigen Tag liegt das Kalkulationsdatum (wird als Datum der Erstellung der Kalkulation verstanden) 13 Tage zuvor. </v>
      </c>
      <c r="B411" s="3069"/>
      <c r="C411" s="3069"/>
      <c r="D411" s="3069"/>
      <c r="E411" s="3069"/>
      <c r="F411" s="3069"/>
      <c r="G411" s="3069"/>
      <c r="H411" s="3069"/>
      <c r="I411" s="3069"/>
    </row>
    <row r="412" spans="1:9" ht="15.75" hidden="1" customHeight="1" x14ac:dyDescent="0.5">
      <c r="A412" s="3053"/>
      <c r="B412" s="3053"/>
      <c r="C412" s="3053"/>
      <c r="D412" s="3053"/>
      <c r="E412" s="3053"/>
      <c r="F412" s="3053"/>
      <c r="G412" s="3053"/>
      <c r="H412" s="3053"/>
      <c r="I412" s="3053"/>
    </row>
    <row r="413" spans="1:9" ht="15.75" hidden="1" customHeight="1" x14ac:dyDescent="0.5">
      <c r="A413" s="3053"/>
      <c r="B413" s="3053"/>
      <c r="C413" s="3053"/>
      <c r="D413" s="3053"/>
      <c r="E413" s="3053"/>
      <c r="F413" s="3053"/>
      <c r="G413" s="3053"/>
      <c r="H413" s="3053"/>
      <c r="I413" s="3053"/>
    </row>
    <row r="414" spans="1:9" ht="15.75" hidden="1" customHeight="1" x14ac:dyDescent="0.5">
      <c r="A414" s="1569"/>
      <c r="B414" s="1569"/>
      <c r="C414" s="1569"/>
      <c r="D414" s="1569"/>
      <c r="E414" s="1569"/>
      <c r="F414" s="1569"/>
      <c r="G414" s="1569"/>
      <c r="H414" s="1569"/>
      <c r="I414" s="1569"/>
    </row>
    <row r="415" spans="1:9" ht="15.75" hidden="1" customHeight="1" x14ac:dyDescent="0.5">
      <c r="A415" s="3069" t="str">
        <f>IFERROR("
Der Personalpreis wird für die Personalkostenart ["&amp;KALKULATION!C28&amp;"] und für die Leistungsart ["&amp;KALKULATION!C29&amp;"] ermittelt.",$K$6)</f>
        <v xml:space="preserve">
Der Personalpreis wird für die Personalkostenart [Lohn] und für die Leistungsart [Montage] ermittelt.</v>
      </c>
      <c r="B415" s="3069"/>
      <c r="C415" s="3069"/>
      <c r="D415" s="3069"/>
      <c r="E415" s="3069"/>
      <c r="F415" s="3069"/>
      <c r="G415" s="3069"/>
      <c r="H415" s="3069"/>
      <c r="I415" s="3069"/>
    </row>
    <row r="416" spans="1:9" ht="15.75" hidden="1" customHeight="1" x14ac:dyDescent="0.5">
      <c r="A416" s="3053"/>
      <c r="B416" s="3053"/>
      <c r="C416" s="3053"/>
      <c r="D416" s="3053"/>
      <c r="E416" s="3053"/>
      <c r="F416" s="3053"/>
      <c r="G416" s="3053"/>
      <c r="H416" s="3053"/>
      <c r="I416" s="3053"/>
    </row>
    <row r="417" spans="1:9" ht="15.75" hidden="1" customHeight="1" x14ac:dyDescent="0.5">
      <c r="A417" s="3053"/>
      <c r="B417" s="3053"/>
      <c r="C417" s="3053"/>
      <c r="D417" s="3053"/>
      <c r="E417" s="3053"/>
      <c r="F417" s="3053"/>
      <c r="G417" s="3053"/>
      <c r="H417" s="3053"/>
      <c r="I417" s="3053"/>
    </row>
    <row r="418" spans="1:9" ht="15.75" hidden="1" customHeight="1" x14ac:dyDescent="0.5">
      <c r="A418" s="1569"/>
      <c r="B418" s="1569"/>
      <c r="C418" s="1569"/>
      <c r="D418" s="1569"/>
      <c r="E418" s="1569"/>
      <c r="F418" s="1569"/>
      <c r="G418" s="1569"/>
      <c r="H418" s="1569"/>
      <c r="I418" s="1569"/>
    </row>
    <row r="419" spans="1:9" ht="15.75" hidden="1" customHeight="1" x14ac:dyDescent="0.5">
      <c r="A419" s="1569"/>
      <c r="B419" s="1569"/>
      <c r="C419" s="1569"/>
      <c r="D419" s="1569"/>
      <c r="E419" s="1569"/>
      <c r="F419" s="1569"/>
      <c r="G419" s="1569"/>
      <c r="H419" s="1569"/>
      <c r="I419" s="1569"/>
    </row>
    <row r="420" spans="1:9" ht="15.75" hidden="1" customHeight="1" x14ac:dyDescent="0.5">
      <c r="A420" s="1569"/>
      <c r="B420" s="1569"/>
      <c r="C420" s="1569"/>
      <c r="D420" s="1569"/>
      <c r="E420" s="1569"/>
      <c r="F420" s="1569"/>
      <c r="G420" s="1569"/>
      <c r="H420" s="1569"/>
      <c r="I420" s="1569"/>
    </row>
    <row r="421" spans="1:9" ht="15.75" hidden="1" customHeight="1" x14ac:dyDescent="0.5">
      <c r="A421" s="1569"/>
      <c r="B421" s="1569"/>
      <c r="C421" s="1569"/>
      <c r="D421" s="1569"/>
      <c r="E421" s="1569"/>
      <c r="F421" s="1569"/>
      <c r="G421" s="1569"/>
      <c r="H421" s="1569"/>
      <c r="I421" s="1569"/>
    </row>
    <row r="422" spans="1:9" ht="15.75" hidden="1" customHeight="1" x14ac:dyDescent="0.5">
      <c r="A422" s="1514"/>
      <c r="B422" s="1514"/>
      <c r="C422" s="1514"/>
      <c r="D422" s="1514"/>
      <c r="E422" s="1514"/>
      <c r="F422" s="1514"/>
      <c r="G422" s="1514"/>
      <c r="H422" s="1514"/>
      <c r="I422" s="1514"/>
    </row>
    <row r="423" spans="1:9" ht="15.75" hidden="1" customHeight="1" x14ac:dyDescent="0.5">
      <c r="A423" s="1582" t="s">
        <v>290</v>
      </c>
      <c r="B423" s="1577"/>
      <c r="C423" s="1577"/>
      <c r="D423" s="1583"/>
      <c r="E423" s="1577"/>
      <c r="F423" s="1577"/>
      <c r="G423" s="1577"/>
      <c r="H423" s="1584"/>
      <c r="I423" s="1577"/>
    </row>
    <row r="424" spans="1:9" ht="15.75" hidden="1" customHeight="1" x14ac:dyDescent="0.5">
      <c r="A424" s="743"/>
      <c r="B424" s="743"/>
      <c r="C424" s="1585" t="s">
        <v>222</v>
      </c>
      <c r="D424" s="1586" t="s">
        <v>975</v>
      </c>
      <c r="E424" s="1585" t="s">
        <v>351</v>
      </c>
      <c r="F424" s="1585" t="s">
        <v>976</v>
      </c>
      <c r="G424" s="1585" t="s">
        <v>352</v>
      </c>
      <c r="H424" s="1587"/>
      <c r="I424" s="1585"/>
    </row>
    <row r="425" spans="1:9" ht="15.75" hidden="1" customHeight="1" x14ac:dyDescent="0.5">
      <c r="A425" s="1588"/>
      <c r="B425" s="1585"/>
      <c r="C425" s="1586">
        <f ca="1">' K3 PP'!O8</f>
        <v>45658</v>
      </c>
      <c r="D425" s="1586">
        <f>' K3 PP'!M6</f>
        <v>45658</v>
      </c>
      <c r="E425" s="1586">
        <f ca="1">TODAY()</f>
        <v>45671</v>
      </c>
      <c r="F425" s="1585">
        <f ca="1">C425-D425</f>
        <v>0</v>
      </c>
      <c r="G425" s="1585">
        <f ca="1">C425-E425</f>
        <v>-13</v>
      </c>
      <c r="H425" s="1587"/>
      <c r="I425" s="1585"/>
    </row>
    <row r="426" spans="1:9" ht="15.75" hidden="1" customHeight="1" x14ac:dyDescent="0.5">
      <c r="A426" s="1588" t="str">
        <f ca="1">IF(F425&gt;0,TEXT(F425,"##0")&amp;" Tage in der Zukunft. ",TEXT(ABS(F425),"##0")&amp;" Tage zuvor. ")</f>
        <v xml:space="preserve">0 Tage zuvor. </v>
      </c>
      <c r="B426" s="1585"/>
      <c r="C426" s="1586"/>
      <c r="D426" s="1586"/>
      <c r="E426" s="1586"/>
      <c r="F426" s="743"/>
      <c r="G426" s="1588" t="str">
        <f ca="1">IF(G425&gt;0,TEXT(G425,"##0")&amp;" Tage in der Zukunft. ",TEXT(ABS(G425),"##0")&amp;" Tage zuvor. ")</f>
        <v xml:space="preserve">13 Tage zuvor. </v>
      </c>
      <c r="H426" s="1587"/>
      <c r="I426" s="743"/>
    </row>
    <row r="427" spans="1:9" ht="15.75" hidden="1" customHeight="1" x14ac:dyDescent="0.5">
      <c r="A427" s="1588" t="str">
        <f ca="1">IF(OR(ABS(F425)&gt;360,ABS(G425)&gt;360)," Eine Differenz von mehr als 360 Tagen (ca 1 Jahr) wurde erkannt; bitte Aktualität prüfen!","")</f>
        <v/>
      </c>
      <c r="B427" s="1585"/>
      <c r="C427" s="1586"/>
      <c r="D427" s="1586"/>
      <c r="E427" s="1586"/>
      <c r="F427" s="743"/>
      <c r="G427" s="743"/>
      <c r="H427" s="743"/>
      <c r="I427" s="743"/>
    </row>
    <row r="428" spans="1:9" ht="15.75" hidden="1" customHeight="1" x14ac:dyDescent="0.5">
      <c r="A428" s="3069"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Eisen- und Metallverarbeitende Gewerbe (ArbeiterInnen)] mit dem Stichtag 01.01.2025. Im Bezug zum angegebenen Kalkulationsdatum liegt der KollV-Stichtag 0 Tage zuvor. Im Bezug zum heutigen Tag liegt der KollV-Stichtag 13 Tage zuvor. </v>
      </c>
      <c r="B428" s="3069"/>
      <c r="C428" s="3069"/>
      <c r="D428" s="3069"/>
      <c r="E428" s="3069"/>
      <c r="F428" s="3069"/>
      <c r="G428" s="3069"/>
      <c r="H428" s="3069"/>
      <c r="I428" s="3069"/>
    </row>
    <row r="429" spans="1:9" ht="15.75" hidden="1" customHeight="1" x14ac:dyDescent="0.5">
      <c r="A429" s="3053"/>
      <c r="B429" s="3053"/>
      <c r="C429" s="3053"/>
      <c r="D429" s="3053"/>
      <c r="E429" s="3053"/>
      <c r="F429" s="3053"/>
      <c r="G429" s="3053"/>
      <c r="H429" s="3053"/>
      <c r="I429" s="3053"/>
    </row>
    <row r="430" spans="1:9" ht="15" hidden="1" customHeight="1" x14ac:dyDescent="0.5">
      <c r="A430" s="3053"/>
      <c r="B430" s="3053"/>
      <c r="C430" s="3053"/>
      <c r="D430" s="3053"/>
      <c r="E430" s="3053"/>
      <c r="F430" s="3053"/>
      <c r="G430" s="3053"/>
      <c r="H430" s="3053"/>
      <c r="I430" s="3053"/>
    </row>
    <row r="431" spans="1:9" ht="15.75" hidden="1" customHeight="1" x14ac:dyDescent="0.5">
      <c r="A431" s="3072"/>
      <c r="B431" s="3072"/>
      <c r="C431" s="3072"/>
      <c r="D431" s="3072"/>
      <c r="E431" s="3072"/>
      <c r="F431" s="3072"/>
      <c r="G431" s="3072"/>
      <c r="H431" s="3072"/>
      <c r="I431" s="3072"/>
    </row>
    <row r="432" spans="1:9" ht="15.75" hidden="1" customHeight="1" x14ac:dyDescent="0.5">
      <c r="A432" s="1514"/>
      <c r="B432" s="1514"/>
      <c r="C432" s="1514"/>
      <c r="D432" s="1514"/>
      <c r="E432" s="1514"/>
      <c r="F432" s="1514"/>
      <c r="G432" s="1514"/>
      <c r="H432" s="1514"/>
      <c r="I432" s="1514"/>
    </row>
    <row r="433" spans="1:9" ht="15.75" hidden="1" customHeight="1" x14ac:dyDescent="0.5">
      <c r="A433" s="1514"/>
      <c r="B433" s="1514"/>
      <c r="C433" s="1514"/>
      <c r="D433" s="1514"/>
      <c r="E433" s="1514"/>
      <c r="F433" s="1514"/>
      <c r="G433" s="1514"/>
      <c r="H433" s="1514"/>
      <c r="I433" s="1514"/>
    </row>
    <row r="434" spans="1:9" ht="15.75" hidden="1" customHeight="1" x14ac:dyDescent="0.5">
      <c r="A434" s="1589" t="str">
        <f ca="1">IF(OR(KALKULATION!A36="",KALKULATION!F36=0),"",KALKULATION!A36&amp;" ("&amp;(TEXT(KALKULATION!F36,"0%")&amp;"), "))</f>
        <v xml:space="preserve">LG 2 Qualifizierter Facharbeiter (50%), </v>
      </c>
      <c r="B434" s="1590"/>
      <c r="C434" s="1590"/>
      <c r="D434" s="1590"/>
      <c r="E434" s="1591"/>
      <c r="F434" s="1590"/>
      <c r="G434" s="1590"/>
      <c r="H434" s="1590"/>
      <c r="I434" s="1591"/>
    </row>
    <row r="435" spans="1:9" ht="15.75" hidden="1" customHeight="1" x14ac:dyDescent="0.5">
      <c r="A435" s="1592" t="str">
        <f ca="1">IF(OR(KALKULATION!A37="",KALKULATION!F37=0),"",KALKULATION!A37&amp;" ("&amp;(TEXT(KALKULATION!F37,"0%")&amp;"), "))</f>
        <v xml:space="preserve">LG 5 Qualifizierter Arbeitnehmer (50%), </v>
      </c>
      <c r="B435" s="1593"/>
      <c r="C435" s="1593"/>
      <c r="D435" s="1593"/>
      <c r="E435" s="1594"/>
      <c r="F435" s="1593"/>
      <c r="G435" s="1593"/>
      <c r="H435" s="1593"/>
      <c r="I435" s="1594"/>
    </row>
    <row r="436" spans="1:9" ht="15.75" hidden="1" customHeight="1" x14ac:dyDescent="0.5">
      <c r="A436" s="1592" t="str">
        <f ca="1">IF(OR(KALKULATION!A38="",KALKULATION!F38=0),"",KALKULATION!A38&amp;" ("&amp;(TEXT(KALKULATION!F38,"0%")&amp;"), "))</f>
        <v/>
      </c>
      <c r="B436" s="1593"/>
      <c r="C436" s="1593"/>
      <c r="D436" s="1593"/>
      <c r="E436" s="1594"/>
      <c r="F436" s="1593"/>
      <c r="G436" s="1593"/>
      <c r="H436" s="1593"/>
      <c r="I436" s="1594"/>
    </row>
    <row r="437" spans="1:9" ht="15.75" hidden="1" customHeight="1" x14ac:dyDescent="0.5">
      <c r="A437" s="1592" t="str">
        <f ca="1">IF(OR(KALKULATION!A39="",KALKULATION!F39=0),"",KALKULATION!A39&amp;" ("&amp;(TEXT(KALKULATION!F39,"0%")&amp;"), "))</f>
        <v/>
      </c>
      <c r="B437" s="1593"/>
      <c r="C437" s="1593"/>
      <c r="D437" s="1593"/>
      <c r="E437" s="1594"/>
      <c r="F437" s="1593"/>
      <c r="G437" s="1593"/>
      <c r="H437" s="1593"/>
      <c r="I437" s="1594"/>
    </row>
    <row r="438" spans="1:9" ht="15.75" hidden="1" customHeight="1" x14ac:dyDescent="0.5">
      <c r="A438" s="1592" t="str">
        <f ca="1">IF(OR(KALKULATION!A40="",KALKULATION!F40=0),"",KALKULATION!A40&amp;" ("&amp;(TEXT(KALKULATION!F40,"0%")&amp;"), "))</f>
        <v/>
      </c>
      <c r="B438" s="1593"/>
      <c r="C438" s="1593"/>
      <c r="D438" s="1593"/>
      <c r="E438" s="1594"/>
      <c r="F438" s="1593"/>
      <c r="G438" s="1593"/>
      <c r="H438" s="1593"/>
      <c r="I438" s="1594"/>
    </row>
    <row r="439" spans="1:9" ht="15.75" hidden="1" customHeight="1" x14ac:dyDescent="0.5">
      <c r="A439" s="1592" t="str">
        <f ca="1">IF(OR(KALKULATION!A41="",KALKULATION!F41=0),"",KALKULATION!A41&amp;" ("&amp;(TEXT(KALKULATION!F41,"0%")&amp;"), "))</f>
        <v/>
      </c>
      <c r="B439" s="1593"/>
      <c r="C439" s="1593"/>
      <c r="D439" s="1593"/>
      <c r="E439" s="1594"/>
      <c r="F439" s="1593"/>
      <c r="G439" s="1593"/>
      <c r="H439" s="1593"/>
      <c r="I439" s="1594"/>
    </row>
    <row r="440" spans="1:9" ht="15.75" hidden="1" customHeight="1" x14ac:dyDescent="0.5">
      <c r="A440" s="1592" t="str">
        <f ca="1">IF(OR(KALKULATION!A42="",KALKULATION!F42=0),"",KALKULATION!A42&amp;" ("&amp;(TEXT(KALKULATION!F42,"0%")&amp;"), "))</f>
        <v/>
      </c>
      <c r="B440" s="1593"/>
      <c r="C440" s="1593"/>
      <c r="D440" s="1593"/>
      <c r="E440" s="1594"/>
      <c r="F440" s="1593"/>
      <c r="G440" s="1593"/>
      <c r="H440" s="1593"/>
      <c r="I440" s="1594"/>
    </row>
    <row r="441" spans="1:9" ht="15.75" hidden="1" customHeight="1" x14ac:dyDescent="0.5">
      <c r="A441" s="1592" t="str">
        <f ca="1">IF(OR(KALKULATION!A43="",KALKULATION!F43=0),"",KALKULATION!A43&amp;" ("&amp;(TEXT(KALKULATION!F43,"0%")&amp;"), "))</f>
        <v/>
      </c>
      <c r="B441" s="1593"/>
      <c r="C441" s="1593"/>
      <c r="D441" s="1593"/>
      <c r="E441" s="1594"/>
      <c r="F441" s="1593"/>
      <c r="G441" s="1593"/>
      <c r="H441" s="1593"/>
      <c r="I441" s="1594"/>
    </row>
    <row r="442" spans="1:9" ht="15.75" hidden="1" customHeight="1" x14ac:dyDescent="0.5">
      <c r="A442" s="1595" t="str">
        <f ca="1">IF(OR(KALKULATION!A44="",KALKULATION!F44=0),"",KALKULATION!A44&amp;" ("&amp;(TEXT(KALKULATION!F44,"0%")&amp;"), "))</f>
        <v/>
      </c>
      <c r="B442" s="1596"/>
      <c r="C442" s="1596"/>
      <c r="D442" s="1596"/>
      <c r="E442" s="1597"/>
      <c r="F442" s="1593"/>
      <c r="G442" s="1593"/>
      <c r="H442" s="1593"/>
      <c r="I442" s="1594"/>
    </row>
    <row r="443" spans="1:9" ht="15.75" hidden="1" customHeight="1" x14ac:dyDescent="0.5">
      <c r="A443" s="1592" t="str">
        <f ca="1">A434&amp;A435&amp;A436&amp;A437&amp;A438&amp;A439&amp;A440&amp;A441&amp;A442</f>
        <v xml:space="preserve">LG 2 Qualifizierter Facharbeiter (50%), LG 5 Qualifizierter Arbeitnehmer (50%), </v>
      </c>
      <c r="B443" s="1593"/>
      <c r="C443" s="1593"/>
      <c r="D443" s="1593"/>
      <c r="E443" s="1593"/>
      <c r="F443" s="1593"/>
      <c r="G443" s="1593"/>
      <c r="H443" s="1593"/>
      <c r="I443" s="1594"/>
    </row>
    <row r="444" spans="1:9" ht="15.75" hidden="1" customHeight="1" x14ac:dyDescent="0.5">
      <c r="A444" s="1592">
        <f ca="1">LEN(A443)</f>
        <v>80</v>
      </c>
      <c r="B444" s="1593"/>
      <c r="C444" s="1593"/>
      <c r="D444" s="1593"/>
      <c r="E444" s="1593"/>
      <c r="F444" s="1593"/>
      <c r="G444" s="1593"/>
      <c r="H444" s="1593"/>
      <c r="I444" s="1594"/>
    </row>
    <row r="445" spans="1:9" ht="15.75" hidden="1" customHeight="1" x14ac:dyDescent="0.5">
      <c r="A445" s="1598" t="str">
        <f ca="1">IF(A444&gt;0,MID(A443,1,A444-2),"")</f>
        <v>LG 2 Qualifizierter Facharbeiter (50%), LG 5 Qualifizierter Arbeitnehmer (50%)</v>
      </c>
      <c r="B445" s="1596"/>
      <c r="C445" s="1596"/>
      <c r="D445" s="1596"/>
      <c r="E445" s="1596"/>
      <c r="F445" s="1596"/>
      <c r="G445" s="1596"/>
      <c r="H445" s="1596"/>
      <c r="I445" s="1597"/>
    </row>
    <row r="446" spans="1:9" ht="15.75" hidden="1" customHeight="1" x14ac:dyDescent="0.5">
      <c r="A446" s="1514"/>
      <c r="B446" s="1514"/>
      <c r="C446" s="1514"/>
      <c r="D446" s="1514"/>
      <c r="E446" s="1514"/>
      <c r="F446" s="1514"/>
      <c r="G446" s="1514"/>
      <c r="H446" s="1514"/>
      <c r="I446" s="1514"/>
    </row>
    <row r="447" spans="1:9" ht="15.75" hidden="1" customHeight="1" x14ac:dyDescent="0.5">
      <c r="A447" s="3068"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[LG 2 Qualifizierter Facharbeiter (50%), LG 5 Qualifizierter Arbeitnehmer (50%)]. </v>
      </c>
      <c r="B447" s="3069"/>
      <c r="C447" s="3069"/>
      <c r="D447" s="3069"/>
      <c r="E447" s="3069"/>
      <c r="F447" s="3069"/>
      <c r="G447" s="3069"/>
      <c r="H447" s="3069"/>
      <c r="I447" s="3070"/>
    </row>
    <row r="448" spans="1:9" ht="15.75" hidden="1" customHeight="1" x14ac:dyDescent="0.5">
      <c r="A448" s="3066"/>
      <c r="B448" s="3053"/>
      <c r="C448" s="3053"/>
      <c r="D448" s="3053"/>
      <c r="E448" s="3053"/>
      <c r="F448" s="3053"/>
      <c r="G448" s="3053"/>
      <c r="H448" s="3053"/>
      <c r="I448" s="3067"/>
    </row>
    <row r="449" spans="1:9" ht="15.75" hidden="1" customHeight="1" x14ac:dyDescent="0.5">
      <c r="A449" s="3066"/>
      <c r="B449" s="3053"/>
      <c r="C449" s="3053"/>
      <c r="D449" s="3053"/>
      <c r="E449" s="3053"/>
      <c r="F449" s="3053"/>
      <c r="G449" s="3053"/>
      <c r="H449" s="3053"/>
      <c r="I449" s="3067"/>
    </row>
    <row r="450" spans="1:9" ht="15.75" hidden="1" customHeight="1" x14ac:dyDescent="0.5">
      <c r="A450" s="3066"/>
      <c r="B450" s="3053"/>
      <c r="C450" s="3053"/>
      <c r="D450" s="3053"/>
      <c r="E450" s="3053"/>
      <c r="F450" s="3053"/>
      <c r="G450" s="3053"/>
      <c r="H450" s="3053"/>
      <c r="I450" s="3067"/>
    </row>
    <row r="451" spans="1:9" ht="15.75" hidden="1" customHeight="1" x14ac:dyDescent="0.5">
      <c r="A451" s="3066"/>
      <c r="B451" s="3053"/>
      <c r="C451" s="3053"/>
      <c r="D451" s="3053"/>
      <c r="E451" s="3053"/>
      <c r="F451" s="3053"/>
      <c r="G451" s="3053"/>
      <c r="H451" s="3053"/>
      <c r="I451" s="3067"/>
    </row>
    <row r="452" spans="1:9" ht="15.75" hidden="1" customHeight="1" x14ac:dyDescent="0.5">
      <c r="A452" s="3071"/>
      <c r="B452" s="3072"/>
      <c r="C452" s="3072"/>
      <c r="D452" s="3072"/>
      <c r="E452" s="3072"/>
      <c r="F452" s="3072"/>
      <c r="G452" s="3072"/>
      <c r="H452" s="3072"/>
      <c r="I452" s="3073"/>
    </row>
    <row r="453" spans="1:9" ht="15.75" hidden="1" customHeight="1" x14ac:dyDescent="0.5">
      <c r="A453" s="1599" t="s">
        <v>370</v>
      </c>
      <c r="B453" s="1600">
        <f ca="1">MAX(KALKULATION!D36:D44)</f>
        <v>19.91</v>
      </c>
      <c r="C453" s="1601" t="s">
        <v>291</v>
      </c>
      <c r="D453" s="1602">
        <f t="array" aca="1" ref="D453" ca="1">MIN(IF(KALKULATION!D36:D44&gt;0,KALKULATION!D36:D44))</f>
        <v>15.39</v>
      </c>
      <c r="E453" s="1603" t="s">
        <v>72</v>
      </c>
      <c r="F453" s="1602">
        <f ca="1">KALKULATION!G45</f>
        <v>17.649999999999999</v>
      </c>
      <c r="G453" s="1601" t="s">
        <v>73</v>
      </c>
      <c r="H453" s="1602">
        <f ca="1">KALKULATION!H45</f>
        <v>2.65</v>
      </c>
      <c r="I453" s="1604">
        <f ca="1">H453/F453</f>
        <v>0.15010000000000001</v>
      </c>
    </row>
    <row r="454" spans="1:9" ht="15.75" hidden="1" customHeight="1" x14ac:dyDescent="0.5">
      <c r="A454" s="3068"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19,91€/Std, das niedrigste 15,39€/Std. Im gewichteten Mittel beträgt das KV-Entgelt 17,65€. Darauf ist eine durchschnittliche Überzahlung (AKV-Entgelt) in Hv 2,65€ bzw 15,0% aufgeschlagen. </v>
      </c>
      <c r="B454" s="3069"/>
      <c r="C454" s="3069"/>
      <c r="D454" s="3069"/>
      <c r="E454" s="3069"/>
      <c r="F454" s="3069"/>
      <c r="G454" s="3069"/>
      <c r="H454" s="3069"/>
      <c r="I454" s="3070"/>
    </row>
    <row r="455" spans="1:9" ht="15.75" hidden="1" customHeight="1" x14ac:dyDescent="0.5">
      <c r="A455" s="3066"/>
      <c r="B455" s="3053"/>
      <c r="C455" s="3053"/>
      <c r="D455" s="3053"/>
      <c r="E455" s="3053"/>
      <c r="F455" s="3053"/>
      <c r="G455" s="3053"/>
      <c r="H455" s="3053"/>
      <c r="I455" s="3067"/>
    </row>
    <row r="456" spans="1:9" ht="15.75" hidden="1" customHeight="1" x14ac:dyDescent="0.5">
      <c r="A456" s="3066"/>
      <c r="B456" s="3053"/>
      <c r="C456" s="3053"/>
      <c r="D456" s="3053"/>
      <c r="E456" s="3053"/>
      <c r="F456" s="3053"/>
      <c r="G456" s="3053"/>
      <c r="H456" s="3053"/>
      <c r="I456" s="3067"/>
    </row>
    <row r="457" spans="1:9" ht="15.75" hidden="1" customHeight="1" x14ac:dyDescent="0.5">
      <c r="A457" s="3066"/>
      <c r="B457" s="3053"/>
      <c r="C457" s="3053"/>
      <c r="D457" s="3053"/>
      <c r="E457" s="3053"/>
      <c r="F457" s="3053"/>
      <c r="G457" s="3053"/>
      <c r="H457" s="3053"/>
      <c r="I457" s="3067"/>
    </row>
    <row r="458" spans="1:9" ht="15.75" hidden="1" customHeight="1" x14ac:dyDescent="0.5">
      <c r="A458" s="3071"/>
      <c r="B458" s="3072"/>
      <c r="C458" s="3072"/>
      <c r="D458" s="3072"/>
      <c r="E458" s="3072"/>
      <c r="F458" s="3072"/>
      <c r="G458" s="3072"/>
      <c r="H458" s="3072"/>
      <c r="I458" s="3073"/>
    </row>
    <row r="459" spans="1:9" ht="15.75" hidden="1" customHeight="1" x14ac:dyDescent="0.5">
      <c r="A459" s="1605"/>
      <c r="B459" s="1606"/>
      <c r="C459" s="1606"/>
      <c r="D459" s="1606"/>
      <c r="E459" s="1606"/>
      <c r="F459" s="1606"/>
      <c r="G459" s="1606"/>
      <c r="H459" s="1606"/>
      <c r="I459" s="1607"/>
    </row>
    <row r="460" spans="1:9" ht="15.75" hidden="1" customHeight="1" x14ac:dyDescent="0.5">
      <c r="A460" s="1608"/>
      <c r="B460" s="1609"/>
      <c r="C460" s="1609"/>
      <c r="D460" s="1609"/>
      <c r="E460" s="1609"/>
      <c r="F460" s="1609"/>
      <c r="G460" s="1609"/>
      <c r="H460" s="1609"/>
      <c r="I460" s="1610"/>
    </row>
    <row r="461" spans="1:9" ht="15.75" hidden="1" customHeight="1" x14ac:dyDescent="0.5">
      <c r="A461" s="3069"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15,0% (B3). </v>
      </c>
      <c r="B461" s="3069"/>
      <c r="C461" s="3069"/>
      <c r="D461" s="3069"/>
      <c r="E461" s="3069"/>
      <c r="F461" s="3069"/>
      <c r="G461" s="3069"/>
      <c r="H461" s="3069"/>
      <c r="I461" s="3069"/>
    </row>
    <row r="462" spans="1:9" ht="15.75" hidden="1" customHeight="1" x14ac:dyDescent="0.5">
      <c r="A462" s="3053"/>
      <c r="B462" s="3053"/>
      <c r="C462" s="3053"/>
      <c r="D462" s="3053"/>
      <c r="E462" s="3053"/>
      <c r="F462" s="3053"/>
      <c r="G462" s="3053"/>
      <c r="H462" s="3053"/>
      <c r="I462" s="3053"/>
    </row>
    <row r="463" spans="1:9" ht="15.75" hidden="1" customHeight="1" x14ac:dyDescent="0.5">
      <c r="A463" s="3053"/>
      <c r="B463" s="3053"/>
      <c r="C463" s="3053"/>
      <c r="D463" s="3053"/>
      <c r="E463" s="3053"/>
      <c r="F463" s="3053"/>
      <c r="G463" s="3053"/>
      <c r="H463" s="3053"/>
      <c r="I463" s="3053"/>
    </row>
    <row r="464" spans="1:9" ht="15.75" hidden="1" customHeight="1" x14ac:dyDescent="0.5">
      <c r="A464" s="3053"/>
      <c r="B464" s="3053"/>
      <c r="C464" s="3053"/>
      <c r="D464" s="3053"/>
      <c r="E464" s="3053"/>
      <c r="F464" s="3053"/>
      <c r="G464" s="3053"/>
      <c r="H464" s="3053"/>
      <c r="I464" s="3053"/>
    </row>
    <row r="465" spans="1:9" ht="15.75" hidden="1" customHeight="1" x14ac:dyDescent="0.5">
      <c r="A465" s="1606"/>
      <c r="B465" s="1606"/>
      <c r="C465" s="1606"/>
      <c r="D465" s="1606"/>
      <c r="E465" s="1606"/>
      <c r="F465" s="1606"/>
      <c r="G465" s="1606"/>
      <c r="H465" s="1606"/>
      <c r="I465" s="1606"/>
    </row>
    <row r="466" spans="1:9" ht="15.75" hidden="1" customHeight="1" x14ac:dyDescent="0.5">
      <c r="A466" s="3068" t="str">
        <f>IFERROR(IF(KALKULATION!H71&lt;&gt;0,"Dieses Rechenergebnis für AKV ist individuell um "&amp;TEXT(KALKULATION!H71,"0,00%")&amp;"-Punkt(e) angepasst (B3.b) und das AKV-Entgelt liegt daher  bei "&amp;TEXT(KALKULATION!H73,"0,0%")&amp;" bzw "&amp;TEXT(' K3 PP'!O24,"0,00€")&amp;". ",""),$K$6)</f>
        <v/>
      </c>
      <c r="B466" s="3069"/>
      <c r="C466" s="3069"/>
      <c r="D466" s="3069"/>
      <c r="E466" s="3069"/>
      <c r="F466" s="3069"/>
      <c r="G466" s="3069"/>
      <c r="H466" s="3069"/>
      <c r="I466" s="3070"/>
    </row>
    <row r="467" spans="1:9" ht="15.75" hidden="1" customHeight="1" x14ac:dyDescent="0.5">
      <c r="A467" s="3071"/>
      <c r="B467" s="3072"/>
      <c r="C467" s="3072"/>
      <c r="D467" s="3072"/>
      <c r="E467" s="3072"/>
      <c r="F467" s="3072"/>
      <c r="G467" s="3072"/>
      <c r="H467" s="3072"/>
      <c r="I467" s="3073"/>
    </row>
    <row r="468" spans="1:9" ht="15.75" hidden="1" customHeight="1" x14ac:dyDescent="0.5">
      <c r="A468" s="1611"/>
      <c r="B468" s="1612"/>
      <c r="C468" s="1612"/>
      <c r="D468" s="1612"/>
      <c r="E468" s="1612"/>
      <c r="F468" s="1612"/>
      <c r="G468" s="1612"/>
      <c r="H468" s="1612"/>
      <c r="I468" s="1612"/>
    </row>
    <row r="469" spans="1:9" ht="15.75" hidden="1" customHeight="1" x14ac:dyDescent="0.5">
      <c r="A469" s="1576" t="s">
        <v>323</v>
      </c>
      <c r="B469" s="1613"/>
      <c r="C469" s="1613"/>
      <c r="D469" s="1613"/>
      <c r="E469" s="1613"/>
      <c r="F469" s="1613"/>
      <c r="G469" s="1613"/>
      <c r="H469" s="1613"/>
      <c r="I469" s="1614"/>
    </row>
    <row r="470" spans="1:9" ht="15.75" hidden="1" customHeight="1" x14ac:dyDescent="0.5">
      <c r="A470" s="3068"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69"/>
      <c r="C470" s="3069"/>
      <c r="D470" s="3069"/>
      <c r="E470" s="3069"/>
      <c r="F470" s="3069"/>
      <c r="G470" s="3069"/>
      <c r="H470" s="3069"/>
      <c r="I470" s="3070"/>
    </row>
    <row r="471" spans="1:9" ht="15.75" hidden="1" customHeight="1" x14ac:dyDescent="0.5">
      <c r="A471" s="3066"/>
      <c r="B471" s="3053"/>
      <c r="C471" s="3053"/>
      <c r="D471" s="3053"/>
      <c r="E471" s="3053"/>
      <c r="F471" s="3053"/>
      <c r="G471" s="3053"/>
      <c r="H471" s="3053"/>
      <c r="I471" s="3067"/>
    </row>
    <row r="472" spans="1:9" ht="15.75" hidden="1" customHeight="1" x14ac:dyDescent="0.5">
      <c r="A472" s="3066"/>
      <c r="B472" s="3053"/>
      <c r="C472" s="3053"/>
      <c r="D472" s="3053"/>
      <c r="E472" s="3053"/>
      <c r="F472" s="3053"/>
      <c r="G472" s="3053"/>
      <c r="H472" s="3053"/>
      <c r="I472" s="3067"/>
    </row>
    <row r="473" spans="1:9" ht="15.75" hidden="1" customHeight="1" x14ac:dyDescent="0.5">
      <c r="A473" s="3066"/>
      <c r="B473" s="3053"/>
      <c r="C473" s="3053"/>
      <c r="D473" s="3053"/>
      <c r="E473" s="3053"/>
      <c r="F473" s="3053"/>
      <c r="G473" s="3053"/>
      <c r="H473" s="3053"/>
      <c r="I473" s="3067"/>
    </row>
    <row r="474" spans="1:9" ht="15.75" hidden="1" customHeight="1" x14ac:dyDescent="0.5">
      <c r="A474" s="3066"/>
      <c r="B474" s="3053"/>
      <c r="C474" s="3053"/>
      <c r="D474" s="3053"/>
      <c r="E474" s="3053"/>
      <c r="F474" s="3053"/>
      <c r="G474" s="3053"/>
      <c r="H474" s="3053"/>
      <c r="I474" s="3067"/>
    </row>
    <row r="475" spans="1:9" ht="15.75" hidden="1" customHeight="1" x14ac:dyDescent="0.5">
      <c r="A475" s="3071"/>
      <c r="B475" s="3072"/>
      <c r="C475" s="3072"/>
      <c r="D475" s="3072"/>
      <c r="E475" s="3072"/>
      <c r="F475" s="3072"/>
      <c r="G475" s="3072"/>
      <c r="H475" s="3072"/>
      <c r="I475" s="3073"/>
    </row>
    <row r="476" spans="1:9" ht="15.75" hidden="1" customHeight="1" x14ac:dyDescent="0.5">
      <c r="A476" s="1568"/>
      <c r="B476" s="1569"/>
      <c r="C476" s="1569"/>
      <c r="D476" s="1569"/>
      <c r="E476" s="1569"/>
      <c r="F476" s="1569"/>
      <c r="G476" s="1569"/>
      <c r="H476" s="1569"/>
      <c r="I476" s="1615"/>
    </row>
    <row r="477" spans="1:9" ht="15.75" hidden="1" customHeight="1" x14ac:dyDescent="0.5">
      <c r="A477" s="3060" t="str">
        <f>IFERROR(KALKULATION!J50,$K$6)</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B477" s="3061"/>
      <c r="C477" s="3061"/>
      <c r="D477" s="3061"/>
      <c r="E477" s="3061"/>
      <c r="F477" s="3061"/>
      <c r="G477" s="3061"/>
      <c r="H477" s="3061"/>
      <c r="I477" s="3062"/>
    </row>
    <row r="478" spans="1:9" ht="15.75" hidden="1" customHeight="1" x14ac:dyDescent="0.5">
      <c r="A478" s="3060"/>
      <c r="B478" s="3061"/>
      <c r="C478" s="3061"/>
      <c r="D478" s="3061"/>
      <c r="E478" s="3061"/>
      <c r="F478" s="3061"/>
      <c r="G478" s="3061"/>
      <c r="H478" s="3061"/>
      <c r="I478" s="3062"/>
    </row>
    <row r="479" spans="1:9" ht="15.75" hidden="1" customHeight="1" x14ac:dyDescent="0.5">
      <c r="A479" s="3060"/>
      <c r="B479" s="3061"/>
      <c r="C479" s="3061"/>
      <c r="D479" s="3061"/>
      <c r="E479" s="3061"/>
      <c r="F479" s="3061"/>
      <c r="G479" s="3061"/>
      <c r="H479" s="3061"/>
      <c r="I479" s="3062"/>
    </row>
    <row r="480" spans="1:9" ht="15.75" hidden="1" customHeight="1" x14ac:dyDescent="0.5">
      <c r="A480" s="1616"/>
      <c r="B480" s="1617"/>
      <c r="C480" s="1617"/>
      <c r="D480" s="1617"/>
      <c r="E480" s="1617"/>
      <c r="F480" s="1617"/>
      <c r="G480" s="1617"/>
      <c r="H480" s="1617"/>
      <c r="I480" s="1618"/>
    </row>
    <row r="481" spans="1:9" ht="15.75" hidden="1" customHeight="1" x14ac:dyDescent="0.5">
      <c r="A481" s="1616"/>
      <c r="B481" s="1617"/>
      <c r="C481" s="1617"/>
      <c r="D481" s="1617"/>
      <c r="E481" s="1617"/>
      <c r="F481" s="1617"/>
      <c r="G481" s="1617"/>
      <c r="H481" s="1617"/>
      <c r="I481" s="1618"/>
    </row>
    <row r="482" spans="1:9" ht="15.75" hidden="1" customHeight="1" x14ac:dyDescent="0.5">
      <c r="A482" s="1616"/>
      <c r="B482" s="1617"/>
      <c r="C482" s="1617"/>
      <c r="D482" s="1617"/>
      <c r="E482" s="1617"/>
      <c r="F482" s="1617"/>
      <c r="G482" s="1617"/>
      <c r="H482" s="1617"/>
      <c r="I482" s="1618"/>
    </row>
    <row r="483" spans="1:9" ht="15.75" hidden="1" customHeight="1" x14ac:dyDescent="0.5">
      <c r="A483" s="1567"/>
      <c r="B483" s="1514"/>
      <c r="C483" s="1514"/>
      <c r="D483" s="1514"/>
      <c r="E483" s="1514"/>
      <c r="F483" s="1514"/>
      <c r="G483" s="1514"/>
      <c r="H483" s="1514"/>
      <c r="I483" s="1619"/>
    </row>
    <row r="484" spans="1:9" ht="15.75" hidden="1" customHeight="1" x14ac:dyDescent="0.5">
      <c r="A484" s="1589" t="str">
        <f ca="1">IF(KALKULATION!E55&lt;&gt;0,IF(COUNTA(KALKULATION!A53:C54)=2,KALKULATION!A53&amp;", "&amp;KALKULATION!A54,KALKULATION!A53&amp;KALKULATION!A54),"")</f>
        <v>LG 2 Qualifizierter Facharbeiter</v>
      </c>
      <c r="B484" s="1590"/>
      <c r="C484" s="1590"/>
      <c r="D484" s="1591"/>
      <c r="E484" s="1590"/>
      <c r="F484" s="1590"/>
      <c r="G484" s="1590"/>
      <c r="H484" s="1590"/>
      <c r="I484" s="1591"/>
    </row>
    <row r="485" spans="1:9" ht="15.75" hidden="1" customHeight="1" x14ac:dyDescent="0.5">
      <c r="A485" s="1598" t="s">
        <v>451</v>
      </c>
      <c r="B485" s="1596"/>
      <c r="C485" s="1620">
        <f ca="1">KALKULATION!H57/KALKULATION!G57</f>
        <v>2.5600000000000001E-2</v>
      </c>
      <c r="D485" s="1596"/>
      <c r="E485" s="1596"/>
      <c r="F485" s="1596"/>
      <c r="G485" s="1596"/>
      <c r="H485" s="1596"/>
      <c r="I485" s="1597"/>
    </row>
    <row r="486" spans="1:9" ht="15.75" hidden="1" customHeight="1" x14ac:dyDescent="0.5">
      <c r="A486" s="3068"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0,10 Person(en) / Köpfe und setzt sich wie folgt zusammen: [LG 2 Qualifizierter Facharbeiter]. Die 'produktiv' tätige Personenanzahl, jenes Personal das die verkaufbare Leistung erbringt, beträgt 3,90 (Köpfe). Der Umlageprozentsatz nach 'Köpfen' beträgt 2,56% (die wertmäßige Umlage kann davon abweichen). </v>
      </c>
      <c r="B486" s="3069"/>
      <c r="C486" s="3069"/>
      <c r="D486" s="3069"/>
      <c r="E486" s="3069"/>
      <c r="F486" s="3069"/>
      <c r="G486" s="3069"/>
      <c r="H486" s="3069"/>
      <c r="I486" s="3070"/>
    </row>
    <row r="487" spans="1:9" ht="15.75" hidden="1" customHeight="1" x14ac:dyDescent="0.5">
      <c r="A487" s="3066"/>
      <c r="B487" s="3053"/>
      <c r="C487" s="3053"/>
      <c r="D487" s="3053"/>
      <c r="E487" s="3053"/>
      <c r="F487" s="3053"/>
      <c r="G487" s="3053"/>
      <c r="H487" s="3053"/>
      <c r="I487" s="3067"/>
    </row>
    <row r="488" spans="1:9" ht="15.75" hidden="1" customHeight="1" x14ac:dyDescent="0.5">
      <c r="A488" s="3066"/>
      <c r="B488" s="3053"/>
      <c r="C488" s="3053"/>
      <c r="D488" s="3053"/>
      <c r="E488" s="3053"/>
      <c r="F488" s="3053"/>
      <c r="G488" s="3053"/>
      <c r="H488" s="3053"/>
      <c r="I488" s="3067"/>
    </row>
    <row r="489" spans="1:9" ht="15.75" hidden="1" customHeight="1" x14ac:dyDescent="0.5">
      <c r="A489" s="3066"/>
      <c r="B489" s="3053"/>
      <c r="C489" s="3053"/>
      <c r="D489" s="3053"/>
      <c r="E489" s="3053"/>
      <c r="F489" s="3053"/>
      <c r="G489" s="3053"/>
      <c r="H489" s="3053"/>
      <c r="I489" s="3067"/>
    </row>
    <row r="490" spans="1:9" ht="15.75" hidden="1" customHeight="1" x14ac:dyDescent="0.5">
      <c r="A490" s="3071"/>
      <c r="B490" s="3072"/>
      <c r="C490" s="3072"/>
      <c r="D490" s="3072"/>
      <c r="E490" s="3072"/>
      <c r="F490" s="3072"/>
      <c r="G490" s="3072"/>
      <c r="H490" s="3072"/>
      <c r="I490" s="3073"/>
    </row>
    <row r="491" spans="1:9" ht="15.75" hidden="1" customHeight="1" x14ac:dyDescent="0.5">
      <c r="A491" s="1567"/>
      <c r="B491" s="1514"/>
      <c r="C491" s="1514"/>
      <c r="D491" s="1514"/>
      <c r="E491" s="1514"/>
      <c r="F491" s="1514"/>
      <c r="G491" s="1514"/>
      <c r="H491" s="1514"/>
      <c r="I491" s="1514"/>
    </row>
    <row r="492" spans="1:9" ht="15.75" hidden="1" customHeight="1" x14ac:dyDescent="0.5">
      <c r="A492" s="3215" t="str">
        <f ca="1">IF(OR(C485&gt;F7,C485&lt;G7),"
Hinweis zur Höhe der Umlage: "&amp;$K$4,"")</f>
        <v/>
      </c>
      <c r="B492" s="3214"/>
      <c r="C492" s="3214"/>
      <c r="D492" s="3214"/>
      <c r="E492" s="3214"/>
      <c r="F492" s="3214"/>
      <c r="G492" s="3214"/>
      <c r="H492" s="3214"/>
      <c r="I492" s="3214"/>
    </row>
    <row r="493" spans="1:9" ht="15.75" hidden="1" customHeight="1" x14ac:dyDescent="0.5">
      <c r="A493" s="3215"/>
      <c r="B493" s="3214"/>
      <c r="C493" s="3214"/>
      <c r="D493" s="3214"/>
      <c r="E493" s="3214"/>
      <c r="F493" s="3214"/>
      <c r="G493" s="3214"/>
      <c r="H493" s="3214"/>
      <c r="I493" s="3214"/>
    </row>
    <row r="494" spans="1:9" ht="15.75" hidden="1" customHeight="1" x14ac:dyDescent="0.5">
      <c r="A494" s="1567"/>
      <c r="B494" s="1514"/>
      <c r="C494" s="1514"/>
      <c r="D494" s="1514"/>
      <c r="E494" s="1514"/>
      <c r="F494" s="1514"/>
      <c r="G494" s="1514"/>
      <c r="H494" s="1514"/>
      <c r="I494" s="1514"/>
    </row>
    <row r="495" spans="1:9" ht="15.75" hidden="1" customHeight="1" x14ac:dyDescent="0.5">
      <c r="A495" s="1567"/>
      <c r="B495" s="1514"/>
      <c r="C495" s="1514"/>
      <c r="D495" s="1514"/>
      <c r="E495" s="1514"/>
      <c r="F495" s="1514"/>
      <c r="G495" s="1514"/>
      <c r="H495" s="1514"/>
      <c r="I495" s="1514"/>
    </row>
    <row r="496" spans="1:9" ht="15.75" hidden="1" customHeight="1" x14ac:dyDescent="0.5">
      <c r="A496" s="1567"/>
      <c r="B496" s="1514"/>
      <c r="C496" s="1514"/>
      <c r="D496" s="1514"/>
      <c r="E496" s="1514"/>
      <c r="F496" s="1514"/>
      <c r="G496" s="1514"/>
      <c r="H496" s="1514"/>
      <c r="I496" s="1514"/>
    </row>
    <row r="497" spans="1:9" ht="15.75" hidden="1" customHeight="1" x14ac:dyDescent="0.5">
      <c r="A497" s="1611"/>
      <c r="B497" s="1612"/>
      <c r="C497" s="1612"/>
      <c r="D497" s="1612"/>
      <c r="E497" s="1612"/>
      <c r="F497" s="1612"/>
      <c r="G497" s="1612"/>
      <c r="H497" s="1612"/>
      <c r="I497" s="1612"/>
    </row>
    <row r="498" spans="1:9" ht="15.75" hidden="1" customHeight="1" x14ac:dyDescent="0.5">
      <c r="A498" s="1621" t="str">
        <f>IF(KALKULATION!A61="","--- ohne Angaben ---",KALKULATION!A61)</f>
        <v>--- ohne Angaben ---</v>
      </c>
      <c r="B498" s="1622"/>
      <c r="C498" s="1622"/>
      <c r="D498" s="1622"/>
      <c r="E498" s="1622"/>
      <c r="F498" s="1622"/>
      <c r="G498" s="1622" t="s">
        <v>452</v>
      </c>
      <c r="H498" s="1622"/>
      <c r="I498" s="1623">
        <f>KALKULATION!G61</f>
        <v>0</v>
      </c>
    </row>
    <row r="499" spans="1:9" ht="15.75" hidden="1" customHeight="1" x14ac:dyDescent="0.5">
      <c r="A499" s="3068"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69"/>
      <c r="C499" s="3069"/>
      <c r="D499" s="3069"/>
      <c r="E499" s="3069"/>
      <c r="F499" s="3069"/>
      <c r="G499" s="3069"/>
      <c r="H499" s="3069"/>
      <c r="I499" s="3070"/>
    </row>
    <row r="500" spans="1:9" ht="15.75" hidden="1" customHeight="1" x14ac:dyDescent="0.5">
      <c r="A500" s="3066"/>
      <c r="B500" s="3053"/>
      <c r="C500" s="3053"/>
      <c r="D500" s="3053"/>
      <c r="E500" s="3053"/>
      <c r="F500" s="3053"/>
      <c r="G500" s="3053"/>
      <c r="H500" s="3053"/>
      <c r="I500" s="3067"/>
    </row>
    <row r="501" spans="1:9" ht="15.75" hidden="1" customHeight="1" x14ac:dyDescent="0.5">
      <c r="A501" s="3066"/>
      <c r="B501" s="3053"/>
      <c r="C501" s="3053"/>
      <c r="D501" s="3053"/>
      <c r="E501" s="3053"/>
      <c r="F501" s="3053"/>
      <c r="G501" s="3053"/>
      <c r="H501" s="3053"/>
      <c r="I501" s="3067"/>
    </row>
    <row r="502" spans="1:9" ht="15.75" hidden="1" customHeight="1" x14ac:dyDescent="0.5">
      <c r="A502" s="3066"/>
      <c r="B502" s="3053"/>
      <c r="C502" s="3053"/>
      <c r="D502" s="3053"/>
      <c r="E502" s="3053"/>
      <c r="F502" s="3053"/>
      <c r="G502" s="3053"/>
      <c r="H502" s="3053"/>
      <c r="I502" s="3067"/>
    </row>
    <row r="503" spans="1:9" ht="15.75" hidden="1" customHeight="1" x14ac:dyDescent="0.5">
      <c r="A503" s="3066"/>
      <c r="B503" s="3053"/>
      <c r="C503" s="3053"/>
      <c r="D503" s="3053"/>
      <c r="E503" s="3053"/>
      <c r="F503" s="3053"/>
      <c r="G503" s="3053"/>
      <c r="H503" s="3053"/>
      <c r="I503" s="3067"/>
    </row>
    <row r="504" spans="1:9" ht="15.75" hidden="1" customHeight="1" x14ac:dyDescent="0.5">
      <c r="A504" s="3071"/>
      <c r="B504" s="3072"/>
      <c r="C504" s="3072"/>
      <c r="D504" s="3072"/>
      <c r="E504" s="3072"/>
      <c r="F504" s="3072"/>
      <c r="G504" s="3072"/>
      <c r="H504" s="3072"/>
      <c r="I504" s="3073"/>
    </row>
    <row r="505" spans="1:9" ht="15.75" hidden="1" customHeight="1" x14ac:dyDescent="0.5">
      <c r="A505" s="1568"/>
      <c r="B505" s="1569"/>
      <c r="C505" s="1569"/>
      <c r="D505" s="1569"/>
      <c r="E505" s="1569"/>
      <c r="F505" s="1569"/>
      <c r="G505" s="1569"/>
      <c r="H505" s="1569"/>
      <c r="I505" s="1569"/>
    </row>
    <row r="506" spans="1:9" ht="15.75" hidden="1" customHeight="1" x14ac:dyDescent="0.5">
      <c r="A506" s="3215" t="str">
        <f>IF(OR(I498&gt;F8,I498&lt;G8),"Hinweis zur Höhe: "&amp;$K$4,"")</f>
        <v/>
      </c>
      <c r="B506" s="3214"/>
      <c r="C506" s="3214"/>
      <c r="D506" s="3214"/>
      <c r="E506" s="3214"/>
      <c r="F506" s="3214"/>
      <c r="G506" s="3214"/>
      <c r="H506" s="3214"/>
      <c r="I506" s="3214"/>
    </row>
    <row r="507" spans="1:9" ht="15.75" hidden="1" customHeight="1" x14ac:dyDescent="0.5">
      <c r="A507" s="3215"/>
      <c r="B507" s="3214"/>
      <c r="C507" s="3214"/>
      <c r="D507" s="3214"/>
      <c r="E507" s="3214"/>
      <c r="F507" s="3214"/>
      <c r="G507" s="3214"/>
      <c r="H507" s="3214"/>
      <c r="I507" s="3214"/>
    </row>
    <row r="508" spans="1:9" ht="15.75" hidden="1" customHeight="1" x14ac:dyDescent="0.5">
      <c r="A508" s="1573"/>
      <c r="B508" s="1574"/>
      <c r="C508" s="1574"/>
      <c r="D508" s="1574"/>
      <c r="E508" s="1574"/>
      <c r="F508" s="1574"/>
      <c r="G508" s="1574"/>
      <c r="H508" s="1574"/>
      <c r="I508" s="1574"/>
    </row>
    <row r="509" spans="1:9" ht="15.75" hidden="1" customHeight="1" x14ac:dyDescent="0.5">
      <c r="A509" s="3068"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2,56% bzw kalkulatorisch einen monetären Aufschlag in Höhe von 2,89%. </v>
      </c>
      <c r="B509" s="3069"/>
      <c r="C509" s="3069"/>
      <c r="D509" s="3069"/>
      <c r="E509" s="3069"/>
      <c r="F509" s="3069"/>
      <c r="G509" s="3069"/>
      <c r="H509" s="3069"/>
      <c r="I509" s="3070"/>
    </row>
    <row r="510" spans="1:9" ht="15.75" hidden="1" customHeight="1" x14ac:dyDescent="0.5">
      <c r="A510" s="3066"/>
      <c r="B510" s="3053"/>
      <c r="C510" s="3053"/>
      <c r="D510" s="3053"/>
      <c r="E510" s="3053"/>
      <c r="F510" s="3053"/>
      <c r="G510" s="3053"/>
      <c r="H510" s="3053"/>
      <c r="I510" s="3067"/>
    </row>
    <row r="511" spans="1:9" ht="15.75" hidden="1" customHeight="1" x14ac:dyDescent="0.5">
      <c r="A511" s="3066"/>
      <c r="B511" s="3053"/>
      <c r="C511" s="3053"/>
      <c r="D511" s="3053"/>
      <c r="E511" s="3053"/>
      <c r="F511" s="3053"/>
      <c r="G511" s="3053"/>
      <c r="H511" s="3053"/>
      <c r="I511" s="3067"/>
    </row>
    <row r="512" spans="1:9" ht="15.75" hidden="1" customHeight="1" x14ac:dyDescent="0.5">
      <c r="A512" s="3066"/>
      <c r="B512" s="3053"/>
      <c r="C512" s="3053"/>
      <c r="D512" s="3053"/>
      <c r="E512" s="3053"/>
      <c r="F512" s="3053"/>
      <c r="G512" s="3053"/>
      <c r="H512" s="3053"/>
      <c r="I512" s="3067"/>
    </row>
    <row r="513" spans="1:9" ht="15.75" hidden="1" customHeight="1" x14ac:dyDescent="0.5">
      <c r="A513" s="3071"/>
      <c r="B513" s="3072"/>
      <c r="C513" s="3072"/>
      <c r="D513" s="3072"/>
      <c r="E513" s="3072"/>
      <c r="F513" s="3072"/>
      <c r="G513" s="3072"/>
      <c r="H513" s="3072"/>
      <c r="I513" s="3073"/>
    </row>
    <row r="514" spans="1:9" ht="15.75" hidden="1" customHeight="1" x14ac:dyDescent="0.5">
      <c r="A514" s="1574"/>
      <c r="B514" s="1574"/>
      <c r="C514" s="1574"/>
      <c r="D514" s="1574"/>
      <c r="E514" s="1574"/>
      <c r="F514" s="1574"/>
      <c r="G514" s="1574"/>
      <c r="H514" s="1574"/>
      <c r="I514" s="1574"/>
    </row>
    <row r="515" spans="1:9" ht="15.75" hidden="1" customHeight="1" x14ac:dyDescent="0.5">
      <c r="A515" s="3068" t="str">
        <f>IFERROR(IF(KALKULATION!G71&lt;&gt;0,"
Das Rechenergebnis für die gesamten unproduktiven Zeiten ist individuell um "&amp;TEXT(KALKULATION!G71*100,"0,00")&amp;"%-Punkte angepasst (B3.b); insgesamt beträgt der Zuschlag daher "&amp;TEXT(KALKULATION!G72,"0,00%")&amp;". ",""),$K$6)</f>
        <v/>
      </c>
      <c r="B515" s="3069"/>
      <c r="C515" s="3069"/>
      <c r="D515" s="3069"/>
      <c r="E515" s="3069"/>
      <c r="F515" s="3069"/>
      <c r="G515" s="3069"/>
      <c r="H515" s="3069"/>
      <c r="I515" s="3070"/>
    </row>
    <row r="516" spans="1:9" ht="15.75" hidden="1" customHeight="1" x14ac:dyDescent="0.5">
      <c r="A516" s="3066"/>
      <c r="B516" s="3053"/>
      <c r="C516" s="3053"/>
      <c r="D516" s="3053"/>
      <c r="E516" s="3053"/>
      <c r="F516" s="3053"/>
      <c r="G516" s="3053"/>
      <c r="H516" s="3053"/>
      <c r="I516" s="3067"/>
    </row>
    <row r="517" spans="1:9" ht="15.75" hidden="1" customHeight="1" x14ac:dyDescent="0.5">
      <c r="A517" s="3071"/>
      <c r="B517" s="3072"/>
      <c r="C517" s="3072"/>
      <c r="D517" s="3072"/>
      <c r="E517" s="3072"/>
      <c r="F517" s="3072"/>
      <c r="G517" s="3072"/>
      <c r="H517" s="3072"/>
      <c r="I517" s="3073"/>
    </row>
    <row r="518" spans="1:9" ht="15.75" hidden="1" customHeight="1" x14ac:dyDescent="0.5">
      <c r="A518" s="1624"/>
      <c r="B518" s="1574"/>
      <c r="C518" s="1574"/>
      <c r="D518" s="1574"/>
      <c r="E518" s="1574"/>
      <c r="F518" s="1574"/>
      <c r="G518" s="1574"/>
      <c r="H518" s="1574"/>
      <c r="I518" s="1574"/>
    </row>
    <row r="519" spans="1:9" ht="15.75" hidden="1" customHeight="1" x14ac:dyDescent="0.5">
      <c r="A519" s="3068"/>
      <c r="B519" s="3069"/>
      <c r="C519" s="3069"/>
      <c r="D519" s="3069"/>
      <c r="E519" s="3069"/>
      <c r="F519" s="3069"/>
      <c r="G519" s="3069"/>
      <c r="H519" s="3069"/>
      <c r="I519" s="3070"/>
    </row>
    <row r="520" spans="1:9" ht="15.75" hidden="1" customHeight="1" x14ac:dyDescent="0.5">
      <c r="A520" s="3066"/>
      <c r="B520" s="3053"/>
      <c r="C520" s="3053"/>
      <c r="D520" s="3053"/>
      <c r="E520" s="3053"/>
      <c r="F520" s="3053"/>
      <c r="G520" s="3053"/>
      <c r="H520" s="3053"/>
      <c r="I520" s="3067"/>
    </row>
    <row r="521" spans="1:9" ht="15.75" hidden="1" customHeight="1" x14ac:dyDescent="0.5">
      <c r="A521" s="3066"/>
      <c r="B521" s="3053"/>
      <c r="C521" s="3053"/>
      <c r="D521" s="3053"/>
      <c r="E521" s="3053"/>
      <c r="F521" s="3053"/>
      <c r="G521" s="3053"/>
      <c r="H521" s="3053"/>
      <c r="I521" s="3067"/>
    </row>
    <row r="522" spans="1:9" ht="15.75" hidden="1" customHeight="1" x14ac:dyDescent="0.5">
      <c r="A522" s="3066"/>
      <c r="B522" s="3053"/>
      <c r="C522" s="3053"/>
      <c r="D522" s="3053"/>
      <c r="E522" s="3053"/>
      <c r="F522" s="3053"/>
      <c r="G522" s="3053"/>
      <c r="H522" s="3053"/>
      <c r="I522" s="3067"/>
    </row>
    <row r="523" spans="1:9" ht="15.75" hidden="1" customHeight="1" x14ac:dyDescent="0.5">
      <c r="A523" s="3071"/>
      <c r="B523" s="3072"/>
      <c r="C523" s="3072"/>
      <c r="D523" s="3072"/>
      <c r="E523" s="3072"/>
      <c r="F523" s="3072"/>
      <c r="G523" s="3072"/>
      <c r="H523" s="3072"/>
      <c r="I523" s="3073"/>
    </row>
    <row r="524" spans="1:9" ht="15.75" hidden="1" customHeight="1" x14ac:dyDescent="0.5">
      <c r="A524" s="1625"/>
      <c r="B524" s="1574"/>
      <c r="C524" s="1574"/>
      <c r="D524" s="1574"/>
      <c r="E524" s="1574"/>
      <c r="F524" s="1574"/>
      <c r="G524" s="1574"/>
      <c r="H524" s="1574"/>
      <c r="I524" s="1574"/>
    </row>
    <row r="525" spans="1:9" hidden="1" x14ac:dyDescent="0.5">
      <c r="A525" s="1625"/>
      <c r="B525" s="1574"/>
      <c r="C525" s="1574"/>
      <c r="D525" s="1574"/>
      <c r="E525" s="1574"/>
      <c r="F525" s="1574"/>
      <c r="G525" s="1574"/>
      <c r="H525" s="1574"/>
      <c r="I525" s="1574"/>
    </row>
    <row r="526" spans="1:9" hidden="1" x14ac:dyDescent="0.5">
      <c r="A526" s="1568"/>
      <c r="B526" s="1569"/>
      <c r="C526" s="1569"/>
      <c r="D526" s="1569"/>
      <c r="E526" s="1569"/>
      <c r="F526" s="1569"/>
      <c r="G526" s="1569"/>
      <c r="H526" s="1569"/>
      <c r="I526" s="1569"/>
    </row>
    <row r="527" spans="1:9" hidden="1" x14ac:dyDescent="0.5">
      <c r="A527" s="1567"/>
      <c r="B527" s="1514"/>
      <c r="C527" s="1514"/>
      <c r="D527" s="1514"/>
      <c r="E527" s="1514"/>
      <c r="F527" s="1514"/>
      <c r="G527" s="1514"/>
      <c r="H527" s="1514"/>
      <c r="I527" s="1514"/>
    </row>
    <row r="528" spans="1:9" hidden="1" x14ac:dyDescent="0.5">
      <c r="A528" s="1626" t="s">
        <v>324</v>
      </c>
      <c r="B528" s="1329"/>
      <c r="C528" s="1329"/>
      <c r="D528" s="1329"/>
      <c r="E528" s="1329"/>
      <c r="F528" s="1329"/>
      <c r="G528" s="1329"/>
      <c r="H528" s="1329"/>
      <c r="I528" s="1329"/>
    </row>
    <row r="529" spans="1:9" hidden="1" x14ac:dyDescent="0.5">
      <c r="A529" s="3069"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38,5 Std/Wo). </v>
      </c>
      <c r="B529" s="3069"/>
      <c r="C529" s="3069"/>
      <c r="D529" s="3069"/>
      <c r="E529" s="3069"/>
      <c r="F529" s="3069"/>
      <c r="G529" s="3069"/>
      <c r="H529" s="3069"/>
      <c r="I529" s="3069"/>
    </row>
    <row r="530" spans="1:9" hidden="1" x14ac:dyDescent="0.5">
      <c r="A530" s="3053"/>
      <c r="B530" s="3053"/>
      <c r="C530" s="3053"/>
      <c r="D530" s="3053"/>
      <c r="E530" s="3053"/>
      <c r="F530" s="3053"/>
      <c r="G530" s="3053"/>
      <c r="H530" s="3053"/>
      <c r="I530" s="3053"/>
    </row>
    <row r="531" spans="1:9" hidden="1" x14ac:dyDescent="0.5"/>
    <row r="532" spans="1:9" hidden="1" x14ac:dyDescent="0.5">
      <c r="A532" s="1627" t="s">
        <v>292</v>
      </c>
      <c r="B532" s="1628"/>
      <c r="C532" s="1628"/>
      <c r="D532" s="1628"/>
      <c r="E532" s="1628"/>
      <c r="F532" s="1628"/>
      <c r="G532" s="1628"/>
      <c r="H532" s="1628"/>
      <c r="I532" s="1629"/>
    </row>
    <row r="533" spans="1:9" hidden="1" x14ac:dyDescent="0.5">
      <c r="A533" s="1630" t="s">
        <v>360</v>
      </c>
      <c r="B533" s="1631" t="s">
        <v>30</v>
      </c>
      <c r="C533" s="1631" t="s">
        <v>361</v>
      </c>
      <c r="D533" s="1631"/>
      <c r="E533" s="1631" t="s">
        <v>464</v>
      </c>
      <c r="F533" s="1631"/>
      <c r="G533" s="1631" t="s">
        <v>362</v>
      </c>
      <c r="H533" s="1631"/>
      <c r="I533" s="1632" t="s">
        <v>465</v>
      </c>
    </row>
    <row r="534" spans="1:9" hidden="1" x14ac:dyDescent="0.5">
      <c r="A534" s="1633">
        <f ca="1">' K3 PP'!P9</f>
        <v>38.5</v>
      </c>
      <c r="B534" s="1634">
        <v>0</v>
      </c>
      <c r="C534" s="1635">
        <f ca="1">C535*A535/A534</f>
        <v>3.43</v>
      </c>
      <c r="D534" s="1636">
        <f ca="1">D535-B535-C535+B534+C534</f>
        <v>24.9</v>
      </c>
      <c r="E534" s="1637">
        <f ca="1">E535-I540+G540</f>
        <v>1.1427</v>
      </c>
      <c r="F534" s="1638">
        <f ca="1">D534*(1+E534)</f>
        <v>53.35</v>
      </c>
      <c r="G534" s="1638">
        <f ca="1">G535*A535/A534</f>
        <v>1.66</v>
      </c>
      <c r="H534" s="1638">
        <f ca="1">F534+G534</f>
        <v>55.01</v>
      </c>
      <c r="I534" s="1639">
        <f ca="1">H534-H535</f>
        <v>3.82</v>
      </c>
    </row>
    <row r="535" spans="1:9" hidden="1" x14ac:dyDescent="0.5">
      <c r="A535" s="1640">
        <f ca="1">' K3 PP'!P19</f>
        <v>40</v>
      </c>
      <c r="B535" s="1641">
        <f ca="1">G542</f>
        <v>0.46</v>
      </c>
      <c r="C535" s="1642">
        <f ca="1">' K3 PP'!O27</f>
        <v>3.3</v>
      </c>
      <c r="D535" s="1641">
        <f ca="1">' K3 PP'!O28</f>
        <v>25.23</v>
      </c>
      <c r="E535" s="1643">
        <f ca="1">SUM(' K3 PP'!K30:L32)</f>
        <v>0.96550000000000002</v>
      </c>
      <c r="F535" s="1644">
        <f ca="1">D535*(1+E535)</f>
        <v>49.59</v>
      </c>
      <c r="G535" s="1641">
        <f ca="1">' K3 PP'!O29</f>
        <v>1.6</v>
      </c>
      <c r="H535" s="1644">
        <f ca="1">F535+G535</f>
        <v>51.19</v>
      </c>
      <c r="I535" s="1645"/>
    </row>
    <row r="536" spans="1:9" hidden="1" x14ac:dyDescent="0.5">
      <c r="A536" s="1646" t="s">
        <v>474</v>
      </c>
      <c r="B536" s="1647">
        <f ca="1">KALKULATION!D256</f>
        <v>0.2331</v>
      </c>
      <c r="C536" s="1647">
        <f ca="1">KALKULATION!E256</f>
        <v>0</v>
      </c>
      <c r="D536" s="1647">
        <f ca="1">KALKULATION!F256</f>
        <v>0</v>
      </c>
      <c r="E536" s="1648">
        <f ca="1">KALKULATION!G256</f>
        <v>0.60319999999999996</v>
      </c>
      <c r="F536" s="1649"/>
      <c r="G536" s="1650"/>
      <c r="H536" s="1649"/>
      <c r="I536" s="1649"/>
    </row>
    <row r="537" spans="1:9" hidden="1" x14ac:dyDescent="0.5">
      <c r="A537" s="1651"/>
      <c r="B537" s="1652">
        <f ca="1">IF(KALKULATION!G245=_Nein,1,KALKULATION!H247)</f>
        <v>1</v>
      </c>
      <c r="C537" s="1652">
        <f ca="1">B537</f>
        <v>1</v>
      </c>
      <c r="D537" s="1652">
        <f ca="1">B537</f>
        <v>1</v>
      </c>
      <c r="E537" s="1653">
        <f ca="1">B537</f>
        <v>1</v>
      </c>
      <c r="F537" s="1649"/>
      <c r="G537" s="1650"/>
      <c r="H537" s="1649"/>
      <c r="I537" s="1649"/>
    </row>
    <row r="538" spans="1:9" hidden="1" x14ac:dyDescent="0.5">
      <c r="A538" s="1651"/>
      <c r="C538" s="1652">
        <v>1</v>
      </c>
      <c r="D538" s="1652"/>
      <c r="E538" s="1653">
        <v>1</v>
      </c>
      <c r="F538" s="1654" t="s">
        <v>906</v>
      </c>
      <c r="G538" s="1655" t="s">
        <v>907</v>
      </c>
      <c r="H538" s="1649"/>
      <c r="I538" s="1649"/>
    </row>
    <row r="539" spans="1:9" hidden="1" x14ac:dyDescent="0.5">
      <c r="A539" s="1656"/>
      <c r="B539" s="1657"/>
      <c r="D539" s="1652">
        <f ca="1">I539/H539</f>
        <v>0.9869</v>
      </c>
      <c r="E539" s="1653">
        <f ca="1">D539</f>
        <v>0.9869</v>
      </c>
      <c r="F539" s="1649">
        <f ca="1">KALKULATION!H251</f>
        <v>7.06</v>
      </c>
      <c r="G539" s="1649">
        <f ca="1">F539-G542</f>
        <v>6.6</v>
      </c>
      <c r="H539" s="1649">
        <f ca="1">KALKULATION!S235</f>
        <v>25.23</v>
      </c>
      <c r="I539" s="1649">
        <f ca="1">H539-B535-C535+C534</f>
        <v>24.9</v>
      </c>
    </row>
    <row r="540" spans="1:9" hidden="1" x14ac:dyDescent="0.5">
      <c r="A540" s="1658" t="s">
        <v>475</v>
      </c>
      <c r="B540" s="1659">
        <f ca="1">B536*B537</f>
        <v>0.2331</v>
      </c>
      <c r="C540" s="1659">
        <f ca="1">C536*C537*C538</f>
        <v>0</v>
      </c>
      <c r="D540" s="1659">
        <f ca="1">D536*D537*D539</f>
        <v>0</v>
      </c>
      <c r="E540" s="1660">
        <f ca="1">E536*E537*E538*E539</f>
        <v>0.59530000000000005</v>
      </c>
      <c r="F540" s="880" t="s">
        <v>908</v>
      </c>
      <c r="G540" s="1661">
        <f ca="1">SUM(B540:E540)</f>
        <v>0.82840000000000003</v>
      </c>
      <c r="H540" s="1662" t="s">
        <v>476</v>
      </c>
      <c r="I540" s="1660">
        <f ca="1">KALKULATION!H260</f>
        <v>0.6512</v>
      </c>
    </row>
    <row r="541" spans="1:9" hidden="1" x14ac:dyDescent="0.5">
      <c r="A541" s="1663"/>
      <c r="B541" s="1657"/>
      <c r="C541" s="1657"/>
      <c r="D541" s="1657"/>
      <c r="E541" s="1657"/>
      <c r="F541" s="1649"/>
      <c r="G541" s="1650"/>
      <c r="H541" s="1649"/>
      <c r="I541" s="1649"/>
    </row>
    <row r="542" spans="1:9" ht="17.75" hidden="1" customHeight="1" x14ac:dyDescent="0.5">
      <c r="A542" s="1658">
        <f ca="1">A535-A534</f>
        <v>1.5</v>
      </c>
      <c r="B542" s="1664"/>
      <c r="C542" s="1665" t="s">
        <v>295</v>
      </c>
      <c r="D542" s="1665"/>
      <c r="E542" s="1666">
        <f ca="1">KALKULATION!H95/KALKULATION!C95</f>
        <v>2.53E-2</v>
      </c>
      <c r="F542" s="1638">
        <f ca="1">' K3 PP'!O23</f>
        <v>18.170000000000002</v>
      </c>
      <c r="G542" s="1667">
        <f ca="1">E542*F542</f>
        <v>0.46</v>
      </c>
      <c r="H542" s="1650"/>
      <c r="I542" s="1668"/>
    </row>
    <row r="543" spans="1:9" ht="17.75" hidden="1" customHeight="1" x14ac:dyDescent="0.5">
      <c r="A543" s="1669">
        <f>SUM(KALKULATION!C101:C103,KALKULATION!C107:C109)</f>
        <v>0</v>
      </c>
      <c r="B543" s="1670"/>
      <c r="C543" s="1670" t="s">
        <v>477</v>
      </c>
      <c r="D543" s="1671"/>
      <c r="E543" s="1672">
        <f ca="1">KALKULATION!H110/KALKULATION!C95</f>
        <v>0</v>
      </c>
      <c r="F543" s="1644">
        <f ca="1">F542</f>
        <v>18.170000000000002</v>
      </c>
      <c r="G543" s="1645">
        <f ca="1">E543*F543</f>
        <v>0</v>
      </c>
      <c r="H543" s="1650"/>
      <c r="I543" s="1673"/>
    </row>
    <row r="544" spans="1:9" hidden="1" x14ac:dyDescent="0.5">
      <c r="A544" s="1674" t="s">
        <v>363</v>
      </c>
      <c r="B544" s="1675"/>
      <c r="C544" s="1675"/>
      <c r="D544" s="1676"/>
      <c r="E544" s="1675"/>
      <c r="F544" s="1675"/>
      <c r="G544" s="1675"/>
      <c r="H544" s="1675"/>
      <c r="I544" s="1676"/>
    </row>
    <row r="545" spans="1:9" hidden="1" x14ac:dyDescent="0.5">
      <c r="A545" s="1677"/>
      <c r="B545" s="1678">
        <f ca="1">AVERAGE(KALKULATION!F90:F94)-1</f>
        <v>0.151</v>
      </c>
      <c r="C545" s="1678">
        <f ca="1">AVERAGE(KALKULATION!G90:G94)-1</f>
        <v>0.17</v>
      </c>
      <c r="D545" s="1679"/>
      <c r="E545" s="1680"/>
      <c r="F545" s="1680"/>
      <c r="G545" s="1680"/>
      <c r="H545" s="1680"/>
      <c r="I545" s="1679"/>
    </row>
    <row r="546" spans="1:9" ht="15.75" hidden="1" customHeight="1" x14ac:dyDescent="0.5">
      <c r="A546" s="3069"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1,50 Std. Diese ergeben sich aus [Überstunde 50% für 1,50 Std]. Die Hinzurechnung für Mehrarbeit/Überstunden beträgt 2,53% bzw 0,46€. Die Berechnung erfolgt auf Basis des jeweiligen Überstundenzuschlags und des KV-Entgelts  zuzüglich 15,10%, die sich aus Entgeltüberzahlungen und zuzüglich  17,00%, die sich aus Erhöhungsfaktoren gem KollV ergeben. </v>
      </c>
      <c r="B546" s="3069"/>
      <c r="C546" s="3069"/>
      <c r="D546" s="3069"/>
      <c r="E546" s="3069"/>
      <c r="F546" s="3069"/>
      <c r="G546" s="3069"/>
      <c r="H546" s="3069"/>
      <c r="I546" s="3069"/>
    </row>
    <row r="547" spans="1:9" hidden="1" x14ac:dyDescent="0.5">
      <c r="A547" s="3053"/>
      <c r="B547" s="3053"/>
      <c r="C547" s="3053"/>
      <c r="D547" s="3053"/>
      <c r="E547" s="3053"/>
      <c r="F547" s="3053"/>
      <c r="G547" s="3053"/>
      <c r="H547" s="3053"/>
      <c r="I547" s="3053"/>
    </row>
    <row r="548" spans="1:9" hidden="1" x14ac:dyDescent="0.5">
      <c r="A548" s="3053"/>
      <c r="B548" s="3053"/>
      <c r="C548" s="3053"/>
      <c r="D548" s="3053"/>
      <c r="E548" s="3053"/>
      <c r="F548" s="3053"/>
      <c r="G548" s="3053"/>
      <c r="H548" s="3053"/>
      <c r="I548" s="3053"/>
    </row>
    <row r="549" spans="1:9" hidden="1" x14ac:dyDescent="0.5">
      <c r="A549" s="3053"/>
      <c r="B549" s="3053"/>
      <c r="C549" s="3053"/>
      <c r="D549" s="3053"/>
      <c r="E549" s="3053"/>
      <c r="F549" s="3053"/>
      <c r="G549" s="3053"/>
      <c r="H549" s="3053"/>
      <c r="I549" s="3053"/>
    </row>
    <row r="550" spans="1:9" hidden="1" x14ac:dyDescent="0.5">
      <c r="A550" s="3053"/>
      <c r="B550" s="3053"/>
      <c r="C550" s="3053"/>
      <c r="D550" s="3053"/>
      <c r="E550" s="3053"/>
      <c r="F550" s="3053"/>
      <c r="G550" s="3053"/>
      <c r="H550" s="3053"/>
      <c r="I550" s="3053"/>
    </row>
    <row r="551" spans="1:9" hidden="1" x14ac:dyDescent="0.5">
      <c r="A551" s="3053"/>
      <c r="B551" s="3053"/>
      <c r="C551" s="3053"/>
      <c r="D551" s="3053"/>
      <c r="E551" s="3053"/>
      <c r="F551" s="3053"/>
      <c r="G551" s="3053"/>
      <c r="H551" s="3053"/>
      <c r="I551" s="3053"/>
    </row>
    <row r="552" spans="1:9" hidden="1" x14ac:dyDescent="0.5">
      <c r="A552" s="3053"/>
      <c r="B552" s="3053"/>
      <c r="C552" s="3053"/>
      <c r="D552" s="3053"/>
      <c r="E552" s="3053"/>
      <c r="F552" s="3053"/>
      <c r="G552" s="3053"/>
      <c r="H552" s="3053"/>
      <c r="I552" s="3053"/>
    </row>
    <row r="553" spans="1:9" hidden="1" x14ac:dyDescent="0.5">
      <c r="A553" s="3053"/>
      <c r="B553" s="3053"/>
      <c r="C553" s="3053"/>
      <c r="D553" s="3053"/>
      <c r="E553" s="3053"/>
      <c r="F553" s="3053"/>
      <c r="G553" s="3053"/>
      <c r="H553" s="3053"/>
      <c r="I553" s="3053"/>
    </row>
    <row r="554" spans="1:9" hidden="1" x14ac:dyDescent="0.5">
      <c r="A554" s="1569"/>
      <c r="B554" s="1569"/>
      <c r="C554" s="1569"/>
      <c r="D554" s="1569"/>
      <c r="E554" s="1569"/>
      <c r="F554" s="1569"/>
      <c r="G554" s="1569"/>
      <c r="H554" s="1569"/>
      <c r="I554" s="1569"/>
    </row>
    <row r="555" spans="1:9" hidden="1" x14ac:dyDescent="0.5">
      <c r="A555" s="1569"/>
      <c r="B555" s="1569"/>
      <c r="C555" s="1569"/>
      <c r="D555" s="1569"/>
      <c r="E555" s="1569"/>
      <c r="F555" s="1569"/>
      <c r="G555" s="1569"/>
      <c r="H555" s="1569"/>
      <c r="I555" s="1569"/>
    </row>
    <row r="556" spans="1:9" hidden="1" x14ac:dyDescent="0.5">
      <c r="A556" s="1681" t="str">
        <f>IF(OR(KALKULATION!A90="",KALKULATION!C90=0),"",KALKULATION!A90&amp;" für "&amp;TEXT(KALKULATION!C90,"0,00")&amp;" Std, ")</f>
        <v xml:space="preserve">Überstunde 50% für 1,50 Std, </v>
      </c>
      <c r="B556" s="1682"/>
      <c r="C556" s="1682"/>
      <c r="D556" s="1682"/>
      <c r="E556" s="1682"/>
      <c r="F556" s="1682"/>
      <c r="G556" s="1682"/>
      <c r="H556" s="1682"/>
      <c r="I556" s="1683"/>
    </row>
    <row r="557" spans="1:9" hidden="1" x14ac:dyDescent="0.5">
      <c r="A557" s="1674" t="str">
        <f>IF(OR(KALKULATION!A91="",KALKULATION!C91=0),"",KALKULATION!A91&amp;" für "&amp;TEXT(KALKULATION!C91,"0,00")&amp;" Std, ")</f>
        <v/>
      </c>
      <c r="B557" s="1684"/>
      <c r="C557" s="1684"/>
      <c r="D557" s="1684"/>
      <c r="E557" s="1684"/>
      <c r="F557" s="1684"/>
      <c r="G557" s="1684"/>
      <c r="H557" s="1684"/>
      <c r="I557" s="1685"/>
    </row>
    <row r="558" spans="1:9" hidden="1" x14ac:dyDescent="0.5">
      <c r="A558" s="1674" t="str">
        <f>IF(OR(KALKULATION!A92="",KALKULATION!C92=0),"",KALKULATION!A92&amp;" für "&amp;TEXT(KALKULATION!C92,"0,00")&amp;" Std, ")</f>
        <v/>
      </c>
      <c r="B558" s="1684"/>
      <c r="C558" s="1684"/>
      <c r="D558" s="1684"/>
      <c r="E558" s="1684"/>
      <c r="F558" s="1684"/>
      <c r="G558" s="1684"/>
      <c r="H558" s="1684"/>
      <c r="I558" s="1685"/>
    </row>
    <row r="559" spans="1:9" hidden="1" x14ac:dyDescent="0.5">
      <c r="A559" s="1674" t="str">
        <f>IF(OR(KALKULATION!A93="",KALKULATION!C93=0),"",KALKULATION!A93&amp;" für "&amp;TEXT(KALKULATION!C93,"0,00")&amp;" Std, ")</f>
        <v/>
      </c>
      <c r="B559" s="1684"/>
      <c r="C559" s="1684"/>
      <c r="D559" s="1684"/>
      <c r="E559" s="1684"/>
      <c r="F559" s="1684"/>
      <c r="G559" s="1684"/>
      <c r="H559" s="1684"/>
      <c r="I559" s="1685"/>
    </row>
    <row r="560" spans="1:9" hidden="1" x14ac:dyDescent="0.5">
      <c r="A560" s="1686" t="str">
        <f>IF(OR(KALKULATION!A94="",KALKULATION!C94=0),"",KALKULATION!A94&amp;" für "&amp;TEXT(KALKULATION!C94,"0,00")&amp;" Std, ")</f>
        <v/>
      </c>
      <c r="B560" s="1687"/>
      <c r="C560" s="1687"/>
      <c r="D560" s="1687"/>
      <c r="E560" s="1687"/>
      <c r="F560" s="1687"/>
      <c r="G560" s="1687"/>
      <c r="H560" s="1687"/>
      <c r="I560" s="1688"/>
    </row>
    <row r="561" spans="1:9" hidden="1" x14ac:dyDescent="0.5">
      <c r="A561" s="1674" t="str">
        <f>A556&amp;A557&amp;A558&amp;A559&amp;A560</f>
        <v xml:space="preserve">Überstunde 50% für 1,50 Std, </v>
      </c>
      <c r="B561" s="1684"/>
      <c r="C561" s="1684"/>
      <c r="D561" s="1684"/>
      <c r="E561" s="1684"/>
      <c r="F561" s="1684"/>
      <c r="G561" s="1684"/>
      <c r="H561" s="1684"/>
      <c r="I561" s="1685"/>
    </row>
    <row r="562" spans="1:9" hidden="1" x14ac:dyDescent="0.5">
      <c r="A562" s="1689">
        <f>LEN(A561)</f>
        <v>29</v>
      </c>
      <c r="B562" s="1684"/>
      <c r="C562" s="1684"/>
      <c r="D562" s="1684"/>
      <c r="E562" s="1684"/>
      <c r="F562" s="1684"/>
      <c r="G562" s="1684"/>
      <c r="H562" s="1684"/>
      <c r="I562" s="1685"/>
    </row>
    <row r="563" spans="1:9" hidden="1" x14ac:dyDescent="0.5">
      <c r="A563" s="1690" t="str">
        <f>IF(A562&gt;0,MID(A561,1,A562-2),"")</f>
        <v>Überstunde 50% für 1,50 Std</v>
      </c>
      <c r="B563" s="1687"/>
      <c r="C563" s="1687"/>
      <c r="D563" s="1687"/>
      <c r="E563" s="1687"/>
      <c r="F563" s="1687"/>
      <c r="G563" s="1687"/>
      <c r="H563" s="1687"/>
      <c r="I563" s="1688"/>
    </row>
    <row r="564" spans="1:9" hidden="1" x14ac:dyDescent="0.5">
      <c r="A564" s="1691"/>
      <c r="B564" s="1569"/>
      <c r="C564" s="1569"/>
      <c r="D564" s="1569"/>
      <c r="E564" s="1569"/>
      <c r="F564" s="1569"/>
      <c r="G564" s="1569"/>
      <c r="H564" s="1569"/>
      <c r="I564" s="1569"/>
    </row>
    <row r="565" spans="1:9" hidden="1" x14ac:dyDescent="0.5">
      <c r="A565" s="1692"/>
      <c r="B565" s="1693">
        <f>IF(KALKULATION!A90&lt;&gt;"",KALKULATION!E90,"")</f>
        <v>2</v>
      </c>
      <c r="C565" s="1682"/>
      <c r="D565" s="1682"/>
      <c r="E565" s="1683"/>
      <c r="F565" s="1569"/>
      <c r="G565" s="1569"/>
      <c r="H565" s="1569"/>
      <c r="I565" s="1569"/>
    </row>
    <row r="566" spans="1:9" hidden="1" x14ac:dyDescent="0.5">
      <c r="A566" s="1694"/>
      <c r="B566" s="1695" t="str">
        <f>IF(KALKULATION!A91&lt;&gt;"",KALKULATION!E91,"")</f>
        <v/>
      </c>
      <c r="C566" s="1684"/>
      <c r="D566" s="1684"/>
      <c r="E566" s="1685"/>
      <c r="F566" s="1569"/>
      <c r="G566" s="1569"/>
      <c r="H566" s="1569"/>
      <c r="I566" s="1569"/>
    </row>
    <row r="567" spans="1:9" hidden="1" x14ac:dyDescent="0.5">
      <c r="A567" s="1694"/>
      <c r="B567" s="1695" t="str">
        <f>IF(KALKULATION!A92&lt;&gt;"",KALKULATION!E92,"")</f>
        <v/>
      </c>
      <c r="C567" s="1684"/>
      <c r="D567" s="1684"/>
      <c r="E567" s="1685"/>
      <c r="F567" s="1569"/>
      <c r="G567" s="1569"/>
      <c r="H567" s="1569"/>
      <c r="I567" s="1569"/>
    </row>
    <row r="568" spans="1:9" hidden="1" x14ac:dyDescent="0.5">
      <c r="A568" s="1694"/>
      <c r="B568" s="1695" t="str">
        <f>IF(KALKULATION!A93&lt;&gt;"",KALKULATION!E93,"")</f>
        <v/>
      </c>
      <c r="C568" s="1684"/>
      <c r="D568" s="1684"/>
      <c r="E568" s="1685"/>
      <c r="F568" s="1569"/>
      <c r="G568" s="1569"/>
      <c r="H568" s="1569"/>
      <c r="I568" s="1569"/>
    </row>
    <row r="569" spans="1:9" hidden="1" x14ac:dyDescent="0.5">
      <c r="A569" s="1694"/>
      <c r="B569" s="1696" t="str">
        <f>IF(KALKULATION!A94&lt;&gt;"",KALKULATION!E94,"")</f>
        <v/>
      </c>
      <c r="C569" s="1684"/>
      <c r="D569" s="1684"/>
      <c r="E569" s="1685"/>
      <c r="F569" s="1569"/>
      <c r="G569" s="1569"/>
      <c r="H569" s="1569"/>
      <c r="I569" s="1569"/>
    </row>
    <row r="570" spans="1:9" hidden="1" x14ac:dyDescent="0.5">
      <c r="A570" s="1686"/>
      <c r="B570" s="1687"/>
      <c r="C570" s="1687"/>
      <c r="D570" s="1687">
        <f>MIN(B565:B569)</f>
        <v>2</v>
      </c>
      <c r="E570" s="1688">
        <f>MAX(B565:B569)</f>
        <v>2</v>
      </c>
      <c r="F570" s="1569"/>
      <c r="G570" s="1569"/>
      <c r="H570" s="1569"/>
      <c r="I570" s="1569"/>
    </row>
    <row r="571" spans="1:9" hidden="1" x14ac:dyDescent="0.5">
      <c r="A571" s="3117"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18"/>
      <c r="C571" s="3118"/>
      <c r="D571" s="3118"/>
      <c r="E571" s="3118"/>
      <c r="F571" s="3118"/>
      <c r="G571" s="3118"/>
      <c r="H571" s="3118"/>
      <c r="I571" s="3119"/>
    </row>
    <row r="572" spans="1:9" hidden="1" x14ac:dyDescent="0.5">
      <c r="A572" s="3120"/>
      <c r="B572" s="3121"/>
      <c r="C572" s="3121"/>
      <c r="D572" s="3121"/>
      <c r="E572" s="3121"/>
      <c r="F572" s="3121"/>
      <c r="G572" s="3121"/>
      <c r="H572" s="3121"/>
      <c r="I572" s="3122"/>
    </row>
    <row r="573" spans="1:9" hidden="1" x14ac:dyDescent="0.5">
      <c r="A573" s="1569"/>
      <c r="B573" s="1569"/>
      <c r="C573" s="1569"/>
      <c r="D573" s="1569"/>
      <c r="E573" s="1569"/>
      <c r="F573" s="1569"/>
      <c r="G573" s="1569"/>
      <c r="H573" s="1569"/>
      <c r="I573" s="1569"/>
    </row>
    <row r="574" spans="1:9" hidden="1" x14ac:dyDescent="0.5">
      <c r="A574" s="1569"/>
      <c r="B574" s="1569"/>
      <c r="C574" s="1569"/>
      <c r="D574" s="1569"/>
      <c r="E574" s="1569"/>
      <c r="F574" s="1569"/>
      <c r="G574" s="1569"/>
      <c r="H574" s="1569"/>
      <c r="I574" s="1569"/>
    </row>
    <row r="575" spans="1:9" hidden="1" x14ac:dyDescent="0.5">
      <c r="A575" s="1681" t="str">
        <f>IF(OR(KALKULATION!A101="",KALKULATION!C101=0),"",KALKULATION!A101&amp;" für "&amp;TEXT(KALKULATION!C101,"0,00")&amp;" Std, ")</f>
        <v/>
      </c>
      <c r="B575" s="1682"/>
      <c r="C575" s="1682"/>
      <c r="D575" s="1682"/>
      <c r="E575" s="1682"/>
      <c r="F575" s="1682"/>
      <c r="G575" s="1682"/>
      <c r="H575" s="1682"/>
      <c r="I575" s="1683"/>
    </row>
    <row r="576" spans="1:9" hidden="1" x14ac:dyDescent="0.5">
      <c r="A576" s="1674" t="str">
        <f>IF(OR(KALKULATION!A102="",KALKULATION!C102=0),"",KALKULATION!A102&amp;" für "&amp;TEXT(KALKULATION!C102,"0,00")&amp;" Std, ")</f>
        <v/>
      </c>
      <c r="B576" s="1684"/>
      <c r="C576" s="1684"/>
      <c r="D576" s="1684"/>
      <c r="E576" s="1684"/>
      <c r="F576" s="1684"/>
      <c r="G576" s="1684"/>
      <c r="H576" s="1684"/>
      <c r="I576" s="1685"/>
    </row>
    <row r="577" spans="1:9" hidden="1" x14ac:dyDescent="0.5">
      <c r="A577" s="1674" t="str">
        <f>IF(OR(KALKULATION!A103="",KALKULATION!C103=0),"",KALKULATION!A103&amp;" für "&amp;TEXT(KALKULATION!C103,"0,00")&amp;" Std, ")</f>
        <v/>
      </c>
      <c r="B577" s="1684"/>
      <c r="C577" s="1684"/>
      <c r="D577" s="1684"/>
      <c r="E577" s="1684"/>
      <c r="F577" s="1684"/>
      <c r="G577" s="1684"/>
      <c r="H577" s="1684"/>
      <c r="I577" s="1685"/>
    </row>
    <row r="578" spans="1:9" hidden="1" x14ac:dyDescent="0.5">
      <c r="A578" s="1674" t="str">
        <f>IF(OR(KALKULATION!A107="",KALKULATION!C107=0),"",KALKULATION!A107&amp;" für "&amp;TEXT(KALKULATION!C107,"0,00")&amp;" Std, ")</f>
        <v/>
      </c>
      <c r="B578" s="1684"/>
      <c r="C578" s="1684"/>
      <c r="D578" s="1684"/>
      <c r="E578" s="1684"/>
      <c r="F578" s="1684"/>
      <c r="G578" s="1684"/>
      <c r="H578" s="1684"/>
      <c r="I578" s="1685"/>
    </row>
    <row r="579" spans="1:9" hidden="1" x14ac:dyDescent="0.5">
      <c r="A579" s="1674" t="str">
        <f>IF(OR(KALKULATION!A108="",KALKULATION!C108=0),"",KALKULATION!A108&amp;" für "&amp;TEXT(KALKULATION!C108,"0,00")&amp;" Std, ")</f>
        <v/>
      </c>
      <c r="B579" s="1684"/>
      <c r="C579" s="1684"/>
      <c r="D579" s="1684"/>
      <c r="E579" s="1684"/>
      <c r="F579" s="1684"/>
      <c r="G579" s="1684"/>
      <c r="H579" s="1684"/>
      <c r="I579" s="1685"/>
    </row>
    <row r="580" spans="1:9" hidden="1" x14ac:dyDescent="0.5">
      <c r="A580" s="1686" t="str">
        <f>IF(OR(KALKULATION!A109="",KALKULATION!C109=0),"",KALKULATION!A109&amp;" für "&amp;TEXT(KALKULATION!C109,"0,00")&amp;" Std, ")</f>
        <v/>
      </c>
      <c r="B580" s="1687"/>
      <c r="C580" s="1687"/>
      <c r="D580" s="1687"/>
      <c r="E580" s="1687"/>
      <c r="F580" s="1687"/>
      <c r="G580" s="1687"/>
      <c r="H580" s="1687"/>
      <c r="I580" s="1688"/>
    </row>
    <row r="581" spans="1:9" hidden="1" x14ac:dyDescent="0.5">
      <c r="A581" s="1684" t="str">
        <f>A575&amp;A576&amp;A577&amp;A578&amp;A579&amp;A580</f>
        <v/>
      </c>
      <c r="B581" s="1684"/>
      <c r="C581" s="1684"/>
      <c r="D581" s="1684"/>
      <c r="E581" s="1684"/>
      <c r="F581" s="1684"/>
      <c r="G581" s="1684"/>
      <c r="H581" s="1684"/>
      <c r="I581" s="1684"/>
    </row>
    <row r="582" spans="1:9" hidden="1" x14ac:dyDescent="0.5">
      <c r="A582" s="1689">
        <f>LEN(A581)</f>
        <v>0</v>
      </c>
      <c r="B582" s="1684"/>
      <c r="C582" s="1684"/>
      <c r="D582" s="1684"/>
      <c r="E582" s="1684"/>
      <c r="F582" s="1684"/>
      <c r="G582" s="1684"/>
      <c r="H582" s="1684"/>
      <c r="I582" s="1684"/>
    </row>
    <row r="583" spans="1:9" hidden="1" x14ac:dyDescent="0.5">
      <c r="A583" s="1690" t="str">
        <f>IF(A582&gt;0,MID(A581,1,A582-2),"")</f>
        <v/>
      </c>
      <c r="B583" s="1684"/>
      <c r="C583" s="1684"/>
      <c r="D583" s="1684"/>
      <c r="E583" s="1684"/>
      <c r="F583" s="1684"/>
      <c r="G583" s="1684"/>
      <c r="H583" s="1684"/>
      <c r="I583" s="1684"/>
    </row>
    <row r="584" spans="1:9" hidden="1" x14ac:dyDescent="0.5">
      <c r="A584" s="1569"/>
      <c r="B584" s="1569"/>
      <c r="C584" s="1569"/>
      <c r="D584" s="1569"/>
      <c r="E584" s="1569"/>
      <c r="F584" s="1569"/>
      <c r="G584" s="1569"/>
      <c r="H584" s="1569"/>
      <c r="I584" s="1569"/>
    </row>
    <row r="585" spans="1:9" hidden="1" x14ac:dyDescent="0.5">
      <c r="A585" s="1569"/>
      <c r="B585" s="1569"/>
      <c r="C585" s="1569"/>
      <c r="D585" s="1569"/>
      <c r="E585" s="1569"/>
      <c r="F585" s="1569"/>
      <c r="G585" s="1569"/>
      <c r="H585" s="1569"/>
      <c r="I585" s="1569"/>
    </row>
    <row r="586" spans="1:9" hidden="1" x14ac:dyDescent="0.5">
      <c r="A586" s="3068"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69"/>
      <c r="C586" s="3069"/>
      <c r="D586" s="3069"/>
      <c r="E586" s="3069"/>
      <c r="F586" s="3069"/>
      <c r="G586" s="3069"/>
      <c r="H586" s="3069"/>
      <c r="I586" s="3070"/>
    </row>
    <row r="587" spans="1:9" hidden="1" x14ac:dyDescent="0.5">
      <c r="A587" s="3066"/>
      <c r="B587" s="3053"/>
      <c r="C587" s="3053"/>
      <c r="D587" s="3053"/>
      <c r="E587" s="3053"/>
      <c r="F587" s="3053"/>
      <c r="G587" s="3053"/>
      <c r="H587" s="3053"/>
      <c r="I587" s="3067"/>
    </row>
    <row r="588" spans="1:9" hidden="1" x14ac:dyDescent="0.5">
      <c r="A588" s="3066"/>
      <c r="B588" s="3053"/>
      <c r="C588" s="3053"/>
      <c r="D588" s="3053"/>
      <c r="E588" s="3053"/>
      <c r="F588" s="3053"/>
      <c r="G588" s="3053"/>
      <c r="H588" s="3053"/>
      <c r="I588" s="3067"/>
    </row>
    <row r="589" spans="1:9" hidden="1" x14ac:dyDescent="0.5">
      <c r="A589" s="3066"/>
      <c r="B589" s="3053"/>
      <c r="C589" s="3053"/>
      <c r="D589" s="3053"/>
      <c r="E589" s="3053"/>
      <c r="F589" s="3053"/>
      <c r="G589" s="3053"/>
      <c r="H589" s="3053"/>
      <c r="I589" s="3067"/>
    </row>
    <row r="590" spans="1:9" hidden="1" x14ac:dyDescent="0.5">
      <c r="A590" s="3066"/>
      <c r="B590" s="3053"/>
      <c r="C590" s="3053"/>
      <c r="D590" s="3053"/>
      <c r="E590" s="3053"/>
      <c r="F590" s="3053"/>
      <c r="G590" s="3053"/>
      <c r="H590" s="3053"/>
      <c r="I590" s="3067"/>
    </row>
    <row r="591" spans="1:9" hidden="1" x14ac:dyDescent="0.5">
      <c r="A591" s="3071"/>
      <c r="B591" s="3072"/>
      <c r="C591" s="3072"/>
      <c r="D591" s="3072"/>
      <c r="E591" s="3072"/>
      <c r="F591" s="3072"/>
      <c r="G591" s="3072"/>
      <c r="H591" s="3072"/>
      <c r="I591" s="3073"/>
    </row>
    <row r="592" spans="1:9" hidden="1" x14ac:dyDescent="0.5">
      <c r="A592" s="1569"/>
      <c r="B592" s="1569"/>
      <c r="C592" s="1569"/>
      <c r="D592" s="1569"/>
      <c r="E592" s="1569"/>
      <c r="F592" s="1569"/>
      <c r="G592" s="1569"/>
      <c r="H592" s="1569"/>
      <c r="I592" s="1569"/>
    </row>
    <row r="593" spans="1:9" hidden="1" x14ac:dyDescent="0.5">
      <c r="A593" s="1692"/>
      <c r="B593" s="1693" t="str">
        <f>IF(KALKULATION!A101&lt;&gt;"",KALKULATION!E101,"")</f>
        <v/>
      </c>
      <c r="C593" s="1682"/>
      <c r="D593" s="1682"/>
      <c r="E593" s="1683"/>
      <c r="F593" s="1569"/>
      <c r="G593" s="1569"/>
      <c r="H593" s="1569"/>
      <c r="I593" s="1569"/>
    </row>
    <row r="594" spans="1:9" hidden="1" x14ac:dyDescent="0.5">
      <c r="A594" s="1694"/>
      <c r="B594" s="1693" t="str">
        <f>IF(KALKULATION!A102&lt;&gt;"",KALKULATION!E102,"")</f>
        <v/>
      </c>
      <c r="C594" s="1684"/>
      <c r="D594" s="1684"/>
      <c r="E594" s="1685"/>
      <c r="F594" s="1569"/>
      <c r="G594" s="1569"/>
      <c r="H594" s="1569"/>
      <c r="I594" s="1569"/>
    </row>
    <row r="595" spans="1:9" hidden="1" x14ac:dyDescent="0.5">
      <c r="A595" s="1694"/>
      <c r="B595" s="1693" t="str">
        <f>IF(KALKULATION!A103&lt;&gt;"",KALKULATION!E103,"")</f>
        <v/>
      </c>
      <c r="C595" s="1684"/>
      <c r="D595" s="1684"/>
      <c r="E595" s="1685"/>
      <c r="F595" s="1569"/>
      <c r="G595" s="1569"/>
      <c r="H595" s="1569"/>
      <c r="I595" s="1569"/>
    </row>
    <row r="596" spans="1:9" hidden="1" x14ac:dyDescent="0.5">
      <c r="A596" s="1686"/>
      <c r="B596" s="1687"/>
      <c r="C596" s="1687"/>
      <c r="D596" s="1687">
        <f>MIN(B593:B595)</f>
        <v>0</v>
      </c>
      <c r="E596" s="1688">
        <f>MAX(B593:B595)</f>
        <v>0</v>
      </c>
      <c r="F596" s="1569"/>
      <c r="G596" s="1569"/>
      <c r="H596" s="1569"/>
      <c r="I596" s="1569"/>
    </row>
    <row r="597" spans="1:9" hidden="1" x14ac:dyDescent="0.5">
      <c r="A597" s="3117" t="str">
        <f>IFERROR(IF(D596&lt;&gt;E596," (Hinweis: Es sind in C2.a unterschiedliche Kennzeichen für die Einstellung der Berechnung der Aufzahlung ausgewählt (von KZ="&amp;TEXT(D596,"0")&amp;" bis "&amp;TEXT(E596,"0")&amp;"). Prüfen Sie bitte, ob unterschiedliche KZ zutreffend und korrekt sind.) ",""),$K$6)</f>
        <v/>
      </c>
      <c r="B597" s="3118"/>
      <c r="C597" s="3118"/>
      <c r="D597" s="3118"/>
      <c r="E597" s="3118"/>
      <c r="F597" s="3118"/>
      <c r="G597" s="3118"/>
      <c r="H597" s="3118"/>
      <c r="I597" s="3119"/>
    </row>
    <row r="598" spans="1:9" hidden="1" x14ac:dyDescent="0.5">
      <c r="A598" s="3120"/>
      <c r="B598" s="3121"/>
      <c r="C598" s="3121"/>
      <c r="D598" s="3121"/>
      <c r="E598" s="3121"/>
      <c r="F598" s="3121"/>
      <c r="G598" s="3121"/>
      <c r="H598" s="3121"/>
      <c r="I598" s="3122"/>
    </row>
    <row r="599" spans="1:9" hidden="1" x14ac:dyDescent="0.5">
      <c r="F599" s="1569"/>
      <c r="G599" s="1569"/>
      <c r="H599" s="1569"/>
      <c r="I599" s="1569"/>
    </row>
    <row r="600" spans="1:9" hidden="1" x14ac:dyDescent="0.5">
      <c r="F600" s="1569"/>
      <c r="G600" s="1569"/>
      <c r="H600" s="1569"/>
      <c r="I600" s="1569"/>
    </row>
    <row r="601" spans="1:9" hidden="1" x14ac:dyDescent="0.5">
      <c r="A601" s="3068"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2,60% bzw ein Betrag für Arbeitszeitzuschläge in Hv 0,47€/Std (K3 Zeile 8). </v>
      </c>
      <c r="B601" s="3069"/>
      <c r="C601" s="3069"/>
      <c r="D601" s="3069"/>
      <c r="E601" s="3069"/>
      <c r="F601" s="3069"/>
      <c r="G601" s="3069"/>
      <c r="H601" s="3069"/>
      <c r="I601" s="3070"/>
    </row>
    <row r="602" spans="1:9" hidden="1" x14ac:dyDescent="0.5">
      <c r="A602" s="3066"/>
      <c r="B602" s="3053"/>
      <c r="C602" s="3053"/>
      <c r="D602" s="3053"/>
      <c r="E602" s="3053"/>
      <c r="F602" s="3053"/>
      <c r="G602" s="3053"/>
      <c r="H602" s="3053"/>
      <c r="I602" s="3067"/>
    </row>
    <row r="603" spans="1:9" hidden="1" x14ac:dyDescent="0.5">
      <c r="A603" s="3066"/>
      <c r="B603" s="3053"/>
      <c r="C603" s="3053"/>
      <c r="D603" s="3053"/>
      <c r="E603" s="3053"/>
      <c r="F603" s="3053"/>
      <c r="G603" s="3053"/>
      <c r="H603" s="3053"/>
      <c r="I603" s="3067"/>
    </row>
    <row r="604" spans="1:9" hidden="1" x14ac:dyDescent="0.5">
      <c r="A604" s="3066"/>
      <c r="B604" s="3053"/>
      <c r="C604" s="3053"/>
      <c r="D604" s="3053"/>
      <c r="E604" s="3053"/>
      <c r="F604" s="3053"/>
      <c r="G604" s="3053"/>
      <c r="H604" s="3053"/>
      <c r="I604" s="3067"/>
    </row>
    <row r="605" spans="1:9" hidden="1" x14ac:dyDescent="0.5">
      <c r="A605" s="3066"/>
      <c r="B605" s="3053"/>
      <c r="C605" s="3053"/>
      <c r="D605" s="3053"/>
      <c r="E605" s="3053"/>
      <c r="F605" s="3053"/>
      <c r="G605" s="3053"/>
      <c r="H605" s="3053"/>
      <c r="I605" s="3067"/>
    </row>
    <row r="606" spans="1:9" hidden="1" x14ac:dyDescent="0.5">
      <c r="A606" s="3066"/>
      <c r="B606" s="3053"/>
      <c r="C606" s="3053"/>
      <c r="D606" s="3053"/>
      <c r="E606" s="3053"/>
      <c r="F606" s="3053"/>
      <c r="G606" s="3053"/>
      <c r="H606" s="3053"/>
      <c r="I606" s="3067"/>
    </row>
    <row r="607" spans="1:9" hidden="1" x14ac:dyDescent="0.5">
      <c r="A607" s="3071"/>
      <c r="B607" s="3072"/>
      <c r="C607" s="3072"/>
      <c r="D607" s="3072"/>
      <c r="E607" s="3072"/>
      <c r="F607" s="3072"/>
      <c r="G607" s="3072"/>
      <c r="H607" s="3072"/>
      <c r="I607" s="3073"/>
    </row>
    <row r="608" spans="1:9" hidden="1" x14ac:dyDescent="0.5">
      <c r="A608" s="1569"/>
      <c r="B608" s="1569"/>
      <c r="C608" s="1569"/>
      <c r="D608" s="1569"/>
      <c r="E608" s="1569"/>
      <c r="F608" s="1569"/>
      <c r="G608" s="1569"/>
      <c r="H608" s="1569"/>
      <c r="I608" s="1569"/>
    </row>
    <row r="609" spans="1:9" hidden="1" x14ac:dyDescent="0.5">
      <c r="A609" s="3214"/>
      <c r="B609" s="3214"/>
      <c r="C609" s="3214"/>
      <c r="D609" s="3214"/>
      <c r="E609" s="3214"/>
      <c r="F609" s="3214"/>
      <c r="G609" s="3214"/>
      <c r="H609" s="3214"/>
      <c r="I609" s="3214"/>
    </row>
    <row r="610" spans="1:9" hidden="1" x14ac:dyDescent="0.5">
      <c r="A610" s="3214"/>
      <c r="B610" s="3214"/>
      <c r="C610" s="3214"/>
      <c r="D610" s="3214"/>
      <c r="E610" s="3214"/>
      <c r="F610" s="3214"/>
      <c r="G610" s="3214"/>
      <c r="H610" s="3214"/>
      <c r="I610" s="3214"/>
    </row>
    <row r="611" spans="1:9" hidden="1" x14ac:dyDescent="0.5">
      <c r="A611" s="3214"/>
      <c r="B611" s="3214"/>
      <c r="C611" s="3214"/>
      <c r="D611" s="3214"/>
      <c r="E611" s="3214"/>
      <c r="F611" s="3214"/>
      <c r="G611" s="3214"/>
      <c r="H611" s="3214"/>
      <c r="I611" s="3214"/>
    </row>
    <row r="612" spans="1:9" hidden="1" x14ac:dyDescent="0.5">
      <c r="A612" s="3214"/>
      <c r="B612" s="3214"/>
      <c r="C612" s="3214"/>
      <c r="D612" s="3214"/>
      <c r="E612" s="3214"/>
      <c r="F612" s="3214"/>
      <c r="G612" s="3214"/>
      <c r="H612" s="3214"/>
      <c r="I612" s="3214"/>
    </row>
    <row r="613" spans="1:9" hidden="1" x14ac:dyDescent="0.5">
      <c r="A613" s="3214"/>
      <c r="B613" s="3214"/>
      <c r="C613" s="3214"/>
      <c r="D613" s="3214"/>
      <c r="E613" s="3214"/>
      <c r="F613" s="3214"/>
      <c r="G613" s="3214"/>
      <c r="H613" s="3214"/>
      <c r="I613" s="3214"/>
    </row>
    <row r="614" spans="1:9" hidden="1" x14ac:dyDescent="0.5">
      <c r="A614" s="3214"/>
      <c r="B614" s="3214"/>
      <c r="C614" s="3214"/>
      <c r="D614" s="3214"/>
      <c r="E614" s="3214"/>
      <c r="F614" s="3214"/>
      <c r="G614" s="3214"/>
      <c r="H614" s="3214"/>
      <c r="I614" s="3214"/>
    </row>
    <row r="615" spans="1:9" hidden="1" x14ac:dyDescent="0.5">
      <c r="A615" s="3214"/>
      <c r="B615" s="3214"/>
      <c r="C615" s="3214"/>
      <c r="D615" s="3214"/>
      <c r="E615" s="3214"/>
      <c r="F615" s="3214"/>
      <c r="G615" s="3214"/>
      <c r="H615" s="3214"/>
      <c r="I615" s="3214"/>
    </row>
    <row r="616" spans="1:9" hidden="1" x14ac:dyDescent="0.5">
      <c r="A616" s="1569"/>
      <c r="B616" s="1569"/>
      <c r="C616" s="1569"/>
      <c r="D616" s="1569"/>
      <c r="E616" s="1569"/>
      <c r="F616" s="1569"/>
      <c r="G616" s="1569"/>
      <c r="H616" s="1569"/>
      <c r="I616" s="1569"/>
    </row>
    <row r="617" spans="1:9" hidden="1" x14ac:dyDescent="0.5">
      <c r="A617" s="1569"/>
      <c r="B617" s="1569"/>
      <c r="C617" s="1569"/>
      <c r="D617" s="1569"/>
      <c r="E617" s="1569"/>
      <c r="F617" s="1569"/>
      <c r="G617" s="1569"/>
      <c r="H617" s="1569"/>
      <c r="I617" s="1569"/>
    </row>
    <row r="618" spans="1:9" hidden="1" x14ac:dyDescent="0.5">
      <c r="A618" s="3114" t="str">
        <f>IFERROR(IF(KALKULATION!H114&lt;&gt;0,"
Das Rechenergebnis für die Arbeitszeitzuschläge ist individuell angepasst (um "&amp;TEXT(KALKULATION!H114,"0,00%")&amp;"; C3.a)! ",""),$K$6)</f>
        <v/>
      </c>
      <c r="B618" s="3115"/>
      <c r="C618" s="3115"/>
      <c r="D618" s="3115"/>
      <c r="E618" s="3115"/>
      <c r="F618" s="3115"/>
      <c r="G618" s="3115"/>
      <c r="H618" s="3115"/>
      <c r="I618" s="3116"/>
    </row>
    <row r="619" spans="1:9" hidden="1" x14ac:dyDescent="0.5">
      <c r="A619" s="1569"/>
      <c r="B619" s="1569"/>
      <c r="C619" s="1569"/>
      <c r="D619" s="1569"/>
      <c r="E619" s="1569"/>
      <c r="F619" s="1569"/>
      <c r="G619" s="1569"/>
      <c r="H619" s="1569"/>
      <c r="I619" s="1569"/>
    </row>
    <row r="620" spans="1:9" hidden="1" x14ac:dyDescent="0.5">
      <c r="A620" s="1569"/>
      <c r="B620" s="1569"/>
      <c r="C620" s="1569"/>
      <c r="D620" s="1569"/>
      <c r="E620" s="1569"/>
      <c r="F620" s="1569"/>
      <c r="G620" s="1569"/>
      <c r="H620" s="1569"/>
      <c r="I620" s="1569"/>
    </row>
    <row r="621" spans="1:9" hidden="1" x14ac:dyDescent="0.5">
      <c r="A621" s="1566" t="s">
        <v>136</v>
      </c>
      <c r="B621" s="1558"/>
      <c r="C621" s="1558"/>
      <c r="D621" s="1558"/>
      <c r="E621" s="1558"/>
      <c r="F621" s="1558"/>
      <c r="G621" s="1558"/>
      <c r="H621" s="1558"/>
      <c r="I621" s="1559"/>
    </row>
    <row r="622" spans="1:9" hidden="1" x14ac:dyDescent="0.5">
      <c r="A622" s="1697" t="s">
        <v>466</v>
      </c>
      <c r="B622" s="1569"/>
      <c r="C622" s="1569"/>
      <c r="D622" s="1569"/>
      <c r="E622" s="1569"/>
      <c r="F622" s="1569"/>
      <c r="G622" s="1569"/>
      <c r="H622" s="1569"/>
      <c r="I622" s="1569"/>
    </row>
    <row r="623" spans="1:9" hidden="1" x14ac:dyDescent="0.5">
      <c r="A623" s="1698" t="str">
        <f>IF(OR(KALKULATION!A123="",KALKULATION!C123=0,KALKULATION!D123=0),"",KALKULATION!A123&amp;" ("&amp;(TEXT(KALKULATION!C123*KALKULATION!D123,"0,0%")&amp;"), "))</f>
        <v xml:space="preserve">Vorarbeiterzuschlag (25,0%), </v>
      </c>
      <c r="B623" s="1699"/>
      <c r="C623" s="1699"/>
      <c r="D623" s="1699"/>
      <c r="E623" s="1699"/>
      <c r="F623" s="1699"/>
      <c r="G623" s="1699"/>
      <c r="H623" s="1699"/>
      <c r="I623" s="1700"/>
    </row>
    <row r="624" spans="1:9" hidden="1" x14ac:dyDescent="0.5">
      <c r="A624" s="1701" t="str">
        <f>IF(OR(KALKULATION!A124="",KALKULATION!C124=0,KALKULATION!D124=0),"",KALKULATION!A124&amp;" ("&amp;(TEXT(KALKULATION!C124*KALKULATION!D124,"0,0%")&amp;"), "))</f>
        <v xml:space="preserve">Gefahrenzulage (1,8%), </v>
      </c>
      <c r="B624" s="1702"/>
      <c r="C624" s="1702"/>
      <c r="D624" s="1702"/>
      <c r="E624" s="1702"/>
      <c r="F624" s="1702"/>
      <c r="G624" s="1702"/>
      <c r="H624" s="1702"/>
      <c r="I624" s="1703"/>
    </row>
    <row r="625" spans="1:9" hidden="1" x14ac:dyDescent="0.5">
      <c r="A625" s="1701" t="str">
        <f>IF(OR(KALKULATION!A125="",KALKULATION!C125=0,KALKULATION!D125=0),"",KALKULATION!A125&amp;" ("&amp;(TEXT(KALKULATION!C125*KALKULATION!D125,"0,0%")&amp;"), "))</f>
        <v/>
      </c>
      <c r="B625" s="1702"/>
      <c r="C625" s="1702"/>
      <c r="D625" s="1702"/>
      <c r="E625" s="1702"/>
      <c r="F625" s="1702"/>
      <c r="G625" s="1702"/>
      <c r="H625" s="1702"/>
      <c r="I625" s="1703"/>
    </row>
    <row r="626" spans="1:9" hidden="1" x14ac:dyDescent="0.5">
      <c r="A626" s="1701" t="str">
        <f>IF(OR(KALKULATION!A126="",KALKULATION!C126=0,KALKULATION!D126=0),"",KALKULATION!A126&amp;" ("&amp;(TEXT(KALKULATION!C126*KALKULATION!D126,"0,0%")&amp;"), "))</f>
        <v/>
      </c>
      <c r="B626" s="1702"/>
      <c r="C626" s="1702"/>
      <c r="D626" s="1702"/>
      <c r="E626" s="1702"/>
      <c r="F626" s="1702"/>
      <c r="G626" s="1702"/>
      <c r="H626" s="1702"/>
      <c r="I626" s="1703"/>
    </row>
    <row r="627" spans="1:9" hidden="1" x14ac:dyDescent="0.5">
      <c r="A627" s="1701" t="str">
        <f>IF(OR(KALKULATION!A127="",KALKULATION!C127=0,KALKULATION!D127=0),"",KALKULATION!A127&amp;" ("&amp;(TEXT(KALKULATION!C127*KALKULATION!D127,"0,0%")&amp;"), "))</f>
        <v/>
      </c>
      <c r="B627" s="1702"/>
      <c r="C627" s="1702"/>
      <c r="D627" s="1702"/>
      <c r="E627" s="1702"/>
      <c r="F627" s="1702"/>
      <c r="G627" s="1702"/>
      <c r="H627" s="1702"/>
      <c r="I627" s="1703"/>
    </row>
    <row r="628" spans="1:9" hidden="1" x14ac:dyDescent="0.5">
      <c r="A628" s="1701" t="str">
        <f>IF(OR(KALKULATION!A128="",KALKULATION!C128=0,KALKULATION!D128=0),"",KALKULATION!A128&amp;" ("&amp;(TEXT(KALKULATION!C128*KALKULATION!D128,"0,0%")&amp;"), "))</f>
        <v/>
      </c>
      <c r="B628" s="1702"/>
      <c r="C628" s="1702"/>
      <c r="D628" s="1702"/>
      <c r="E628" s="1702"/>
      <c r="F628" s="1702"/>
      <c r="G628" s="1702"/>
      <c r="H628" s="1702"/>
      <c r="I628" s="1703"/>
    </row>
    <row r="629" spans="1:9" hidden="1" x14ac:dyDescent="0.5">
      <c r="A629" s="1704" t="str">
        <f>IF(OR(KALKULATION!A129="",KALKULATION!C129=0,KALKULATION!D129=0),"",KALKULATION!A129&amp;" ("&amp;(TEXT(KALKULATION!C129*KALKULATION!D129,"0,0%")&amp;"), "))</f>
        <v/>
      </c>
      <c r="B629" s="1705"/>
      <c r="C629" s="1705"/>
      <c r="D629" s="1705"/>
      <c r="E629" s="1705"/>
      <c r="F629" s="1705"/>
      <c r="G629" s="1705"/>
      <c r="H629" s="1705"/>
      <c r="I629" s="1706"/>
    </row>
    <row r="630" spans="1:9" hidden="1" x14ac:dyDescent="0.5">
      <c r="A630" s="1704" t="str">
        <f>IF(OR(KALKULATION!A137="",KALKULATION!C137=0,KALKULATION!D137=0,KALKULATION!F138=0),"","Teil der ansonst abgabefreien Zulage "&amp;KALKULATION!A137&amp;", ")</f>
        <v/>
      </c>
      <c r="B630" s="1702"/>
      <c r="C630" s="1702"/>
      <c r="D630" s="1702"/>
      <c r="E630" s="1702"/>
      <c r="F630" s="1702"/>
      <c r="G630" s="1702"/>
      <c r="H630" s="1702"/>
      <c r="I630" s="1703"/>
    </row>
    <row r="631" spans="1:9" hidden="1" x14ac:dyDescent="0.5">
      <c r="A631" s="1701" t="str">
        <f>A623&amp;A624&amp;A625&amp;A626&amp;A627&amp;A628&amp;A629&amp;A630</f>
        <v xml:space="preserve">Vorarbeiterzuschlag (25,0%), Gefahrenzulage (1,8%), </v>
      </c>
      <c r="B631" s="1702"/>
      <c r="C631" s="1702"/>
      <c r="D631" s="1702"/>
      <c r="E631" s="1702"/>
      <c r="F631" s="1702"/>
      <c r="G631" s="1702"/>
      <c r="H631" s="1702"/>
      <c r="I631" s="1703"/>
    </row>
    <row r="632" spans="1:9" hidden="1" x14ac:dyDescent="0.5">
      <c r="A632" s="1701">
        <f>LEN(A631)</f>
        <v>52</v>
      </c>
      <c r="B632" s="1702"/>
      <c r="C632" s="1702"/>
      <c r="D632" s="1702"/>
      <c r="E632" s="1702"/>
      <c r="F632" s="1702"/>
      <c r="G632" s="1702"/>
      <c r="H632" s="1702"/>
      <c r="I632" s="1703"/>
    </row>
    <row r="633" spans="1:9" hidden="1" x14ac:dyDescent="0.5">
      <c r="A633" s="1707" t="str">
        <f>IF(A632&gt;0,MID(A631,1,A632-2),"")</f>
        <v>Vorarbeiterzuschlag (25,0%), Gefahrenzulage (1,8%)</v>
      </c>
      <c r="B633" s="1705"/>
      <c r="C633" s="1705"/>
      <c r="D633" s="1705"/>
      <c r="E633" s="1705"/>
      <c r="F633" s="1705"/>
      <c r="G633" s="1705"/>
      <c r="H633" s="1705"/>
      <c r="I633" s="1706"/>
    </row>
    <row r="634" spans="1:9" hidden="1" x14ac:dyDescent="0.5">
      <c r="A634" s="1697"/>
      <c r="B634" s="1569"/>
      <c r="C634" s="1569"/>
      <c r="D634" s="1569"/>
      <c r="E634" s="1569"/>
      <c r="F634" s="1569"/>
      <c r="G634" s="1569"/>
      <c r="H634" s="1569"/>
      <c r="I634" s="1569"/>
    </row>
    <row r="635" spans="1:9" ht="15.75" hidden="1" customHeight="1" x14ac:dyDescent="0.5">
      <c r="A635" s="3069"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2,95% für folgende Zulagen erfasst; in Klammer der Anteil der davon betroffenen gesamten Leistungsstunden: [Vorarbeiterzuschlag (25,0%), Gefahrenzulage (1,8%)]. 
Als Basis für Zulagen in % ist gem Auswahl in D1.a1 [KV+AKV] herangezogen. Das kalkulatorische Rechenergebnis der Berücksichtigung der Zulagen für das produktive Personal beträgt 2,87%. </v>
      </c>
      <c r="B635" s="3069"/>
      <c r="C635" s="3069"/>
      <c r="D635" s="3069"/>
      <c r="E635" s="3069"/>
      <c r="F635" s="3069"/>
      <c r="G635" s="3069"/>
      <c r="H635" s="3069"/>
      <c r="I635" s="3069"/>
    </row>
    <row r="636" spans="1:9" ht="15.75" hidden="1" customHeight="1" x14ac:dyDescent="0.5">
      <c r="A636" s="3053"/>
      <c r="B636" s="3053"/>
      <c r="C636" s="3053"/>
      <c r="D636" s="3053"/>
      <c r="E636" s="3053"/>
      <c r="F636" s="3053"/>
      <c r="G636" s="3053"/>
      <c r="H636" s="3053"/>
      <c r="I636" s="3053"/>
    </row>
    <row r="637" spans="1:9" ht="15.75" hidden="1" customHeight="1" x14ac:dyDescent="0.5">
      <c r="A637" s="3053"/>
      <c r="B637" s="3053"/>
      <c r="C637" s="3053"/>
      <c r="D637" s="3053"/>
      <c r="E637" s="3053"/>
      <c r="F637" s="3053"/>
      <c r="G637" s="3053"/>
      <c r="H637" s="3053"/>
      <c r="I637" s="3053"/>
    </row>
    <row r="638" spans="1:9" hidden="1" x14ac:dyDescent="0.5">
      <c r="A638" s="3053"/>
      <c r="B638" s="3053"/>
      <c r="C638" s="3053"/>
      <c r="D638" s="3053"/>
      <c r="E638" s="3053"/>
      <c r="F638" s="3053"/>
      <c r="G638" s="3053"/>
      <c r="H638" s="3053"/>
      <c r="I638" s="3053"/>
    </row>
    <row r="639" spans="1:9" hidden="1" x14ac:dyDescent="0.5">
      <c r="A639" s="3053"/>
      <c r="B639" s="3053"/>
      <c r="C639" s="3053"/>
      <c r="D639" s="3053"/>
      <c r="E639" s="3053"/>
      <c r="F639" s="3053"/>
      <c r="G639" s="3053"/>
      <c r="H639" s="3053"/>
      <c r="I639" s="3053"/>
    </row>
    <row r="640" spans="1:9" hidden="1" x14ac:dyDescent="0.5">
      <c r="A640" s="3053"/>
      <c r="B640" s="3053"/>
      <c r="C640" s="3053"/>
      <c r="D640" s="3053"/>
      <c r="E640" s="3053"/>
      <c r="F640" s="3053"/>
      <c r="G640" s="3053"/>
      <c r="H640" s="3053"/>
      <c r="I640" s="3053"/>
    </row>
    <row r="641" spans="1:9" hidden="1" x14ac:dyDescent="0.5">
      <c r="A641" s="3053"/>
      <c r="B641" s="3053"/>
      <c r="C641" s="3053"/>
      <c r="D641" s="3053"/>
      <c r="E641" s="3053"/>
      <c r="F641" s="3053"/>
      <c r="G641" s="3053"/>
      <c r="H641" s="3053"/>
      <c r="I641" s="3053"/>
    </row>
    <row r="642" spans="1:9" hidden="1" x14ac:dyDescent="0.5">
      <c r="A642" s="3053"/>
      <c r="B642" s="3053"/>
      <c r="C642" s="3053"/>
      <c r="D642" s="3053"/>
      <c r="E642" s="3053"/>
      <c r="F642" s="3053"/>
      <c r="G642" s="3053"/>
      <c r="H642" s="3053"/>
      <c r="I642" s="3053"/>
    </row>
    <row r="643" spans="1:9" hidden="1" x14ac:dyDescent="0.5">
      <c r="A643" s="1514"/>
      <c r="B643" s="1514"/>
      <c r="C643" s="1514"/>
      <c r="D643" s="1514"/>
      <c r="E643" s="1514"/>
      <c r="F643" s="1514"/>
      <c r="G643" s="1514"/>
      <c r="H643" s="1514"/>
      <c r="I643" s="1514"/>
    </row>
    <row r="644" spans="1:9" hidden="1" x14ac:dyDescent="0.5">
      <c r="A644" s="1569"/>
      <c r="B644" s="1569"/>
      <c r="C644" s="1569"/>
      <c r="D644" s="1569"/>
      <c r="E644" s="1569"/>
      <c r="F644" s="1569"/>
      <c r="G644" s="1569"/>
      <c r="H644" s="1569"/>
      <c r="I644" s="1569"/>
    </row>
    <row r="645" spans="1:9" hidden="1" x14ac:dyDescent="0.5">
      <c r="A645" s="3135" t="str">
        <f ca="1">IFERROR(IF(KALKULATION!H130&lt;&gt;0,"
Als Basis für Zulagen in % ist gem Auswahl in D1.a1 ["&amp;KALKULATION!F131&amp;"] herangezogen. ",""),$K$6)</f>
        <v xml:space="preserve">
Als Basis für Zulagen in % ist gem Auswahl in D1.a1 [KV+AKV] herangezogen. </v>
      </c>
      <c r="B645" s="3136"/>
      <c r="C645" s="3136"/>
      <c r="D645" s="3136"/>
      <c r="E645" s="3136"/>
      <c r="F645" s="3136"/>
      <c r="G645" s="3136"/>
      <c r="H645" s="3136"/>
      <c r="I645" s="3137"/>
    </row>
    <row r="646" spans="1:9" hidden="1" x14ac:dyDescent="0.5">
      <c r="A646" s="3138"/>
      <c r="B646" s="3139"/>
      <c r="C646" s="3139"/>
      <c r="D646" s="3139"/>
      <c r="E646" s="3139"/>
      <c r="F646" s="3139"/>
      <c r="G646" s="3139"/>
      <c r="H646" s="3139"/>
      <c r="I646" s="3140"/>
    </row>
    <row r="647" spans="1:9" hidden="1" x14ac:dyDescent="0.5">
      <c r="A647" s="1569"/>
      <c r="B647" s="1569"/>
      <c r="C647" s="1569"/>
      <c r="D647" s="1569"/>
      <c r="E647" s="1569"/>
      <c r="F647" s="1569"/>
      <c r="G647" s="1569"/>
      <c r="H647" s="1569"/>
      <c r="I647" s="1569"/>
    </row>
    <row r="648" spans="1:9" hidden="1" x14ac:dyDescent="0.5">
      <c r="A648" s="3134"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2,87%. </v>
      </c>
      <c r="B648" s="3134"/>
      <c r="C648" s="3134"/>
      <c r="D648" s="3134"/>
      <c r="E648" s="3134"/>
      <c r="F648" s="3134"/>
      <c r="G648" s="3134"/>
      <c r="H648" s="3134"/>
      <c r="I648" s="3134"/>
    </row>
    <row r="649" spans="1:9" hidden="1" x14ac:dyDescent="0.5">
      <c r="A649" s="3134"/>
      <c r="B649" s="3134"/>
      <c r="C649" s="3134"/>
      <c r="D649" s="3134"/>
      <c r="E649" s="3134"/>
      <c r="F649" s="3134"/>
      <c r="G649" s="3134"/>
      <c r="H649" s="3134"/>
      <c r="I649" s="3134"/>
    </row>
    <row r="650" spans="1:9" hidden="1" x14ac:dyDescent="0.5">
      <c r="A650" s="1569"/>
      <c r="B650" s="1569"/>
      <c r="C650" s="1569"/>
      <c r="D650" s="1569"/>
      <c r="E650" s="1569"/>
      <c r="F650" s="1569"/>
      <c r="G650" s="1569"/>
      <c r="H650" s="1569"/>
      <c r="I650" s="1569"/>
    </row>
    <row r="651" spans="1:9" hidden="1" x14ac:dyDescent="0.5">
      <c r="A651" s="1569"/>
      <c r="B651" s="1569"/>
      <c r="C651" s="1569"/>
      <c r="D651" s="1569"/>
      <c r="E651" s="1569"/>
      <c r="F651" s="1569"/>
      <c r="G651" s="1569"/>
      <c r="H651" s="1569"/>
      <c r="I651" s="1569"/>
    </row>
    <row r="652" spans="1:9" hidden="1" x14ac:dyDescent="0.5">
      <c r="A652" s="3128" t="str">
        <f ca="1">IFERROR(IF(KALKULATION!H162&lt;&gt;0,"
Das kalkulatorische Rechenergebnis zur Berücksichtigung der Zulagen für SONSTIGE UNPRODUKTIVE ZEITEN (gem B2.b) des produktiven Personals beträgt "&amp;TEXT(KALKULATION!H165*KALKULATION!H162/KALKULATION!H164,"0,00%")&amp;". ",""),$K$6)</f>
        <v/>
      </c>
      <c r="B652" s="3129"/>
      <c r="C652" s="3129"/>
      <c r="D652" s="3129"/>
      <c r="E652" s="3129"/>
      <c r="F652" s="3129"/>
      <c r="G652" s="3129"/>
      <c r="H652" s="3129"/>
      <c r="I652" s="3130"/>
    </row>
    <row r="653" spans="1:9" hidden="1" x14ac:dyDescent="0.5">
      <c r="A653" s="3131"/>
      <c r="B653" s="3132"/>
      <c r="C653" s="3132"/>
      <c r="D653" s="3132"/>
      <c r="E653" s="3132"/>
      <c r="F653" s="3132"/>
      <c r="G653" s="3132"/>
      <c r="H653" s="3132"/>
      <c r="I653" s="3133"/>
    </row>
    <row r="654" spans="1:9" hidden="1" x14ac:dyDescent="0.5">
      <c r="A654" s="1569"/>
      <c r="B654" s="1569"/>
      <c r="C654" s="1569"/>
      <c r="D654" s="1569"/>
      <c r="E654" s="1569"/>
      <c r="F654" s="1569"/>
      <c r="G654" s="1569"/>
      <c r="H654" s="1569"/>
      <c r="I654" s="1569"/>
    </row>
    <row r="655" spans="1:9" hidden="1" x14ac:dyDescent="0.5">
      <c r="A655" s="1569"/>
      <c r="B655" s="1569"/>
      <c r="C655" s="1569"/>
      <c r="D655" s="1569"/>
      <c r="E655" s="1569"/>
      <c r="F655" s="1569"/>
      <c r="G655" s="1569"/>
      <c r="H655" s="1569"/>
      <c r="I655" s="1569"/>
    </row>
    <row r="656" spans="1:9" hidden="1" x14ac:dyDescent="0.5">
      <c r="A656" s="3053"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3"/>
      <c r="C656" s="3053"/>
      <c r="D656" s="3053"/>
      <c r="E656" s="3053"/>
      <c r="F656" s="3053"/>
      <c r="G656" s="3053"/>
      <c r="H656" s="3053"/>
      <c r="I656" s="3053"/>
    </row>
    <row r="657" spans="1:9" hidden="1" x14ac:dyDescent="0.5">
      <c r="A657" s="3053"/>
      <c r="B657" s="3053"/>
      <c r="C657" s="3053"/>
      <c r="D657" s="3053"/>
      <c r="E657" s="3053"/>
      <c r="F657" s="3053"/>
      <c r="G657" s="3053"/>
      <c r="H657" s="3053"/>
      <c r="I657" s="3053"/>
    </row>
    <row r="658" spans="1:9" hidden="1" x14ac:dyDescent="0.5">
      <c r="A658" s="3053"/>
      <c r="B658" s="3053"/>
      <c r="C658" s="3053"/>
      <c r="D658" s="3053"/>
      <c r="E658" s="3053"/>
      <c r="F658" s="3053"/>
      <c r="G658" s="3053"/>
      <c r="H658" s="3053"/>
      <c r="I658" s="3053"/>
    </row>
    <row r="659" spans="1:9" hidden="1" x14ac:dyDescent="0.5">
      <c r="A659" s="1569"/>
      <c r="B659" s="1569"/>
      <c r="C659" s="1569"/>
      <c r="D659" s="1569"/>
      <c r="E659" s="1569"/>
      <c r="F659" s="1569"/>
      <c r="G659" s="1569"/>
      <c r="H659" s="1569"/>
      <c r="I659" s="1569"/>
    </row>
    <row r="660" spans="1:9" hidden="1" x14ac:dyDescent="0.5">
      <c r="A660" s="1697" t="s">
        <v>467</v>
      </c>
      <c r="B660" s="1569"/>
      <c r="C660" s="1569"/>
      <c r="D660" s="1569"/>
      <c r="E660" s="1569"/>
      <c r="F660" s="1569"/>
      <c r="G660" s="1569"/>
      <c r="H660" s="1569"/>
      <c r="I660" s="1569"/>
    </row>
    <row r="661" spans="1:9" hidden="1" x14ac:dyDescent="0.5">
      <c r="A661" s="1698" t="str">
        <f>IF(OR(KALKULATION!A147="",KALKULATION!C147=0,KALKULATION!D147=0),"",KALKULATION!A147&amp;" ("&amp;(TEXT(KALKULATION!C147*KALKULATION!D147,"0,0%")&amp;"), "))</f>
        <v/>
      </c>
      <c r="B661" s="1699"/>
      <c r="C661" s="1699"/>
      <c r="D661" s="1699"/>
      <c r="E661" s="1699"/>
      <c r="F661" s="1699"/>
      <c r="G661" s="1699"/>
      <c r="H661" s="1699"/>
      <c r="I661" s="1700"/>
    </row>
    <row r="662" spans="1:9" hidden="1" x14ac:dyDescent="0.5">
      <c r="A662" s="1701" t="str">
        <f>IF(OR(KALKULATION!A148="",KALKULATION!C148=0,KALKULATION!D148=0),"",KALKULATION!A148&amp;" ("&amp;(TEXT(KALKULATION!C148*KALKULATION!D148,"0,0%")&amp;"), "))</f>
        <v/>
      </c>
      <c r="B662" s="1702"/>
      <c r="C662" s="1702"/>
      <c r="D662" s="1702"/>
      <c r="E662" s="1702"/>
      <c r="F662" s="1702"/>
      <c r="G662" s="1702"/>
      <c r="H662" s="1702"/>
      <c r="I662" s="1703"/>
    </row>
    <row r="663" spans="1:9" hidden="1" x14ac:dyDescent="0.5">
      <c r="A663" s="1704" t="str">
        <f>IF(OR(KALKULATION!A149="",KALKULATION!C149=0,KALKULATION!D149=0),"",KALKULATION!A149&amp;" ("&amp;(TEXT(KALKULATION!C149*KALKULATION!D149,"0,0%")&amp;"), "))</f>
        <v/>
      </c>
      <c r="B663" s="1705"/>
      <c r="C663" s="1705"/>
      <c r="D663" s="1705"/>
      <c r="E663" s="1705"/>
      <c r="F663" s="1705"/>
      <c r="G663" s="1705"/>
      <c r="H663" s="1705"/>
      <c r="I663" s="1706"/>
    </row>
    <row r="664" spans="1:9" hidden="1" x14ac:dyDescent="0.5">
      <c r="A664" s="1701" t="str">
        <f>A661&amp;A662&amp;A663</f>
        <v/>
      </c>
      <c r="B664" s="1702"/>
      <c r="C664" s="1702"/>
      <c r="D664" s="1702"/>
      <c r="E664" s="1702"/>
      <c r="F664" s="1702"/>
      <c r="G664" s="1702"/>
      <c r="H664" s="1702"/>
      <c r="I664" s="1703"/>
    </row>
    <row r="665" spans="1:9" hidden="1" x14ac:dyDescent="0.5">
      <c r="A665" s="1701">
        <f>LEN(A664)</f>
        <v>0</v>
      </c>
      <c r="B665" s="1702"/>
      <c r="C665" s="1702"/>
      <c r="D665" s="1702"/>
      <c r="E665" s="1702"/>
      <c r="F665" s="1702"/>
      <c r="G665" s="1702"/>
      <c r="H665" s="1702"/>
      <c r="I665" s="1703"/>
    </row>
    <row r="666" spans="1:9" hidden="1" x14ac:dyDescent="0.5">
      <c r="A666" s="1707" t="str">
        <f>IF(A665&gt;0,MID(A664,1,A665-2),"")</f>
        <v/>
      </c>
      <c r="B666" s="1705"/>
      <c r="C666" s="1705"/>
      <c r="D666" s="1705"/>
      <c r="E666" s="1705"/>
      <c r="F666" s="1705"/>
      <c r="G666" s="1705"/>
      <c r="H666" s="1705"/>
      <c r="I666" s="1706"/>
    </row>
    <row r="667" spans="1:9" hidden="1" x14ac:dyDescent="0.5">
      <c r="A667" s="1569"/>
      <c r="B667" s="1569"/>
      <c r="C667" s="1569"/>
      <c r="D667" s="1569"/>
      <c r="E667" s="1569"/>
      <c r="F667" s="1569"/>
      <c r="G667" s="1569"/>
      <c r="H667" s="1569"/>
      <c r="I667" s="1569"/>
    </row>
    <row r="668" spans="1:9" hidden="1" x14ac:dyDescent="0.5">
      <c r="A668" s="1569"/>
      <c r="B668" s="1569"/>
      <c r="C668" s="1569"/>
      <c r="D668" s="1569"/>
      <c r="E668" s="1569"/>
      <c r="F668" s="1569"/>
      <c r="G668" s="1569"/>
      <c r="H668" s="1569"/>
      <c r="I668" s="1569"/>
    </row>
    <row r="669" spans="1:9" hidden="1" x14ac:dyDescent="0.5">
      <c r="A669" s="3114" t="str">
        <f ca="1">IFERROR(IF(AND(KALKULATION!E55&lt;&gt;0,KALKULATION!H142=KALKULATION!M151),"
Für das kalkulierte unproduktive Personal B2.a) sind keine Zulagen (zB für Erschwernisse) in Ansatz gebracht (D2)! ",""),$K$6)</f>
        <v/>
      </c>
      <c r="B669" s="3115"/>
      <c r="C669" s="3115"/>
      <c r="D669" s="3115"/>
      <c r="E669" s="3115"/>
      <c r="F669" s="3115"/>
      <c r="G669" s="3115"/>
      <c r="H669" s="3115"/>
      <c r="I669" s="3116"/>
    </row>
    <row r="670" spans="1:9" hidden="1" x14ac:dyDescent="0.5">
      <c r="A670" s="3068"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2,95% in Ansatz gebracht. Dieser Ansatz entspricht jenem des produktiven Personals. Das kalkulatorische Rechenergebnis zur Berücksichtigung der Zulagen für das unproduktive Personal beträgt 0,08%. </v>
      </c>
      <c r="B670" s="3069"/>
      <c r="C670" s="3069"/>
      <c r="D670" s="3069"/>
      <c r="E670" s="3069"/>
      <c r="F670" s="3069"/>
      <c r="G670" s="3069"/>
      <c r="H670" s="3069"/>
      <c r="I670" s="3070"/>
    </row>
    <row r="671" spans="1:9" hidden="1" x14ac:dyDescent="0.5">
      <c r="A671" s="3066"/>
      <c r="B671" s="3053"/>
      <c r="C671" s="3053"/>
      <c r="D671" s="3053"/>
      <c r="E671" s="3053"/>
      <c r="F671" s="3053"/>
      <c r="G671" s="3053"/>
      <c r="H671" s="3053"/>
      <c r="I671" s="3067"/>
    </row>
    <row r="672" spans="1:9" hidden="1" x14ac:dyDescent="0.5">
      <c r="A672" s="3066"/>
      <c r="B672" s="3053"/>
      <c r="C672" s="3053"/>
      <c r="D672" s="3053"/>
      <c r="E672" s="3053"/>
      <c r="F672" s="3053"/>
      <c r="G672" s="3053"/>
      <c r="H672" s="3053"/>
      <c r="I672" s="3067"/>
    </row>
    <row r="673" spans="1:9" hidden="1" x14ac:dyDescent="0.5">
      <c r="A673" s="3071"/>
      <c r="B673" s="3072"/>
      <c r="C673" s="3072"/>
      <c r="D673" s="3072"/>
      <c r="E673" s="3072"/>
      <c r="F673" s="3072"/>
      <c r="G673" s="3072"/>
      <c r="H673" s="3072"/>
      <c r="I673" s="3073"/>
    </row>
    <row r="674" spans="1:9" hidden="1" x14ac:dyDescent="0.5">
      <c r="A674" s="1569"/>
      <c r="B674" s="1569"/>
      <c r="C674" s="1569"/>
      <c r="D674" s="1569"/>
      <c r="E674" s="1569"/>
      <c r="F674" s="1569"/>
      <c r="G674" s="1569"/>
      <c r="H674" s="1569"/>
      <c r="I674" s="1569"/>
    </row>
    <row r="675" spans="1:9" hidden="1" x14ac:dyDescent="0.5">
      <c r="A675" s="3123"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0,08%. </v>
      </c>
      <c r="B675" s="3123"/>
      <c r="C675" s="3123"/>
      <c r="D675" s="3123"/>
      <c r="E675" s="3123"/>
      <c r="F675" s="3123"/>
      <c r="G675" s="3123"/>
      <c r="H675" s="3123"/>
      <c r="I675" s="3123"/>
    </row>
    <row r="676" spans="1:9" hidden="1" x14ac:dyDescent="0.5">
      <c r="A676" s="3123"/>
      <c r="B676" s="3123"/>
      <c r="C676" s="3123"/>
      <c r="D676" s="3123"/>
      <c r="E676" s="3123"/>
      <c r="F676" s="3123"/>
      <c r="G676" s="3123"/>
      <c r="H676" s="3123"/>
      <c r="I676" s="3123"/>
    </row>
    <row r="677" spans="1:9" hidden="1" x14ac:dyDescent="0.5">
      <c r="A677" s="1569"/>
      <c r="B677" s="1569"/>
      <c r="C677" s="1569"/>
      <c r="D677" s="1569"/>
      <c r="E677" s="1569"/>
      <c r="F677" s="1569"/>
      <c r="G677" s="1569"/>
      <c r="H677" s="1569"/>
      <c r="I677" s="1569"/>
    </row>
    <row r="678" spans="1:9" hidden="1" x14ac:dyDescent="0.5">
      <c r="A678" s="1569"/>
      <c r="B678" s="1569"/>
      <c r="C678" s="1569"/>
      <c r="D678" s="1569"/>
      <c r="E678" s="1569"/>
      <c r="F678" s="1569"/>
      <c r="G678" s="1569"/>
      <c r="H678" s="1569"/>
      <c r="I678" s="1569"/>
    </row>
    <row r="679" spans="1:9" hidden="1" x14ac:dyDescent="0.5">
      <c r="A679" s="1569"/>
      <c r="B679" s="1569"/>
      <c r="C679" s="1569"/>
      <c r="D679" s="1569"/>
      <c r="E679" s="1569"/>
      <c r="F679" s="1569"/>
      <c r="G679" s="1569"/>
      <c r="H679" s="1569"/>
      <c r="I679" s="1569"/>
    </row>
    <row r="680" spans="1:9" hidden="1" x14ac:dyDescent="0.5">
      <c r="A680" s="3068" t="str">
        <f>IFERROR(IF(KALKULATION!H166&lt;&gt;0,"
Das Rechenergebnis für Zulagen ist individuell um "&amp;TEXT(KALKULATION!H166,"0,00%")&amp;"-Punkte abgeändert (D4.b). ",""),$K$6)</f>
        <v/>
      </c>
      <c r="B680" s="3069"/>
      <c r="C680" s="3069"/>
      <c r="D680" s="3069"/>
      <c r="E680" s="3069"/>
      <c r="F680" s="3069"/>
      <c r="G680" s="3069"/>
      <c r="H680" s="3069"/>
      <c r="I680" s="3070"/>
    </row>
    <row r="681" spans="1:9" hidden="1" x14ac:dyDescent="0.5">
      <c r="A681" s="3066"/>
      <c r="B681" s="3053"/>
      <c r="C681" s="3053"/>
      <c r="D681" s="3053"/>
      <c r="E681" s="3053"/>
      <c r="F681" s="3053"/>
      <c r="G681" s="3053"/>
      <c r="H681" s="3053"/>
      <c r="I681" s="3067"/>
    </row>
    <row r="682" spans="1:9" hidden="1" x14ac:dyDescent="0.5">
      <c r="A682" s="3066"/>
      <c r="B682" s="3053"/>
      <c r="C682" s="3053"/>
      <c r="D682" s="3053"/>
      <c r="E682" s="3053"/>
      <c r="F682" s="3053"/>
      <c r="G682" s="3053"/>
      <c r="H682" s="3053"/>
      <c r="I682" s="3067"/>
    </row>
    <row r="683" spans="1:9" hidden="1" x14ac:dyDescent="0.5">
      <c r="A683" s="3071"/>
      <c r="B683" s="3072"/>
      <c r="C683" s="3072"/>
      <c r="D683" s="3072"/>
      <c r="E683" s="3072"/>
      <c r="F683" s="3072"/>
      <c r="G683" s="3072"/>
      <c r="H683" s="3072"/>
      <c r="I683" s="3073"/>
    </row>
    <row r="684" spans="1:9" hidden="1" x14ac:dyDescent="0.5">
      <c r="A684" s="1569"/>
      <c r="B684" s="1569"/>
      <c r="C684" s="1569"/>
      <c r="D684" s="1569"/>
      <c r="E684" s="1569"/>
      <c r="F684" s="1569"/>
      <c r="G684" s="1569"/>
      <c r="H684" s="1569"/>
      <c r="I684" s="1569"/>
    </row>
    <row r="685" spans="1:9" hidden="1" x14ac:dyDescent="0.5">
      <c r="A685" s="3053" t="str">
        <f ca="1">IFERROR(IF(KALKULATION!H167&lt;&gt;0,"
Insgesamt sind Zulagen mit einer Auswirkung in Hv "&amp;TEXT(' K3 PP'!O25,"0,00€")&amp;" (K3 Zeile 7) in die Kalkulation eingeflossen ("&amp;TEXT(KALKULATION!H167,"0,00%")&amp;"). ",""),"")</f>
        <v xml:space="preserve">
Insgesamt sind Zulagen mit einer Auswirkung in Hv 0,55€ (K3 Zeile 7) in die Kalkulation eingeflossen (3,00%). </v>
      </c>
      <c r="B685" s="3053"/>
      <c r="C685" s="3053"/>
      <c r="D685" s="3053"/>
      <c r="E685" s="3053"/>
      <c r="F685" s="3053"/>
      <c r="G685" s="3053"/>
      <c r="H685" s="3053"/>
      <c r="I685" s="3053"/>
    </row>
    <row r="686" spans="1:9" hidden="1" x14ac:dyDescent="0.5">
      <c r="A686" s="3053"/>
      <c r="B686" s="3053"/>
      <c r="C686" s="3053"/>
      <c r="D686" s="3053"/>
      <c r="E686" s="3053"/>
      <c r="F686" s="3053"/>
      <c r="G686" s="3053"/>
      <c r="H686" s="3053"/>
      <c r="I686" s="3053"/>
    </row>
    <row r="687" spans="1:9" hidden="1" x14ac:dyDescent="0.5">
      <c r="A687" s="3053"/>
      <c r="B687" s="3053"/>
      <c r="C687" s="3053"/>
      <c r="D687" s="3053"/>
      <c r="E687" s="3053"/>
      <c r="F687" s="3053"/>
      <c r="G687" s="3053"/>
      <c r="H687" s="3053"/>
      <c r="I687" s="3053"/>
    </row>
    <row r="688" spans="1:9" hidden="1" x14ac:dyDescent="0.5">
      <c r="A688" s="3053"/>
      <c r="B688" s="3053"/>
      <c r="C688" s="3053"/>
      <c r="D688" s="3053"/>
      <c r="E688" s="3053"/>
      <c r="F688" s="3053"/>
      <c r="G688" s="3053"/>
      <c r="H688" s="3053"/>
      <c r="I688" s="3053"/>
    </row>
    <row r="689" spans="1:18" hidden="1" x14ac:dyDescent="0.5">
      <c r="A689" s="3053"/>
      <c r="B689" s="3053"/>
      <c r="C689" s="3053"/>
      <c r="D689" s="3053"/>
      <c r="E689" s="3053"/>
      <c r="F689" s="3053"/>
      <c r="G689" s="3053"/>
      <c r="H689" s="3053"/>
      <c r="I689" s="3053"/>
    </row>
    <row r="690" spans="1:18" s="1708" customFormat="1" hidden="1" x14ac:dyDescent="0.5">
      <c r="A690" s="1569"/>
      <c r="B690" s="1569"/>
      <c r="C690" s="1514"/>
      <c r="D690" s="1514"/>
      <c r="E690" s="1514"/>
      <c r="F690" s="1514"/>
      <c r="G690" s="1514"/>
      <c r="H690" s="1514"/>
      <c r="I690" s="1514"/>
      <c r="K690" s="1947"/>
      <c r="L690" s="1947"/>
      <c r="M690" s="1947"/>
      <c r="N690" s="1947"/>
      <c r="O690" s="1947"/>
      <c r="P690" s="1947"/>
      <c r="Q690" s="1947"/>
      <c r="R690" s="1947"/>
    </row>
    <row r="691" spans="1:18" s="1708" customFormat="1" hidden="1" x14ac:dyDescent="0.5">
      <c r="A691" s="1709" t="s">
        <v>468</v>
      </c>
      <c r="B691" s="1682"/>
      <c r="C691" s="1710">
        <f ca="1">' K3 PP'!O25</f>
        <v>0.55000000000000004</v>
      </c>
      <c r="D691" s="1710"/>
      <c r="E691" s="1710"/>
      <c r="F691" s="1710"/>
      <c r="G691" s="1710"/>
      <c r="H691" s="1710"/>
      <c r="I691" s="1711"/>
      <c r="K691" s="1947"/>
      <c r="L691" s="1947"/>
      <c r="M691" s="1947"/>
      <c r="N691" s="1947"/>
      <c r="O691" s="1947"/>
      <c r="P691" s="1947"/>
      <c r="Q691" s="1947"/>
      <c r="R691" s="1947"/>
    </row>
    <row r="692" spans="1:18" s="1708" customFormat="1" hidden="1" x14ac:dyDescent="0.5">
      <c r="A692" s="1712"/>
      <c r="B692" s="1684"/>
      <c r="C692" s="1675"/>
      <c r="D692" s="1713">
        <f ca="1">' K3 PP'!O28</f>
        <v>25.23</v>
      </c>
      <c r="E692" s="1675"/>
      <c r="F692" s="1675"/>
      <c r="G692" s="1675"/>
      <c r="H692" s="1675"/>
      <c r="I692" s="1676"/>
      <c r="K692" s="1947"/>
      <c r="L692" s="1947"/>
      <c r="M692" s="1947"/>
      <c r="N692" s="1947"/>
      <c r="O692" s="1947"/>
      <c r="P692" s="1947"/>
      <c r="Q692" s="1947"/>
      <c r="R692" s="1947"/>
    </row>
    <row r="693" spans="1:18" s="1708" customFormat="1" hidden="1" x14ac:dyDescent="0.5">
      <c r="A693" s="1712"/>
      <c r="B693" s="1684"/>
      <c r="C693" s="1675"/>
      <c r="D693" s="1713">
        <f ca="1">' K3 PP'!O39</f>
        <v>56.83</v>
      </c>
      <c r="E693" s="1714">
        <f ca="1">D693/D692</f>
        <v>2.25</v>
      </c>
      <c r="F693" s="1675" t="s">
        <v>469</v>
      </c>
      <c r="G693" s="1713">
        <f ca="1">C691*E693</f>
        <v>1.24</v>
      </c>
      <c r="H693" s="1675"/>
      <c r="I693" s="1676"/>
      <c r="K693" s="1947"/>
      <c r="L693" s="1947"/>
      <c r="M693" s="1947"/>
      <c r="N693" s="1947"/>
      <c r="O693" s="1947"/>
      <c r="P693" s="1947"/>
      <c r="Q693" s="1947"/>
      <c r="R693" s="1947"/>
    </row>
    <row r="694" spans="1:18" hidden="1" x14ac:dyDescent="0.5">
      <c r="A694" s="1715"/>
      <c r="B694" s="1716"/>
      <c r="C694" s="1716"/>
      <c r="D694" s="1717">
        <f ca="1">' K3 PP'!O44</f>
        <v>72.739999999999995</v>
      </c>
      <c r="E694" s="1718">
        <f ca="1">D694/D692</f>
        <v>2.88</v>
      </c>
      <c r="F694" s="1716" t="s">
        <v>470</v>
      </c>
      <c r="G694" s="1717">
        <f ca="1">C691*E694</f>
        <v>1.58</v>
      </c>
      <c r="H694" s="1716"/>
      <c r="I694" s="1719"/>
    </row>
    <row r="695" spans="1:18" hidden="1" x14ac:dyDescent="0.5">
      <c r="A695" s="1720" t="s">
        <v>299</v>
      </c>
      <c r="B695" s="1721"/>
      <c r="C695" s="1721"/>
      <c r="D695" s="1721"/>
      <c r="E695" s="1721"/>
      <c r="F695" s="1721"/>
      <c r="G695" s="1721"/>
      <c r="H695" s="1721"/>
      <c r="I695" s="1721"/>
    </row>
    <row r="696" spans="1:18" hidden="1" x14ac:dyDescent="0.5">
      <c r="A696" s="1722" t="s">
        <v>293</v>
      </c>
      <c r="B696" s="1723">
        <f ca="1">' K3 PP'!O27</f>
        <v>3.3</v>
      </c>
      <c r="C696" s="1724">
        <f ca="1">B696/F696</f>
        <v>0.67349999999999999</v>
      </c>
      <c r="D696" s="1723">
        <f ca="1">H696-KALKULATION!E177-KALKULATION!G214/KALKULATION!C95</f>
        <v>1.6</v>
      </c>
      <c r="E696" s="1725">
        <f ca="1">D696/F696</f>
        <v>0.32650000000000001</v>
      </c>
      <c r="F696" s="1726">
        <f ca="1">B696+D696</f>
        <v>4.9000000000000004</v>
      </c>
      <c r="G696" s="1727"/>
      <c r="H696" s="1728">
        <f ca="1">' K3 PP'!O29</f>
        <v>1.6</v>
      </c>
      <c r="I696" s="1729"/>
    </row>
    <row r="697" spans="1:18" hidden="1" x14ac:dyDescent="0.5">
      <c r="A697" s="1730" t="s">
        <v>294</v>
      </c>
      <c r="B697" s="1731">
        <f ca="1">Stammdaten!B99</f>
        <v>30</v>
      </c>
      <c r="C697" s="1732">
        <f ca="1">' K3 PP'!P19</f>
        <v>40</v>
      </c>
      <c r="D697" s="1733">
        <v>5</v>
      </c>
      <c r="E697" s="1734">
        <f ca="1">B697/(C697/5)</f>
        <v>3.75</v>
      </c>
      <c r="F697" s="1733">
        <v>4</v>
      </c>
      <c r="G697" s="1734">
        <f ca="1">B697/(C697/F697)</f>
        <v>3</v>
      </c>
      <c r="H697" s="1733"/>
      <c r="I697" s="1735"/>
    </row>
    <row r="698" spans="1:18" hidden="1" x14ac:dyDescent="0.5">
      <c r="A698" s="1736" t="s">
        <v>471</v>
      </c>
      <c r="B698" s="1737"/>
      <c r="C698" s="1738">
        <f ca="1">KALKULATION!G189/ROUNDDOWN(AVERAGE(KALKULATION!F184:F188),0)</f>
        <v>11.71</v>
      </c>
      <c r="D698" s="1737"/>
      <c r="E698" s="1739"/>
      <c r="F698" s="1740"/>
      <c r="G698" s="1741"/>
      <c r="H698" s="1742"/>
      <c r="I698" s="1743"/>
    </row>
    <row r="699" spans="1:18" hidden="1" x14ac:dyDescent="0.5"/>
    <row r="700" spans="1:18" ht="15.75" hidden="1" customHeight="1" x14ac:dyDescent="0.5">
      <c r="A700" s="3068"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3,30€/Std und für nicht abgabepflichtige (abgabefreie) Entschädigungen sind Kosten in Hv 1,60€/Std in Ansatz gebracht (K3 Zeile 9 bzw 11). </v>
      </c>
      <c r="B700" s="3069"/>
      <c r="C700" s="3069"/>
      <c r="D700" s="3069"/>
      <c r="E700" s="3069"/>
      <c r="F700" s="3069"/>
      <c r="G700" s="3069"/>
      <c r="H700" s="3069"/>
      <c r="I700" s="3070"/>
    </row>
    <row r="701" spans="1:18" hidden="1" x14ac:dyDescent="0.5">
      <c r="A701" s="3066"/>
      <c r="B701" s="3053"/>
      <c r="C701" s="3053"/>
      <c r="D701" s="3053"/>
      <c r="E701" s="3053"/>
      <c r="F701" s="3053"/>
      <c r="G701" s="3053"/>
      <c r="H701" s="3053"/>
      <c r="I701" s="3067"/>
    </row>
    <row r="702" spans="1:18" hidden="1" x14ac:dyDescent="0.5">
      <c r="A702" s="3066"/>
      <c r="B702" s="3053"/>
      <c r="C702" s="3053"/>
      <c r="D702" s="3053"/>
      <c r="E702" s="3053"/>
      <c r="F702" s="3053"/>
      <c r="G702" s="3053"/>
      <c r="H702" s="3053"/>
      <c r="I702" s="3067"/>
    </row>
    <row r="703" spans="1:18" hidden="1" x14ac:dyDescent="0.5">
      <c r="A703" s="3066"/>
      <c r="B703" s="3053"/>
      <c r="C703" s="3053"/>
      <c r="D703" s="3053"/>
      <c r="E703" s="3053"/>
      <c r="F703" s="3053"/>
      <c r="G703" s="3053"/>
      <c r="H703" s="3053"/>
      <c r="I703" s="3067"/>
    </row>
    <row r="704" spans="1:18" hidden="1" x14ac:dyDescent="0.5">
      <c r="A704" s="3066"/>
      <c r="B704" s="3053"/>
      <c r="C704" s="3053"/>
      <c r="D704" s="3053"/>
      <c r="E704" s="3053"/>
      <c r="F704" s="3053"/>
      <c r="G704" s="3053"/>
      <c r="H704" s="3053"/>
      <c r="I704" s="3067"/>
    </row>
    <row r="705" spans="1:9" hidden="1" x14ac:dyDescent="0.5">
      <c r="A705" s="3066"/>
      <c r="B705" s="3053"/>
      <c r="C705" s="3053"/>
      <c r="D705" s="3053"/>
      <c r="E705" s="3053"/>
      <c r="F705" s="3053"/>
      <c r="G705" s="3053"/>
      <c r="H705" s="3053"/>
      <c r="I705" s="3067"/>
    </row>
    <row r="706" spans="1:9" hidden="1" x14ac:dyDescent="0.5">
      <c r="A706" s="3071"/>
      <c r="B706" s="3072"/>
      <c r="C706" s="3072"/>
      <c r="D706" s="3072"/>
      <c r="E706" s="3072"/>
      <c r="F706" s="3072"/>
      <c r="G706" s="3072"/>
      <c r="H706" s="3072"/>
      <c r="I706" s="3073"/>
    </row>
    <row r="707" spans="1:9" hidden="1" x14ac:dyDescent="0.5">
      <c r="A707" s="1514"/>
      <c r="B707" s="1514"/>
      <c r="C707" s="1514"/>
      <c r="D707" s="1514"/>
      <c r="E707" s="1514"/>
      <c r="F707" s="1514"/>
      <c r="G707" s="1514"/>
      <c r="H707" s="1514"/>
      <c r="I707" s="1619"/>
    </row>
    <row r="708" spans="1:9" hidden="1" x14ac:dyDescent="0.5">
      <c r="A708" s="3123"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23"/>
      <c r="C708" s="3123"/>
      <c r="D708" s="3123"/>
      <c r="E708" s="3123"/>
      <c r="F708" s="3123"/>
      <c r="G708" s="3123"/>
      <c r="H708" s="3123"/>
      <c r="I708" s="3124"/>
    </row>
    <row r="709" spans="1:9" hidden="1" x14ac:dyDescent="0.5">
      <c r="A709" s="3123"/>
      <c r="B709" s="3123"/>
      <c r="C709" s="3123"/>
      <c r="D709" s="3123"/>
      <c r="E709" s="3123"/>
      <c r="F709" s="3123"/>
      <c r="G709" s="3123"/>
      <c r="H709" s="3123"/>
      <c r="I709" s="3124"/>
    </row>
    <row r="710" spans="1:9" hidden="1" x14ac:dyDescent="0.5">
      <c r="A710" s="3123"/>
      <c r="B710" s="3123"/>
      <c r="C710" s="3123"/>
      <c r="D710" s="3123"/>
      <c r="E710" s="3123"/>
      <c r="F710" s="3123"/>
      <c r="G710" s="3123"/>
      <c r="H710" s="3123"/>
      <c r="I710" s="3124"/>
    </row>
    <row r="711" spans="1:9" hidden="1" x14ac:dyDescent="0.5">
      <c r="A711" s="3123"/>
      <c r="B711" s="3123"/>
      <c r="C711" s="3123"/>
      <c r="D711" s="3123"/>
      <c r="E711" s="3123"/>
      <c r="F711" s="3123"/>
      <c r="G711" s="3123"/>
      <c r="H711" s="3123"/>
      <c r="I711" s="3124"/>
    </row>
    <row r="712" spans="1:9" hidden="1" x14ac:dyDescent="0.5">
      <c r="A712" s="3123"/>
      <c r="B712" s="3123"/>
      <c r="C712" s="3123"/>
      <c r="D712" s="3123"/>
      <c r="E712" s="3123"/>
      <c r="F712" s="3123"/>
      <c r="G712" s="3123"/>
      <c r="H712" s="3123"/>
      <c r="I712" s="3124"/>
    </row>
    <row r="713" spans="1:9" hidden="1" x14ac:dyDescent="0.5">
      <c r="A713" s="1569"/>
      <c r="B713" s="1569"/>
      <c r="C713" s="1569"/>
      <c r="D713" s="1569"/>
      <c r="E713" s="1569"/>
      <c r="F713" s="1569"/>
      <c r="G713" s="1569"/>
      <c r="H713" s="1569"/>
      <c r="I713" s="1615"/>
    </row>
    <row r="714" spans="1:9" hidden="1" x14ac:dyDescent="0.5">
      <c r="A714" s="1569"/>
      <c r="B714" s="1569"/>
      <c r="C714" s="1569"/>
      <c r="D714" s="1569"/>
      <c r="E714" s="1569"/>
      <c r="F714" s="1569"/>
      <c r="G714" s="1569"/>
      <c r="H714" s="1569"/>
      <c r="I714" s="1615"/>
    </row>
    <row r="715" spans="1:9" hidden="1" x14ac:dyDescent="0.5">
      <c r="A715" s="1514"/>
      <c r="B715" s="1514"/>
      <c r="C715" s="1514"/>
      <c r="D715" s="1514"/>
      <c r="E715" s="1514"/>
      <c r="F715" s="1514"/>
      <c r="G715" s="1514"/>
      <c r="H715" s="1514"/>
      <c r="I715" s="1619"/>
    </row>
    <row r="716" spans="1:9" hidden="1" x14ac:dyDescent="0.5">
      <c r="A716" s="3053" t="str">
        <f ca="1">IFERROR(IF(SUM(KALKULATION!F139,KALKULATION!G139)&lt;&gt;0,"
Unter dem abgabefreien Betrag in K3 Zeile 11 ist eine abgabefreie Zulage aus C1.a in Hv "&amp;TEXT(KALKULATION!E177,"0,00€")&amp;"/Std für ["&amp;KALKULATION!A137&amp;"] enthalten. ",""),$K$6)</f>
        <v/>
      </c>
      <c r="B716" s="3053"/>
      <c r="C716" s="3053"/>
      <c r="D716" s="3053"/>
      <c r="E716" s="3053"/>
      <c r="F716" s="3053"/>
      <c r="G716" s="3053"/>
      <c r="H716" s="3053"/>
      <c r="I716" s="3067"/>
    </row>
    <row r="717" spans="1:9" hidden="1" x14ac:dyDescent="0.5">
      <c r="A717" s="3053"/>
      <c r="B717" s="3053"/>
      <c r="C717" s="3053"/>
      <c r="D717" s="3053"/>
      <c r="E717" s="3053"/>
      <c r="F717" s="3053"/>
      <c r="G717" s="3053"/>
      <c r="H717" s="3053"/>
      <c r="I717" s="3067"/>
    </row>
    <row r="718" spans="1:9" hidden="1" x14ac:dyDescent="0.5">
      <c r="A718" s="3053"/>
      <c r="B718" s="3053"/>
      <c r="C718" s="3053"/>
      <c r="D718" s="3053"/>
      <c r="E718" s="3053"/>
      <c r="F718" s="3053"/>
      <c r="G718" s="3053"/>
      <c r="H718" s="3053"/>
      <c r="I718" s="3067"/>
    </row>
    <row r="719" spans="1:9" hidden="1" x14ac:dyDescent="0.5">
      <c r="A719" s="1569"/>
      <c r="B719" s="1569"/>
      <c r="C719" s="1569"/>
      <c r="D719" s="1569"/>
      <c r="E719" s="1569"/>
      <c r="F719" s="1569"/>
      <c r="G719" s="1569"/>
      <c r="H719" s="1569"/>
      <c r="I719" s="1615"/>
    </row>
    <row r="720" spans="1:9" hidden="1" x14ac:dyDescent="0.5">
      <c r="A720" s="1744" t="s">
        <v>365</v>
      </c>
      <c r="B720" s="1745"/>
      <c r="C720" s="1745"/>
      <c r="D720" s="1745"/>
      <c r="E720" s="1745"/>
      <c r="F720" s="1745"/>
      <c r="G720" s="1745"/>
      <c r="H720" s="1745"/>
      <c r="I720" s="1746"/>
    </row>
    <row r="721" spans="1:9" hidden="1" x14ac:dyDescent="0.5">
      <c r="A721" s="1689" t="str">
        <f>IF(KALKULATION!A174="","",KALKULATION!A174&amp;" ("&amp;TEXT(KALKULATION!D174,"0%")&amp;"), ")</f>
        <v xml:space="preserve">Montagezulage (100%), </v>
      </c>
      <c r="B721" s="1747"/>
      <c r="C721" s="1747"/>
      <c r="D721" s="1748"/>
      <c r="E721" s="1747"/>
      <c r="F721" s="1747"/>
      <c r="G721" s="1747"/>
      <c r="H721" s="1747"/>
      <c r="I721" s="1749"/>
    </row>
    <row r="722" spans="1:9" hidden="1" x14ac:dyDescent="0.5">
      <c r="A722" s="1689" t="str">
        <f>IF(KALKULATION!A175="","",KALKULATION!A175&amp;" ("&amp;TEXT(KALKULATION!D175,"0%")&amp;"), ")</f>
        <v/>
      </c>
      <c r="B722" s="1747"/>
      <c r="C722" s="1747"/>
      <c r="D722" s="1747"/>
      <c r="E722" s="1747"/>
      <c r="F722" s="1747"/>
      <c r="G722" s="1747"/>
      <c r="H722" s="1747"/>
      <c r="I722" s="1749"/>
    </row>
    <row r="723" spans="1:9" hidden="1" x14ac:dyDescent="0.5">
      <c r="A723" s="1689" t="str">
        <f>IF(KALKULATION!A176="","",KALKULATION!A176&amp;" ("&amp;TEXT(KALKULATION!D176,"0%")&amp;"), ")</f>
        <v/>
      </c>
      <c r="B723" s="1747"/>
      <c r="C723" s="1747"/>
      <c r="D723" s="1747"/>
      <c r="E723" s="1747"/>
      <c r="F723" s="1747"/>
      <c r="G723" s="1747"/>
      <c r="H723" s="1747"/>
      <c r="I723" s="1749"/>
    </row>
    <row r="724" spans="1:9" hidden="1" x14ac:dyDescent="0.5">
      <c r="A724" s="1689" t="str">
        <f>A721&amp;A722&amp;A723</f>
        <v xml:space="preserve">Montagezulage (100%), </v>
      </c>
      <c r="B724" s="1747"/>
      <c r="C724" s="1747"/>
      <c r="D724" s="1747"/>
      <c r="E724" s="1747"/>
      <c r="F724" s="1747"/>
      <c r="G724" s="1747"/>
      <c r="H724" s="1747"/>
      <c r="I724" s="1749"/>
    </row>
    <row r="725" spans="1:9" hidden="1" x14ac:dyDescent="0.5">
      <c r="A725" s="1689">
        <f>LEN(A724)</f>
        <v>22</v>
      </c>
      <c r="B725" s="1747"/>
      <c r="C725" s="1747"/>
      <c r="D725" s="1747"/>
      <c r="E725" s="1747"/>
      <c r="F725" s="1747"/>
      <c r="G725" s="1747"/>
      <c r="H725" s="1747"/>
      <c r="I725" s="1749"/>
    </row>
    <row r="726" spans="1:9" hidden="1" x14ac:dyDescent="0.5">
      <c r="A726" s="1750" t="str">
        <f>IF(A725&gt;0,MID(A724,1,A725-2),"")</f>
        <v>Montagezulage (100%)</v>
      </c>
      <c r="B726" s="1747"/>
      <c r="C726" s="1747"/>
      <c r="D726" s="1747"/>
      <c r="E726" s="1747"/>
      <c r="F726" s="1747"/>
      <c r="G726" s="1747"/>
      <c r="H726" s="1747"/>
      <c r="I726" s="1749"/>
    </row>
    <row r="727" spans="1:9" hidden="1" x14ac:dyDescent="0.5">
      <c r="A727" s="1689" t="s">
        <v>367</v>
      </c>
      <c r="B727" s="1747"/>
      <c r="C727" s="1684"/>
      <c r="D727" s="1751">
        <f ca="1">KALKULATION!G178</f>
        <v>0</v>
      </c>
      <c r="E727" s="1751">
        <f ca="1">KALKULATION!H178</f>
        <v>45.2</v>
      </c>
      <c r="F727" s="1747"/>
      <c r="G727" s="1747"/>
      <c r="H727" s="1747"/>
      <c r="I727" s="1749"/>
    </row>
    <row r="728" spans="1:9" ht="15.75" hidden="1" customHeight="1" x14ac:dyDescent="0.5">
      <c r="A728" s="3054" t="str">
        <f ca="1">IFERROR(IF(A726&lt;&gt;"","
-- An Entschädigungen mit ANSPRUCH PRO STUNDE ist/sind ["&amp;A726&amp;"] berücksichtigt (E1). Daraus ergeben sich Kosten pro Woche in Hv "&amp;TEXT(E727,"0,00€")&amp;" (abgabepflichtig) bzw "&amp;TEXT(D727,"0,00€")&amp;" (abgabefrei). ",""),$K$6)</f>
        <v xml:space="preserve">
-- An Entschädigungen mit ANSPRUCH PRO STUNDE ist/sind [Montagezulage (100%)] berücksichtigt (E1). Daraus ergeben sich Kosten pro Woche in Hv 45,20€ (abgabepflichtig) bzw 0,00€ (abgabefrei). </v>
      </c>
      <c r="B728" s="3055"/>
      <c r="C728" s="3055"/>
      <c r="D728" s="3055"/>
      <c r="E728" s="3055"/>
      <c r="F728" s="3055"/>
      <c r="G728" s="3055"/>
      <c r="H728" s="3055"/>
      <c r="I728" s="3056"/>
    </row>
    <row r="729" spans="1:9" hidden="1" x14ac:dyDescent="0.5">
      <c r="A729" s="3054"/>
      <c r="B729" s="3055"/>
      <c r="C729" s="3055"/>
      <c r="D729" s="3055"/>
      <c r="E729" s="3055"/>
      <c r="F729" s="3055"/>
      <c r="G729" s="3055"/>
      <c r="H729" s="3055"/>
      <c r="I729" s="3056"/>
    </row>
    <row r="730" spans="1:9" hidden="1" x14ac:dyDescent="0.5">
      <c r="A730" s="3054"/>
      <c r="B730" s="3055"/>
      <c r="C730" s="3055"/>
      <c r="D730" s="3055"/>
      <c r="E730" s="3055"/>
      <c r="F730" s="3055"/>
      <c r="G730" s="3055"/>
      <c r="H730" s="3055"/>
      <c r="I730" s="3056"/>
    </row>
    <row r="731" spans="1:9" hidden="1" x14ac:dyDescent="0.5">
      <c r="A731" s="1689"/>
      <c r="B731" s="1747"/>
      <c r="C731" s="1684"/>
      <c r="D731" s="1751"/>
      <c r="E731" s="1751"/>
      <c r="F731" s="1747"/>
      <c r="G731" s="1747"/>
      <c r="H731" s="1747"/>
      <c r="I731" s="1749"/>
    </row>
    <row r="732" spans="1:9" hidden="1" x14ac:dyDescent="0.5">
      <c r="A732" s="1752" t="s">
        <v>364</v>
      </c>
      <c r="B732" s="1753"/>
      <c r="C732" s="1753"/>
      <c r="D732" s="1753"/>
      <c r="E732" s="1753"/>
      <c r="F732" s="1753"/>
      <c r="G732" s="1753"/>
      <c r="H732" s="1753"/>
      <c r="I732" s="1754"/>
    </row>
    <row r="733" spans="1:9" hidden="1" x14ac:dyDescent="0.5">
      <c r="A733" s="1755" t="str">
        <f>IF(KALKULATION!A184="","",KALKULATION!A184&amp;" ("&amp;TEXT(KALKULATION!D184,"0%")&amp;"), ")</f>
        <v xml:space="preserve">kleine Entfernungszul. (&gt;6Std) (100%), </v>
      </c>
      <c r="B733" s="1756"/>
      <c r="C733" s="1756"/>
      <c r="D733" s="1756"/>
      <c r="E733" s="1756"/>
      <c r="F733" s="1756"/>
      <c r="G733" s="1756"/>
      <c r="H733" s="1756"/>
      <c r="I733" s="1757"/>
    </row>
    <row r="734" spans="1:9" hidden="1" x14ac:dyDescent="0.5">
      <c r="A734" s="1755" t="str">
        <f>IF(KALKULATION!A185="","",KALKULATION!A185&amp;" ("&amp;TEXT(KALKULATION!D185,"0%")&amp;"), ")</f>
        <v/>
      </c>
      <c r="B734" s="1756"/>
      <c r="C734" s="1756"/>
      <c r="D734" s="1756"/>
      <c r="E734" s="1756"/>
      <c r="F734" s="1756"/>
      <c r="G734" s="1756"/>
      <c r="H734" s="1756"/>
      <c r="I734" s="1757"/>
    </row>
    <row r="735" spans="1:9" hidden="1" x14ac:dyDescent="0.5">
      <c r="A735" s="1755" t="str">
        <f>IF(KALKULATION!A186="","",KALKULATION!A186&amp;" ("&amp;TEXT(KALKULATION!D186,"0%")&amp;"), ")</f>
        <v/>
      </c>
      <c r="B735" s="1756"/>
      <c r="C735" s="1756"/>
      <c r="D735" s="1756"/>
      <c r="E735" s="1756"/>
      <c r="F735" s="1756"/>
      <c r="G735" s="1756"/>
      <c r="H735" s="1756"/>
      <c r="I735" s="1757"/>
    </row>
    <row r="736" spans="1:9" hidden="1" x14ac:dyDescent="0.5">
      <c r="A736" s="1755" t="str">
        <f>IF(KALKULATION!A187="","",KALKULATION!A187&amp;" ("&amp;TEXT(KALKULATION!D187,"0%")&amp;"), ")</f>
        <v/>
      </c>
      <c r="B736" s="1756"/>
      <c r="C736" s="1756"/>
      <c r="D736" s="1756"/>
      <c r="E736" s="1756"/>
      <c r="F736" s="1756"/>
      <c r="G736" s="1756"/>
      <c r="H736" s="1756"/>
      <c r="I736" s="1757"/>
    </row>
    <row r="737" spans="1:9" hidden="1" x14ac:dyDescent="0.5">
      <c r="A737" s="1755" t="str">
        <f>IF(KALKULATION!A188="","",KALKULATION!A188&amp;" ("&amp;TEXT(KALKULATION!D188,"0%")&amp;"), ")</f>
        <v/>
      </c>
      <c r="B737" s="1756"/>
      <c r="C737" s="1756"/>
      <c r="D737" s="1756"/>
      <c r="E737" s="1756"/>
      <c r="F737" s="1756"/>
      <c r="G737" s="1756"/>
      <c r="H737" s="1756"/>
      <c r="I737" s="1757"/>
    </row>
    <row r="738" spans="1:9" hidden="1" x14ac:dyDescent="0.5">
      <c r="A738" s="1755" t="str">
        <f>A733&amp;A734&amp;A735&amp;A736&amp;A737</f>
        <v xml:space="preserve">kleine Entfernungszul. (&gt;6Std) (100%), </v>
      </c>
      <c r="B738" s="1756"/>
      <c r="C738" s="1756"/>
      <c r="D738" s="1756"/>
      <c r="E738" s="1756"/>
      <c r="F738" s="1756"/>
      <c r="G738" s="1756"/>
      <c r="H738" s="1756"/>
      <c r="I738" s="1757"/>
    </row>
    <row r="739" spans="1:9" hidden="1" x14ac:dyDescent="0.5">
      <c r="A739" s="1755">
        <f>LEN(A738)</f>
        <v>39</v>
      </c>
      <c r="B739" s="1756"/>
      <c r="C739" s="1756"/>
      <c r="D739" s="1756"/>
      <c r="E739" s="1756"/>
      <c r="F739" s="1756"/>
      <c r="G739" s="1756"/>
      <c r="H739" s="1756"/>
      <c r="I739" s="1757"/>
    </row>
    <row r="740" spans="1:9" hidden="1" x14ac:dyDescent="0.5">
      <c r="A740" s="1758" t="str">
        <f>IF(A739&gt;0,MID(A738,1,A739-2),"")</f>
        <v>kleine Entfernungszul. (&gt;6Std) (100%)</v>
      </c>
      <c r="B740" s="1756"/>
      <c r="C740" s="1756"/>
      <c r="D740" s="1756"/>
      <c r="E740" s="1756"/>
      <c r="F740" s="1756"/>
      <c r="G740" s="1756"/>
      <c r="H740" s="1756"/>
      <c r="I740" s="1757"/>
    </row>
    <row r="741" spans="1:9" hidden="1" x14ac:dyDescent="0.5">
      <c r="A741" s="1755" t="s">
        <v>367</v>
      </c>
      <c r="B741" s="1756"/>
      <c r="C741" s="1759"/>
      <c r="D741" s="1760">
        <f ca="1">KALKULATION!G189</f>
        <v>58.55</v>
      </c>
      <c r="E741" s="1760">
        <f ca="1">KALKULATION!H189</f>
        <v>0</v>
      </c>
      <c r="F741" s="1756"/>
      <c r="G741" s="1756"/>
      <c r="H741" s="1756"/>
      <c r="I741" s="1757"/>
    </row>
    <row r="742" spans="1:9" hidden="1" x14ac:dyDescent="0.5">
      <c r="A742" s="3054"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[kleine Entfernungszul. (&gt;6Std) (100%)] berücksichtigt (E2). Daraus ergeben sich Kosten pro Woche in Hv 0,00€ (abgabepflichtig) bzw 58,55€ (abgabefrei). </v>
      </c>
      <c r="B742" s="3055"/>
      <c r="C742" s="3055"/>
      <c r="D742" s="3055"/>
      <c r="E742" s="3055"/>
      <c r="F742" s="3055"/>
      <c r="G742" s="3055"/>
      <c r="H742" s="3055"/>
      <c r="I742" s="3056"/>
    </row>
    <row r="743" spans="1:9" hidden="1" x14ac:dyDescent="0.5">
      <c r="A743" s="3054"/>
      <c r="B743" s="3055"/>
      <c r="C743" s="3055"/>
      <c r="D743" s="3055"/>
      <c r="E743" s="3055"/>
      <c r="F743" s="3055"/>
      <c r="G743" s="3055"/>
      <c r="H743" s="3055"/>
      <c r="I743" s="3056"/>
    </row>
    <row r="744" spans="1:9" hidden="1" x14ac:dyDescent="0.5">
      <c r="A744" s="3054"/>
      <c r="B744" s="3055"/>
      <c r="C744" s="3055"/>
      <c r="D744" s="3055"/>
      <c r="E744" s="3055"/>
      <c r="F744" s="3055"/>
      <c r="G744" s="3055"/>
      <c r="H744" s="3055"/>
      <c r="I744" s="3056"/>
    </row>
    <row r="745" spans="1:9" hidden="1" x14ac:dyDescent="0.5">
      <c r="A745" s="1755"/>
      <c r="B745" s="1756"/>
      <c r="C745" s="1759"/>
      <c r="D745" s="1760"/>
      <c r="E745" s="1760"/>
      <c r="F745" s="1756"/>
      <c r="G745" s="1756"/>
      <c r="H745" s="1756"/>
      <c r="I745" s="1757"/>
    </row>
    <row r="746" spans="1:9" hidden="1" x14ac:dyDescent="0.5">
      <c r="A746" s="1761" t="s">
        <v>366</v>
      </c>
      <c r="B746" s="1762"/>
      <c r="C746" s="1762"/>
      <c r="D746" s="1762"/>
      <c r="E746" s="1762"/>
      <c r="F746" s="1762"/>
      <c r="G746" s="1762"/>
      <c r="H746" s="1762"/>
      <c r="I746" s="1763"/>
    </row>
    <row r="747" spans="1:9" hidden="1" x14ac:dyDescent="0.5">
      <c r="A747" s="1764" t="str">
        <f>IF(KALKULATION!A195="","",KALKULATION!A195&amp;" ("&amp;TEXT(KALKULATION!D195,"0%")&amp;"), ")</f>
        <v/>
      </c>
      <c r="B747" s="1765"/>
      <c r="C747" s="1765"/>
      <c r="D747" s="1765"/>
      <c r="E747" s="1765"/>
      <c r="F747" s="1765"/>
      <c r="G747" s="1765"/>
      <c r="H747" s="1765"/>
      <c r="I747" s="1766"/>
    </row>
    <row r="748" spans="1:9" hidden="1" x14ac:dyDescent="0.5">
      <c r="A748" s="1764" t="str">
        <f>IF(KALKULATION!A196="","",KALKULATION!A196&amp;" ("&amp;TEXT(KALKULATION!D196,"0%")&amp;"), ")</f>
        <v/>
      </c>
      <c r="B748" s="1765"/>
      <c r="C748" s="1765"/>
      <c r="D748" s="1765"/>
      <c r="E748" s="1765"/>
      <c r="F748" s="1765"/>
      <c r="G748" s="1765"/>
      <c r="H748" s="1765"/>
      <c r="I748" s="1766"/>
    </row>
    <row r="749" spans="1:9" hidden="1" x14ac:dyDescent="0.5">
      <c r="A749" s="1764" t="str">
        <f>IF(KALKULATION!A197="","",KALKULATION!A197&amp;" ("&amp;TEXT(KALKULATION!D197,"0%")&amp;"), ")</f>
        <v/>
      </c>
      <c r="B749" s="1765"/>
      <c r="C749" s="1765"/>
      <c r="D749" s="1765"/>
      <c r="E749" s="1765"/>
      <c r="F749" s="1765"/>
      <c r="G749" s="1765"/>
      <c r="H749" s="1765"/>
      <c r="I749" s="1766"/>
    </row>
    <row r="750" spans="1:9" hidden="1" x14ac:dyDescent="0.5">
      <c r="A750" s="1764" t="str">
        <f>IF(KALKULATION!A198="","",KALKULATION!A198&amp;" ("&amp;TEXT(KALKULATION!D198,"0%")&amp;"), ")</f>
        <v/>
      </c>
      <c r="B750" s="1765"/>
      <c r="C750" s="1765"/>
      <c r="D750" s="1765"/>
      <c r="E750" s="1765"/>
      <c r="F750" s="1765"/>
      <c r="G750" s="1765"/>
      <c r="H750" s="1765"/>
      <c r="I750" s="1766"/>
    </row>
    <row r="751" spans="1:9" hidden="1" x14ac:dyDescent="0.5">
      <c r="A751" s="1764" t="str">
        <f>IF(KALKULATION!A199="","",KALKULATION!A199&amp;" ("&amp;TEXT(KALKULATION!D199,"0%")&amp;"), ")</f>
        <v/>
      </c>
      <c r="B751" s="1765"/>
      <c r="C751" s="1765"/>
      <c r="D751" s="1765"/>
      <c r="E751" s="1765"/>
      <c r="F751" s="1765"/>
      <c r="G751" s="1765"/>
      <c r="H751" s="1765"/>
      <c r="I751" s="1766"/>
    </row>
    <row r="752" spans="1:9" hidden="1" x14ac:dyDescent="0.5">
      <c r="A752" s="1764" t="str">
        <f>A747&amp;A748&amp;A749&amp;A750&amp;A751</f>
        <v/>
      </c>
      <c r="B752" s="1765"/>
      <c r="C752" s="1765"/>
      <c r="D752" s="1765"/>
      <c r="E752" s="1765"/>
      <c r="F752" s="1765"/>
      <c r="G752" s="1765"/>
      <c r="H752" s="1765"/>
      <c r="I752" s="1766"/>
    </row>
    <row r="753" spans="1:9" hidden="1" x14ac:dyDescent="0.5">
      <c r="A753" s="1764">
        <f>LEN(A752)</f>
        <v>0</v>
      </c>
      <c r="B753" s="1765"/>
      <c r="C753" s="1765"/>
      <c r="D753" s="1765"/>
      <c r="E753" s="1765"/>
      <c r="F753" s="1765"/>
      <c r="G753" s="1765"/>
      <c r="H753" s="1765"/>
      <c r="I753" s="1766"/>
    </row>
    <row r="754" spans="1:9" hidden="1" x14ac:dyDescent="0.5">
      <c r="A754" s="1758" t="str">
        <f>IF(A753&gt;0,MID(A752,1,A753-2),"")</f>
        <v/>
      </c>
      <c r="B754" s="1765"/>
      <c r="C754" s="1765"/>
      <c r="D754" s="1765"/>
      <c r="E754" s="1765"/>
      <c r="F754" s="1765"/>
      <c r="G754" s="1765"/>
      <c r="H754" s="1765"/>
      <c r="I754" s="1766"/>
    </row>
    <row r="755" spans="1:9" hidden="1" x14ac:dyDescent="0.5">
      <c r="A755" s="1767" t="s">
        <v>367</v>
      </c>
      <c r="B755" s="1768"/>
      <c r="C755" s="1769"/>
      <c r="D755" s="1770">
        <f ca="1">KALKULATION!G200</f>
        <v>0</v>
      </c>
      <c r="E755" s="1770">
        <f ca="1">KALKULATION!H200</f>
        <v>0</v>
      </c>
      <c r="F755" s="1768"/>
      <c r="G755" s="1768"/>
      <c r="H755" s="1768"/>
      <c r="I755" s="1771"/>
    </row>
    <row r="756" spans="1:9" hidden="1" x14ac:dyDescent="0.5">
      <c r="A756" s="3054"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55"/>
      <c r="C756" s="3055"/>
      <c r="D756" s="3055"/>
      <c r="E756" s="3055"/>
      <c r="F756" s="3055"/>
      <c r="G756" s="3055"/>
      <c r="H756" s="3055"/>
      <c r="I756" s="3056"/>
    </row>
    <row r="757" spans="1:9" hidden="1" x14ac:dyDescent="0.5">
      <c r="A757" s="3054"/>
      <c r="B757" s="3055"/>
      <c r="C757" s="3055"/>
      <c r="D757" s="3055"/>
      <c r="E757" s="3055"/>
      <c r="F757" s="3055"/>
      <c r="G757" s="3055"/>
      <c r="H757" s="3055"/>
      <c r="I757" s="3056"/>
    </row>
    <row r="758" spans="1:9" hidden="1" x14ac:dyDescent="0.5">
      <c r="A758" s="3054"/>
      <c r="B758" s="3055"/>
      <c r="C758" s="3055"/>
      <c r="D758" s="3055"/>
      <c r="E758" s="3055"/>
      <c r="F758" s="3055"/>
      <c r="G758" s="3055"/>
      <c r="H758" s="3055"/>
      <c r="I758" s="3056"/>
    </row>
    <row r="759" spans="1:9" hidden="1" x14ac:dyDescent="0.5">
      <c r="A759" s="3054"/>
      <c r="B759" s="3055"/>
      <c r="C759" s="3055"/>
      <c r="D759" s="3055"/>
      <c r="E759" s="3055"/>
      <c r="F759" s="3055"/>
      <c r="G759" s="3055"/>
      <c r="H759" s="3055"/>
      <c r="I759" s="3056"/>
    </row>
    <row r="760" spans="1:9" hidden="1" x14ac:dyDescent="0.5">
      <c r="A760" s="1767"/>
      <c r="B760" s="1765"/>
      <c r="C760" s="1772"/>
      <c r="D760" s="1773"/>
      <c r="E760" s="1773"/>
      <c r="F760" s="1765"/>
      <c r="G760" s="1765"/>
      <c r="H760" s="1765"/>
      <c r="I760" s="1766"/>
    </row>
    <row r="761" spans="1:9" hidden="1" x14ac:dyDescent="0.5">
      <c r="A761" s="1774" t="s">
        <v>368</v>
      </c>
      <c r="B761" s="1756"/>
      <c r="C761" s="1756"/>
      <c r="D761" s="1756"/>
      <c r="E761" s="1756"/>
      <c r="F761" s="1756"/>
      <c r="G761" s="1756"/>
      <c r="H761" s="1756"/>
      <c r="I761" s="1757"/>
    </row>
    <row r="762" spans="1:9" hidden="1" x14ac:dyDescent="0.5">
      <c r="A762" s="1755" t="str">
        <f>IF(KALKULATION!A208="","",TEXT(KALKULATION!A208,"0,00")&amp;" Verrechnungsstunde(n) pro Tag ("&amp;TEXT(KALKULATION!C208,"0%")&amp;") ")</f>
        <v xml:space="preserve">1,00 Verrechnungsstunde(n) pro Tag (75%) </v>
      </c>
      <c r="B762" s="1756"/>
      <c r="C762" s="1756"/>
      <c r="D762" s="1756"/>
      <c r="E762" s="1756"/>
      <c r="F762" s="1756"/>
      <c r="G762" s="1756"/>
      <c r="H762" s="1756"/>
      <c r="I762" s="1757"/>
    </row>
    <row r="763" spans="1:9" hidden="1" x14ac:dyDescent="0.5">
      <c r="A763" s="1755" t="s">
        <v>367</v>
      </c>
      <c r="B763" s="1756"/>
      <c r="C763" s="1759"/>
      <c r="D763" s="1775" t="str">
        <f>KALKULATION!G209</f>
        <v/>
      </c>
      <c r="E763" s="1776">
        <f ca="1">KALKULATION!H209</f>
        <v>76.13</v>
      </c>
      <c r="F763" s="1777" t="str">
        <f>KALKULATION!G207</f>
        <v>abgabepflichtig</v>
      </c>
      <c r="G763" s="1756"/>
      <c r="H763" s="1756"/>
      <c r="I763" s="1757"/>
    </row>
    <row r="764" spans="1:9" hidden="1" x14ac:dyDescent="0.5">
      <c r="A764" s="3054"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(75%) ] berücksichtigt (E4). Daraus ergeben sich Kosten pro Woche in Hv 76,13€ (abgabepflichtig). </v>
      </c>
      <c r="B764" s="3055"/>
      <c r="C764" s="3055"/>
      <c r="D764" s="3055"/>
      <c r="E764" s="3055"/>
      <c r="F764" s="3055"/>
      <c r="G764" s="3055"/>
      <c r="H764" s="3055"/>
      <c r="I764" s="3056"/>
    </row>
    <row r="765" spans="1:9" hidden="1" x14ac:dyDescent="0.5">
      <c r="A765" s="3054"/>
      <c r="B765" s="3055"/>
      <c r="C765" s="3055"/>
      <c r="D765" s="3055"/>
      <c r="E765" s="3055"/>
      <c r="F765" s="3055"/>
      <c r="G765" s="3055"/>
      <c r="H765" s="3055"/>
      <c r="I765" s="3056"/>
    </row>
    <row r="766" spans="1:9" hidden="1" x14ac:dyDescent="0.5">
      <c r="A766" s="3054"/>
      <c r="B766" s="3055"/>
      <c r="C766" s="3055"/>
      <c r="D766" s="3055"/>
      <c r="E766" s="3055"/>
      <c r="F766" s="3055"/>
      <c r="G766" s="3055"/>
      <c r="H766" s="3055"/>
      <c r="I766" s="3056"/>
    </row>
    <row r="767" spans="1:9" hidden="1" x14ac:dyDescent="0.5">
      <c r="A767" s="1778"/>
      <c r="B767" s="1778"/>
      <c r="C767" s="1778"/>
      <c r="D767" s="1778"/>
      <c r="E767" s="1778"/>
      <c r="F767" s="1778"/>
      <c r="G767" s="1778"/>
      <c r="H767" s="1778"/>
      <c r="I767" s="1779"/>
    </row>
    <row r="768" spans="1:9" hidden="1" x14ac:dyDescent="0.5">
      <c r="A768" s="1780" t="s">
        <v>369</v>
      </c>
      <c r="B768" s="1781"/>
      <c r="C768" s="1781"/>
      <c r="D768" s="1781"/>
      <c r="E768" s="1781"/>
      <c r="F768" s="1781"/>
      <c r="G768" s="1781"/>
      <c r="H768" s="1781"/>
      <c r="I768" s="1782"/>
    </row>
    <row r="769" spans="1:9" hidden="1" x14ac:dyDescent="0.5">
      <c r="A769" s="3054" t="str">
        <f>IFERROR(IF(SUM(KALKULATION!G214:H214)&lt;&gt;0,"
-- An SONSTIGEM ENTGELT sind für ["&amp;KALKULATION!A214&amp;"] Kosten pro Woche in Hv "&amp;TEXT(KALKULATION!H214,"0,00€")&amp;" (abgabepflichtig)  bzw "&amp;TEXT(KALKULATION!G214,"0,00€")&amp;" (abgabefrei) berücksichtigt (C4.b). ",""),$K$6)</f>
        <v/>
      </c>
      <c r="B769" s="3055"/>
      <c r="C769" s="3055"/>
      <c r="D769" s="3055"/>
      <c r="E769" s="3055"/>
      <c r="F769" s="3055"/>
      <c r="G769" s="3055"/>
      <c r="H769" s="3055"/>
      <c r="I769" s="3056"/>
    </row>
    <row r="770" spans="1:9" hidden="1" x14ac:dyDescent="0.5">
      <c r="A770" s="3054"/>
      <c r="B770" s="3055"/>
      <c r="C770" s="3055"/>
      <c r="D770" s="3055"/>
      <c r="E770" s="3055"/>
      <c r="F770" s="3055"/>
      <c r="G770" s="3055"/>
      <c r="H770" s="3055"/>
      <c r="I770" s="3056"/>
    </row>
    <row r="771" spans="1:9" hidden="1" x14ac:dyDescent="0.5">
      <c r="A771" s="3054"/>
      <c r="B771" s="3055"/>
      <c r="C771" s="3055"/>
      <c r="D771" s="3055"/>
      <c r="E771" s="3055"/>
      <c r="F771" s="3055"/>
      <c r="G771" s="3055"/>
      <c r="H771" s="3055"/>
      <c r="I771" s="3056"/>
    </row>
    <row r="772" spans="1:9" hidden="1" x14ac:dyDescent="0.5">
      <c r="A772" s="1781"/>
      <c r="B772" s="1781"/>
      <c r="C772" s="1781"/>
      <c r="D772" s="1781"/>
      <c r="E772" s="1781"/>
      <c r="F772" s="1781"/>
      <c r="G772" s="1781"/>
      <c r="H772" s="1781"/>
      <c r="I772" s="1782"/>
    </row>
    <row r="773" spans="1:9" hidden="1" x14ac:dyDescent="0.5">
      <c r="A773" s="1783"/>
      <c r="B773" s="1569"/>
      <c r="C773" s="1569"/>
      <c r="D773" s="1569"/>
      <c r="E773" s="1569"/>
      <c r="F773" s="1569"/>
      <c r="G773" s="1569"/>
      <c r="H773" s="1569"/>
      <c r="I773" s="1615"/>
    </row>
    <row r="774" spans="1:9" hidden="1" x14ac:dyDescent="0.5">
      <c r="A774" s="1569"/>
      <c r="B774" s="1569"/>
      <c r="C774" s="1569"/>
      <c r="D774" s="1569"/>
      <c r="E774" s="1569"/>
      <c r="F774" s="1569"/>
      <c r="G774" s="1569"/>
      <c r="H774" s="1569"/>
      <c r="I774" s="1615"/>
    </row>
    <row r="775" spans="1:9" ht="15.75" hidden="1" customHeight="1" x14ac:dyDescent="0.5">
      <c r="A775" s="3057"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STUNDE ist/sind [Montagezulage (100%)] berücksichtigt (E1). Daraus ergeben sich Kosten pro Woche in Hv 45,20€ (abgabepflichtig) bzw 0,00€ (abgabefrei). 
-- An Entschädigungen mit ANSPRUCH PRO TAG ist/sind [kleine Entfernungszul. (&gt;6Std) (100%)] berücksichtigt (E2). Daraus ergeben sich Kosten pro Woche in Hv 0,00€ (abgabepflichtig) bzw 58,55€ (abgabefrei). 
-- An zusätzlichen VERRECHNUNGSSTUNDEN ist/sind [1,00 Verrechnungsstunde(n) pro Tag (75%) ] berücksichtigt (E4). Daraus ergeben sich Kosten pro Woche in Hv 76,13€ (abgabepflichtig). </v>
      </c>
      <c r="B775" s="3058"/>
      <c r="C775" s="3058"/>
      <c r="D775" s="3058"/>
      <c r="E775" s="3058"/>
      <c r="F775" s="3058"/>
      <c r="G775" s="3058"/>
      <c r="H775" s="3058"/>
      <c r="I775" s="3059"/>
    </row>
    <row r="776" spans="1:9" hidden="1" x14ac:dyDescent="0.5">
      <c r="A776" s="3060"/>
      <c r="B776" s="3061"/>
      <c r="C776" s="3061"/>
      <c r="D776" s="3061"/>
      <c r="E776" s="3061"/>
      <c r="F776" s="3061"/>
      <c r="G776" s="3061"/>
      <c r="H776" s="3061"/>
      <c r="I776" s="3062"/>
    </row>
    <row r="777" spans="1:9" hidden="1" x14ac:dyDescent="0.5">
      <c r="A777" s="3060"/>
      <c r="B777" s="3061"/>
      <c r="C777" s="3061"/>
      <c r="D777" s="3061"/>
      <c r="E777" s="3061"/>
      <c r="F777" s="3061"/>
      <c r="G777" s="3061"/>
      <c r="H777" s="3061"/>
      <c r="I777" s="3062"/>
    </row>
    <row r="778" spans="1:9" hidden="1" x14ac:dyDescent="0.5">
      <c r="A778" s="3060"/>
      <c r="B778" s="3061"/>
      <c r="C778" s="3061"/>
      <c r="D778" s="3061"/>
      <c r="E778" s="3061"/>
      <c r="F778" s="3061"/>
      <c r="G778" s="3061"/>
      <c r="H778" s="3061"/>
      <c r="I778" s="3062"/>
    </row>
    <row r="779" spans="1:9" hidden="1" x14ac:dyDescent="0.5">
      <c r="A779" s="3060"/>
      <c r="B779" s="3061"/>
      <c r="C779" s="3061"/>
      <c r="D779" s="3061"/>
      <c r="E779" s="3061"/>
      <c r="F779" s="3061"/>
      <c r="G779" s="3061"/>
      <c r="H779" s="3061"/>
      <c r="I779" s="3062"/>
    </row>
    <row r="780" spans="1:9" hidden="1" x14ac:dyDescent="0.5">
      <c r="A780" s="3060"/>
      <c r="B780" s="3061"/>
      <c r="C780" s="3061"/>
      <c r="D780" s="3061"/>
      <c r="E780" s="3061"/>
      <c r="F780" s="3061"/>
      <c r="G780" s="3061"/>
      <c r="H780" s="3061"/>
      <c r="I780" s="3062"/>
    </row>
    <row r="781" spans="1:9" hidden="1" x14ac:dyDescent="0.5">
      <c r="A781" s="3060"/>
      <c r="B781" s="3061"/>
      <c r="C781" s="3061"/>
      <c r="D781" s="3061"/>
      <c r="E781" s="3061"/>
      <c r="F781" s="3061"/>
      <c r="G781" s="3061"/>
      <c r="H781" s="3061"/>
      <c r="I781" s="3062"/>
    </row>
    <row r="782" spans="1:9" hidden="1" x14ac:dyDescent="0.5">
      <c r="A782" s="3060"/>
      <c r="B782" s="3061"/>
      <c r="C782" s="3061"/>
      <c r="D782" s="3061"/>
      <c r="E782" s="3061"/>
      <c r="F782" s="3061"/>
      <c r="G782" s="3061"/>
      <c r="H782" s="3061"/>
      <c r="I782" s="3062"/>
    </row>
    <row r="783" spans="1:9" hidden="1" x14ac:dyDescent="0.5">
      <c r="A783" s="3060"/>
      <c r="B783" s="3061"/>
      <c r="C783" s="3061"/>
      <c r="D783" s="3061"/>
      <c r="E783" s="3061"/>
      <c r="F783" s="3061"/>
      <c r="G783" s="3061"/>
      <c r="H783" s="3061"/>
      <c r="I783" s="3062"/>
    </row>
    <row r="784" spans="1:9" hidden="1" x14ac:dyDescent="0.5">
      <c r="A784" s="3060"/>
      <c r="B784" s="3061"/>
      <c r="C784" s="3061"/>
      <c r="D784" s="3061"/>
      <c r="E784" s="3061"/>
      <c r="F784" s="3061"/>
      <c r="G784" s="3061"/>
      <c r="H784" s="3061"/>
      <c r="I784" s="3062"/>
    </row>
    <row r="785" spans="1:9" hidden="1" x14ac:dyDescent="0.5">
      <c r="A785" s="3060"/>
      <c r="B785" s="3061"/>
      <c r="C785" s="3061"/>
      <c r="D785" s="3061"/>
      <c r="E785" s="3061"/>
      <c r="F785" s="3061"/>
      <c r="G785" s="3061"/>
      <c r="H785" s="3061"/>
      <c r="I785" s="3062"/>
    </row>
    <row r="786" spans="1:9" hidden="1" x14ac:dyDescent="0.5">
      <c r="A786" s="3060"/>
      <c r="B786" s="3061"/>
      <c r="C786" s="3061"/>
      <c r="D786" s="3061"/>
      <c r="E786" s="3061"/>
      <c r="F786" s="3061"/>
      <c r="G786" s="3061"/>
      <c r="H786" s="3061"/>
      <c r="I786" s="3062"/>
    </row>
    <row r="787" spans="1:9" hidden="1" x14ac:dyDescent="0.5">
      <c r="A787" s="3060"/>
      <c r="B787" s="3061"/>
      <c r="C787" s="3061"/>
      <c r="D787" s="3061"/>
      <c r="E787" s="3061"/>
      <c r="F787" s="3061"/>
      <c r="G787" s="3061"/>
      <c r="H787" s="3061"/>
      <c r="I787" s="3062"/>
    </row>
    <row r="788" spans="1:9" hidden="1" x14ac:dyDescent="0.5">
      <c r="A788" s="3063"/>
      <c r="B788" s="3064"/>
      <c r="C788" s="3064"/>
      <c r="D788" s="3064"/>
      <c r="E788" s="3064"/>
      <c r="F788" s="3064"/>
      <c r="G788" s="3064"/>
      <c r="H788" s="3064"/>
      <c r="I788" s="3065"/>
    </row>
    <row r="789" spans="1:9" hidden="1" x14ac:dyDescent="0.5">
      <c r="A789" s="1506"/>
      <c r="B789" s="1506"/>
      <c r="C789" s="1506"/>
      <c r="D789" s="1506"/>
      <c r="E789" s="1506"/>
      <c r="F789" s="1506"/>
      <c r="G789" s="1506"/>
      <c r="H789" s="1506"/>
      <c r="I789" s="1784"/>
    </row>
    <row r="790" spans="1:9" hidden="1" x14ac:dyDescent="0.5">
      <c r="A790" s="3057" t="str">
        <f ca="1">IFERROR(IF(KALKULATION!F221&lt;&gt;0,"
Für unproduktive Zeiten ist ein Zuschlag in Hv "&amp;TEXT(KALKULATION!F221,"0,00%")&amp;" berücksichtigt (nähere Erläuterungen in E6.a). ",""),$K$6)</f>
        <v xml:space="preserve">
Für unproduktive Zeiten ist ein Zuschlag in Hv 2,56% berücksichtigt (nähere Erläuterungen in E6.a). </v>
      </c>
      <c r="B790" s="3058"/>
      <c r="C790" s="3058"/>
      <c r="D790" s="3058"/>
      <c r="E790" s="3058"/>
      <c r="F790" s="3058"/>
      <c r="G790" s="3058"/>
      <c r="H790" s="3058"/>
      <c r="I790" s="3059"/>
    </row>
    <row r="791" spans="1:9" hidden="1" x14ac:dyDescent="0.5">
      <c r="A791" s="3060"/>
      <c r="B791" s="3061"/>
      <c r="C791" s="3061"/>
      <c r="D791" s="3061"/>
      <c r="E791" s="3061"/>
      <c r="F791" s="3061"/>
      <c r="G791" s="3061"/>
      <c r="H791" s="3061"/>
      <c r="I791" s="3062"/>
    </row>
    <row r="792" spans="1:9" hidden="1" x14ac:dyDescent="0.5">
      <c r="A792" s="3063"/>
      <c r="B792" s="3064"/>
      <c r="C792" s="3064"/>
      <c r="D792" s="3064"/>
      <c r="E792" s="3064"/>
      <c r="F792" s="3064"/>
      <c r="G792" s="3064"/>
      <c r="H792" s="3064"/>
      <c r="I792" s="3065"/>
    </row>
    <row r="793" spans="1:9" hidden="1" x14ac:dyDescent="0.5">
      <c r="A793" s="1506"/>
      <c r="B793" s="1506"/>
      <c r="C793" s="1506"/>
      <c r="D793" s="1506"/>
      <c r="E793" s="1506"/>
      <c r="F793" s="1506"/>
      <c r="G793" s="1506"/>
      <c r="H793" s="1506"/>
      <c r="I793" s="1784"/>
    </row>
    <row r="794" spans="1:9" hidden="1" x14ac:dyDescent="0.5">
      <c r="A794" s="1569"/>
      <c r="B794" s="1569"/>
      <c r="C794" s="1569"/>
      <c r="D794" s="1569"/>
      <c r="E794" s="1569"/>
      <c r="F794" s="1569"/>
      <c r="G794" s="1569"/>
      <c r="H794" s="1569"/>
      <c r="I794" s="1615"/>
    </row>
    <row r="795" spans="1:9" hidden="1" x14ac:dyDescent="0.5">
      <c r="A795" s="3057"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Wegen Ausfallzeit bei Schlechtwetter sind die Berechnungsergebnisse um 5,00% erhöht (E6.b). </v>
      </c>
      <c r="B795" s="3058"/>
      <c r="C795" s="3058"/>
      <c r="D795" s="3058"/>
      <c r="E795" s="3058"/>
      <c r="F795" s="3058"/>
      <c r="G795" s="3058"/>
      <c r="H795" s="3058"/>
      <c r="I795" s="3059"/>
    </row>
    <row r="796" spans="1:9" hidden="1" x14ac:dyDescent="0.5">
      <c r="A796" s="3060"/>
      <c r="B796" s="3061"/>
      <c r="C796" s="3061"/>
      <c r="D796" s="3061"/>
      <c r="E796" s="3061"/>
      <c r="F796" s="3061"/>
      <c r="G796" s="3061"/>
      <c r="H796" s="3061"/>
      <c r="I796" s="3062"/>
    </row>
    <row r="797" spans="1:9" hidden="1" x14ac:dyDescent="0.5">
      <c r="A797" s="3063"/>
      <c r="B797" s="3064"/>
      <c r="C797" s="3064"/>
      <c r="D797" s="3064"/>
      <c r="E797" s="3064"/>
      <c r="F797" s="3064"/>
      <c r="G797" s="3064"/>
      <c r="H797" s="3064"/>
      <c r="I797" s="3065"/>
    </row>
    <row r="798" spans="1:9" hidden="1" x14ac:dyDescent="0.5">
      <c r="A798" s="1569"/>
      <c r="B798" s="1569"/>
      <c r="C798" s="1569"/>
      <c r="D798" s="1569"/>
      <c r="E798" s="1569"/>
      <c r="F798" s="1569"/>
      <c r="G798" s="1569"/>
      <c r="H798" s="1569"/>
      <c r="I798" s="1615"/>
    </row>
    <row r="799" spans="1:9" ht="15.75" hidden="1" customHeight="1" x14ac:dyDescent="0.5">
      <c r="A799" s="3068"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69"/>
      <c r="C799" s="3069"/>
      <c r="D799" s="3069"/>
      <c r="E799" s="3069"/>
      <c r="F799" s="3069"/>
      <c r="G799" s="3069"/>
      <c r="H799" s="3069"/>
      <c r="I799" s="3070"/>
    </row>
    <row r="800" spans="1:9" hidden="1" x14ac:dyDescent="0.5">
      <c r="A800" s="3066"/>
      <c r="B800" s="3053"/>
      <c r="C800" s="3053"/>
      <c r="D800" s="3053"/>
      <c r="E800" s="3053"/>
      <c r="F800" s="3053"/>
      <c r="G800" s="3053"/>
      <c r="H800" s="3053"/>
      <c r="I800" s="3067"/>
    </row>
    <row r="801" spans="1:9" hidden="1" x14ac:dyDescent="0.5">
      <c r="A801" s="3066"/>
      <c r="B801" s="3053"/>
      <c r="C801" s="3053"/>
      <c r="D801" s="3053"/>
      <c r="E801" s="3053"/>
      <c r="F801" s="3053"/>
      <c r="G801" s="3053"/>
      <c r="H801" s="3053"/>
      <c r="I801" s="3067"/>
    </row>
    <row r="802" spans="1:9" hidden="1" x14ac:dyDescent="0.5">
      <c r="A802" s="3071"/>
      <c r="B802" s="3072"/>
      <c r="C802" s="3072"/>
      <c r="D802" s="3072"/>
      <c r="E802" s="3072"/>
      <c r="F802" s="3072"/>
      <c r="G802" s="3072"/>
      <c r="H802" s="3072"/>
      <c r="I802" s="3073"/>
    </row>
    <row r="803" spans="1:9" hidden="1" x14ac:dyDescent="0.5">
      <c r="A803" s="1569"/>
      <c r="B803" s="1569"/>
      <c r="C803" s="1569"/>
      <c r="D803" s="1569"/>
      <c r="E803" s="1569"/>
      <c r="F803" s="1569"/>
      <c r="G803" s="1569"/>
      <c r="H803" s="1569"/>
      <c r="I803" s="1615"/>
    </row>
    <row r="804" spans="1:9" hidden="1" x14ac:dyDescent="0.5">
      <c r="A804" s="1709" t="s">
        <v>468</v>
      </c>
      <c r="B804" s="1682"/>
      <c r="C804" s="1710"/>
      <c r="D804" s="1710" t="s">
        <v>472</v>
      </c>
      <c r="E804" s="1713">
        <f ca="1">' K3 PP'!O27</f>
        <v>3.3</v>
      </c>
      <c r="F804" s="1710"/>
      <c r="G804" s="1710" t="s">
        <v>473</v>
      </c>
      <c r="H804" s="1710">
        <f ca="1">' K3 PP'!O29</f>
        <v>1.6</v>
      </c>
      <c r="I804" s="1711"/>
    </row>
    <row r="805" spans="1:9" hidden="1" x14ac:dyDescent="0.5">
      <c r="A805" s="1712"/>
      <c r="B805" s="1713">
        <f ca="1">' K3 PP'!$O$28</f>
        <v>25.23</v>
      </c>
      <c r="C805" s="1675"/>
      <c r="D805" s="1675"/>
      <c r="E805" s="1675"/>
      <c r="H805" s="1675"/>
      <c r="I805" s="1676"/>
    </row>
    <row r="806" spans="1:9" hidden="1" x14ac:dyDescent="0.5">
      <c r="A806" s="1712"/>
      <c r="B806" s="1713">
        <f ca="1">' K3 PP'!$O$39</f>
        <v>56.83</v>
      </c>
      <c r="C806" s="1714">
        <f ca="1">B806/B805</f>
        <v>2.25</v>
      </c>
      <c r="D806" s="1675" t="s">
        <v>469</v>
      </c>
      <c r="E806" s="1713">
        <f ca="1">E804*C806</f>
        <v>7.43</v>
      </c>
      <c r="H806" s="1675"/>
      <c r="I806" s="1676"/>
    </row>
    <row r="807" spans="1:9" hidden="1" x14ac:dyDescent="0.5">
      <c r="A807" s="1715"/>
      <c r="B807" s="1717">
        <f ca="1">' K3 PP'!$O$44</f>
        <v>72.739999999999995</v>
      </c>
      <c r="C807" s="1718">
        <f ca="1">B807/B805</f>
        <v>2.88</v>
      </c>
      <c r="D807" s="1716" t="s">
        <v>470</v>
      </c>
      <c r="E807" s="1717">
        <f ca="1">E804*C807</f>
        <v>9.5</v>
      </c>
      <c r="H807" s="1716"/>
      <c r="I807" s="1719"/>
    </row>
    <row r="808" spans="1:9" hidden="1" x14ac:dyDescent="0.5">
      <c r="A808" s="1569"/>
      <c r="B808" s="1569"/>
      <c r="C808" s="1569"/>
      <c r="D808" s="1569"/>
      <c r="E808" s="1569"/>
      <c r="F808" s="1569"/>
      <c r="G808" s="1569"/>
      <c r="H808" s="1569"/>
      <c r="I808" s="1615"/>
    </row>
    <row r="809" spans="1:9" hidden="1" x14ac:dyDescent="0.5">
      <c r="A809" s="1569"/>
      <c r="B809" s="1569"/>
      <c r="C809" s="1569"/>
      <c r="D809" s="1569"/>
      <c r="E809" s="1569"/>
      <c r="F809" s="1569"/>
      <c r="G809" s="1569"/>
      <c r="H809" s="1569"/>
      <c r="I809" s="1615"/>
    </row>
    <row r="810" spans="1:9" hidden="1" x14ac:dyDescent="0.5">
      <c r="A810" s="1569"/>
      <c r="B810" s="1569"/>
      <c r="C810" s="1569"/>
      <c r="D810" s="1569"/>
      <c r="E810" s="1569"/>
      <c r="F810" s="1569"/>
      <c r="G810" s="1569"/>
      <c r="H810" s="1569"/>
      <c r="I810" s="1615"/>
    </row>
    <row r="811" spans="1:9" hidden="1" x14ac:dyDescent="0.5">
      <c r="A811" s="1785" t="s">
        <v>238</v>
      </c>
      <c r="B811" s="1786"/>
      <c r="C811" s="1624"/>
      <c r="D811" s="1624"/>
      <c r="E811" s="1624"/>
      <c r="F811" s="1624"/>
      <c r="G811" s="1624"/>
      <c r="H811" s="1624"/>
      <c r="I811" s="1787"/>
    </row>
    <row r="812" spans="1:9" hidden="1" x14ac:dyDescent="0.5">
      <c r="A812" s="3057"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30,27% angegeben. (Informativer Hinweis: Dieser Wert wird regelmäßig einer Preisprüfung unterzogen, er sollte daher korrekt und erklärbar sein; ggf Kontrolle der Einzelwerte im Blatt STAMMDATEN bzw Änderungen in der QUELLDATEI [K3_EuM_Quelle.xlsx] Blatt DPNK vornehmen.) </v>
      </c>
      <c r="B812" s="3058"/>
      <c r="C812" s="3058"/>
      <c r="D812" s="3058"/>
      <c r="E812" s="3058"/>
      <c r="F812" s="3058"/>
      <c r="G812" s="3058"/>
      <c r="H812" s="3058"/>
      <c r="I812" s="3059"/>
    </row>
    <row r="813" spans="1:9" hidden="1" x14ac:dyDescent="0.5">
      <c r="A813" s="3060"/>
      <c r="B813" s="3061"/>
      <c r="C813" s="3061"/>
      <c r="D813" s="3061"/>
      <c r="E813" s="3061"/>
      <c r="F813" s="3061"/>
      <c r="G813" s="3061"/>
      <c r="H813" s="3061"/>
      <c r="I813" s="3062"/>
    </row>
    <row r="814" spans="1:9" hidden="1" x14ac:dyDescent="0.5">
      <c r="A814" s="3063"/>
      <c r="B814" s="3064"/>
      <c r="C814" s="3064"/>
      <c r="D814" s="3064"/>
      <c r="E814" s="3064"/>
      <c r="F814" s="3064"/>
      <c r="G814" s="3064"/>
      <c r="H814" s="3064"/>
      <c r="I814" s="3065"/>
    </row>
    <row r="815" spans="1:9" hidden="1" x14ac:dyDescent="0.5"/>
    <row r="816" spans="1:9" hidden="1" x14ac:dyDescent="0.5">
      <c r="A816" s="1788"/>
      <c r="B816" s="1789"/>
      <c r="C816" s="1790" t="s">
        <v>222</v>
      </c>
      <c r="D816" s="1791" t="s">
        <v>975</v>
      </c>
      <c r="E816" s="1790" t="s">
        <v>351</v>
      </c>
      <c r="F816" s="1790" t="s">
        <v>976</v>
      </c>
      <c r="G816" s="1790" t="s">
        <v>352</v>
      </c>
      <c r="H816" s="1792"/>
      <c r="I816" s="1793"/>
    </row>
    <row r="817" spans="1:9" hidden="1" x14ac:dyDescent="0.5">
      <c r="A817" s="1794"/>
      <c r="B817" s="1585"/>
      <c r="C817" s="1586">
        <f ca="1">Stammdaten!B134</f>
        <v>45658</v>
      </c>
      <c r="D817" s="1586">
        <f>D425</f>
        <v>45658</v>
      </c>
      <c r="E817" s="1586">
        <f ca="1">TODAY()</f>
        <v>45671</v>
      </c>
      <c r="F817" s="1585">
        <f ca="1">C817-D817</f>
        <v>0</v>
      </c>
      <c r="G817" s="1585">
        <f ca="1">C817-E817</f>
        <v>-13</v>
      </c>
      <c r="H817" s="1587"/>
      <c r="I817" s="1795"/>
    </row>
    <row r="818" spans="1:9" hidden="1" x14ac:dyDescent="0.5">
      <c r="A818" s="1794" t="str">
        <f ca="1">IF(F817&gt;0,TEXT(F817,"##0")&amp;" Tage in der Zukunft. ",TEXT(ABS(F817),"##0")&amp;" Tage zuvor. ")</f>
        <v xml:space="preserve">0 Tage zuvor. </v>
      </c>
      <c r="B818" s="1585"/>
      <c r="C818" s="1586"/>
      <c r="D818" s="1586"/>
      <c r="E818" s="1586"/>
      <c r="F818" s="743"/>
      <c r="G818" s="1588" t="str">
        <f ca="1">IF(G817&gt;0,TEXT(G817,"##0")&amp;" Tage in der Zukunft. ",TEXT(ABS(G817),"##0")&amp;" Tage zuvor. ")</f>
        <v xml:space="preserve">13 Tage zuvor. </v>
      </c>
      <c r="H818" s="1587"/>
      <c r="I818" s="1796"/>
    </row>
    <row r="819" spans="1:9" hidden="1" x14ac:dyDescent="0.5">
      <c r="A819" s="1797" t="str">
        <f ca="1">IF(OR(ABS(F817)&gt;360,ABS(G817)&gt;360)," Eine Differenz von mehr als 360 Tagen (ca 1 Jahr) wurde erkannt; bitte Aktualität prüfen!","")</f>
        <v/>
      </c>
      <c r="B819" s="1798"/>
      <c r="C819" s="1799"/>
      <c r="D819" s="1799"/>
      <c r="E819" s="1799"/>
      <c r="F819" s="1800"/>
      <c r="G819" s="1800"/>
      <c r="H819" s="1800"/>
      <c r="I819" s="1801"/>
    </row>
    <row r="820" spans="1:9" ht="15.75" hidden="1" customHeight="1" x14ac:dyDescent="0.5">
      <c r="A820" s="3069"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01.01.2025 versehen. In Bezug zum angegebenen Kalkulationsdatum liegt dieser Stichtag 0 Tage zuvor. Im Bezug zum heutigen Tag liegt der Stichtag 13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69"/>
      <c r="C820" s="3069"/>
      <c r="D820" s="3069"/>
      <c r="E820" s="3069"/>
      <c r="F820" s="3069"/>
      <c r="G820" s="3069"/>
      <c r="H820" s="3069"/>
      <c r="I820" s="3069"/>
    </row>
    <row r="821" spans="1:9" hidden="1" x14ac:dyDescent="0.5">
      <c r="A821" s="3053"/>
      <c r="B821" s="3053"/>
      <c r="C821" s="3053"/>
      <c r="D821" s="3053"/>
      <c r="E821" s="3053"/>
      <c r="F821" s="3053"/>
      <c r="G821" s="3053"/>
      <c r="H821" s="3053"/>
      <c r="I821" s="3053"/>
    </row>
    <row r="822" spans="1:9" hidden="1" x14ac:dyDescent="0.5">
      <c r="A822" s="3053"/>
      <c r="B822" s="3053"/>
      <c r="C822" s="3053"/>
      <c r="D822" s="3053"/>
      <c r="E822" s="3053"/>
      <c r="F822" s="3053"/>
      <c r="G822" s="3053"/>
      <c r="H822" s="3053"/>
      <c r="I822" s="3053"/>
    </row>
    <row r="823" spans="1:9" hidden="1" x14ac:dyDescent="0.5">
      <c r="A823" s="3053"/>
      <c r="B823" s="3053"/>
      <c r="C823" s="3053"/>
      <c r="D823" s="3053"/>
      <c r="E823" s="3053"/>
      <c r="F823" s="3053"/>
      <c r="G823" s="3053"/>
      <c r="H823" s="3053"/>
      <c r="I823" s="3053"/>
    </row>
    <row r="824" spans="1:9" hidden="1" x14ac:dyDescent="0.5">
      <c r="A824" s="3053"/>
      <c r="B824" s="3053"/>
      <c r="C824" s="3053"/>
      <c r="D824" s="3053"/>
      <c r="E824" s="3053"/>
      <c r="F824" s="3053"/>
      <c r="G824" s="3053"/>
      <c r="H824" s="3053"/>
      <c r="I824" s="3053"/>
    </row>
    <row r="825" spans="1:9" hidden="1" x14ac:dyDescent="0.5">
      <c r="A825" s="3053"/>
      <c r="B825" s="3053"/>
      <c r="C825" s="3053"/>
      <c r="D825" s="3053"/>
      <c r="E825" s="3053"/>
      <c r="F825" s="3053"/>
      <c r="G825" s="3053"/>
      <c r="H825" s="3053"/>
      <c r="I825" s="3053"/>
    </row>
    <row r="826" spans="1:9" hidden="1" x14ac:dyDescent="0.5">
      <c r="A826" s="3053"/>
      <c r="B826" s="3053"/>
      <c r="C826" s="3053"/>
      <c r="D826" s="3053"/>
      <c r="E826" s="3053"/>
      <c r="F826" s="3053"/>
      <c r="G826" s="3053"/>
      <c r="H826" s="3053"/>
      <c r="I826" s="3053"/>
    </row>
    <row r="827" spans="1:9" hidden="1" x14ac:dyDescent="0.5">
      <c r="A827" s="3072"/>
      <c r="B827" s="3072"/>
      <c r="C827" s="3072"/>
      <c r="D827" s="3072"/>
      <c r="E827" s="3072"/>
      <c r="F827" s="3072"/>
      <c r="G827" s="3072"/>
      <c r="H827" s="3072"/>
      <c r="I827" s="3072"/>
    </row>
    <row r="828" spans="1:9" hidden="1" x14ac:dyDescent="0.5">
      <c r="A828" s="1611"/>
      <c r="B828" s="1612"/>
      <c r="C828" s="1612"/>
      <c r="D828" s="1612"/>
      <c r="E828" s="1612"/>
      <c r="F828" s="1612"/>
      <c r="G828" s="1612"/>
      <c r="H828" s="1612"/>
      <c r="I828" s="1802"/>
    </row>
    <row r="829" spans="1:9" hidden="1" x14ac:dyDescent="0.5">
      <c r="A829" s="3114" t="str">
        <f>IFERROR(IF(KALKULATION!H235&lt;&gt;0,"Der Werte der DPNK aus den Stammdaten ist individuell um "&amp;TEXT(KALKULATION!H235,"0,00%")&amp;"-Punkte verändert (E1.b)! Es wäre besser, die Stamm-/Quelldaten zu ändern, als individuelle Anpassungen vorzunehmen. ",""),$K$6)</f>
        <v/>
      </c>
      <c r="B829" s="3115"/>
      <c r="C829" s="3115"/>
      <c r="D829" s="3115"/>
      <c r="E829" s="3115"/>
      <c r="F829" s="3115"/>
      <c r="G829" s="3115"/>
      <c r="H829" s="3115"/>
      <c r="I829" s="3116"/>
    </row>
    <row r="830" spans="1:9" hidden="1" x14ac:dyDescent="0.5">
      <c r="A830" s="1803"/>
      <c r="B830" s="1624"/>
      <c r="C830" s="1624"/>
      <c r="D830" s="1624"/>
      <c r="E830" s="1624"/>
      <c r="F830" s="1624"/>
      <c r="G830" s="1624"/>
      <c r="H830" s="1624"/>
      <c r="I830" s="1787"/>
    </row>
    <row r="831" spans="1:9" hidden="1" x14ac:dyDescent="0.5">
      <c r="A831" s="1803"/>
      <c r="B831" s="1624"/>
      <c r="C831" s="1624"/>
      <c r="D831" s="1624"/>
      <c r="E831" s="1624"/>
      <c r="F831" s="1624"/>
      <c r="G831" s="1624"/>
      <c r="H831" s="1624"/>
      <c r="I831" s="1787"/>
    </row>
    <row r="832" spans="1:9" hidden="1" x14ac:dyDescent="0.5">
      <c r="A832" s="3068"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66,00% angesetzt. Der Wert ergibt sich aus dem Blatt STAMMDATEN; dort ist er mit 83,63% angegeben. </v>
      </c>
      <c r="B832" s="3069"/>
      <c r="C832" s="3069"/>
      <c r="D832" s="3069"/>
      <c r="E832" s="3069"/>
      <c r="F832" s="3069"/>
      <c r="G832" s="3069"/>
      <c r="H832" s="3069"/>
      <c r="I832" s="3070"/>
    </row>
    <row r="833" spans="1:9" hidden="1" x14ac:dyDescent="0.5">
      <c r="A833" s="3066"/>
      <c r="B833" s="3053"/>
      <c r="C833" s="3053"/>
      <c r="D833" s="3053"/>
      <c r="E833" s="3053"/>
      <c r="F833" s="3053"/>
      <c r="G833" s="3053"/>
      <c r="H833" s="3053"/>
      <c r="I833" s="3067"/>
    </row>
    <row r="834" spans="1:9" hidden="1" x14ac:dyDescent="0.5">
      <c r="A834" s="3066"/>
      <c r="B834" s="3053"/>
      <c r="C834" s="3053"/>
      <c r="D834" s="3053"/>
      <c r="E834" s="3053"/>
      <c r="F834" s="3053"/>
      <c r="G834" s="3053"/>
      <c r="H834" s="3053"/>
      <c r="I834" s="3067"/>
    </row>
    <row r="835" spans="1:9" hidden="1" x14ac:dyDescent="0.5">
      <c r="A835" s="3066"/>
      <c r="B835" s="3053"/>
      <c r="C835" s="3053"/>
      <c r="D835" s="3053"/>
      <c r="E835" s="3053"/>
      <c r="F835" s="3053"/>
      <c r="G835" s="3053"/>
      <c r="H835" s="3053"/>
      <c r="I835" s="3067"/>
    </row>
    <row r="836" spans="1:9" hidden="1" x14ac:dyDescent="0.5">
      <c r="A836" s="3066"/>
      <c r="B836" s="3053"/>
      <c r="C836" s="3053"/>
      <c r="D836" s="3053"/>
      <c r="E836" s="3053"/>
      <c r="F836" s="3053"/>
      <c r="G836" s="3053"/>
      <c r="H836" s="3053"/>
      <c r="I836" s="3067"/>
    </row>
    <row r="837" spans="1:9" hidden="1" x14ac:dyDescent="0.5">
      <c r="A837" s="3071"/>
      <c r="B837" s="3072"/>
      <c r="C837" s="3072"/>
      <c r="D837" s="3072"/>
      <c r="E837" s="3072"/>
      <c r="F837" s="3072"/>
      <c r="G837" s="3072"/>
      <c r="H837" s="3072"/>
      <c r="I837" s="3073"/>
    </row>
    <row r="838" spans="1:9" hidden="1" x14ac:dyDescent="0.5">
      <c r="A838" s="3088" t="str">
        <f ca="1">IF(Stammdaten!C160&lt;&gt;Stammdaten!E160,"(Hinweis: Der Wert aus der Quelldatei ("&amp;TEXT(Stammdaten!C160,"0,00%")&amp;") ist im Blatt STAMMDATEN auf den zuvor genannten Wert individuell abgeändert!) ","")</f>
        <v/>
      </c>
      <c r="B838" s="3088"/>
      <c r="C838" s="3088"/>
      <c r="D838" s="3088"/>
      <c r="E838" s="3088"/>
      <c r="F838" s="3088"/>
      <c r="G838" s="3088"/>
      <c r="H838" s="3088"/>
      <c r="I838" s="3088"/>
    </row>
    <row r="839" spans="1:9" hidden="1" x14ac:dyDescent="0.5">
      <c r="A839" s="3089"/>
      <c r="B839" s="3089"/>
      <c r="C839" s="3089"/>
      <c r="D839" s="3089"/>
      <c r="E839" s="3089"/>
      <c r="F839" s="3089"/>
      <c r="G839" s="3089"/>
      <c r="H839" s="3089"/>
      <c r="I839" s="3089"/>
    </row>
    <row r="840" spans="1:9" hidden="1" x14ac:dyDescent="0.5">
      <c r="B840" s="1514"/>
      <c r="C840" s="1514"/>
      <c r="D840" s="1514"/>
      <c r="E840" s="1514"/>
      <c r="F840" s="1514"/>
      <c r="G840" s="1514"/>
      <c r="H840" s="1514"/>
      <c r="I840" s="1514"/>
    </row>
    <row r="841" spans="1:9" ht="15.75" hidden="1" customHeight="1" x14ac:dyDescent="0.5">
      <c r="A841" s="3069" t="str">
        <f ca="1">IFERROR(IF(KALKULATION!H239&lt;&gt;KALKULATION!H265,"Folgende Ansätze/Annahmen sind für die Anpassung von "&amp;TEXT(KALKULATION!H256,"0,00%")&amp;" auf "&amp;TEXT(KALKULATION!H265,"0,00%")&amp;" maßgebend: "&amp;A851&amp;A854&amp;A856&amp;A864&amp;A862,""),$K$6)</f>
        <v>Folgende Ansätze/Annahmen sind für die Anpassung von 83,63% auf 66,00%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v>
      </c>
      <c r="B841" s="3069"/>
      <c r="C841" s="3069"/>
      <c r="D841" s="3069"/>
      <c r="E841" s="3069"/>
      <c r="F841" s="3069"/>
      <c r="G841" s="3069"/>
      <c r="H841" s="3069"/>
      <c r="I841" s="3069"/>
    </row>
    <row r="842" spans="1:9" hidden="1" x14ac:dyDescent="0.5">
      <c r="A842" s="3053"/>
      <c r="B842" s="3053"/>
      <c r="C842" s="3053"/>
      <c r="D842" s="3053"/>
      <c r="E842" s="3053"/>
      <c r="F842" s="3053"/>
      <c r="G842" s="3053"/>
      <c r="H842" s="3053"/>
      <c r="I842" s="3053"/>
    </row>
    <row r="843" spans="1:9" hidden="1" x14ac:dyDescent="0.5">
      <c r="A843" s="3053"/>
      <c r="B843" s="3053"/>
      <c r="C843" s="3053"/>
      <c r="D843" s="3053"/>
      <c r="E843" s="3053"/>
      <c r="F843" s="3053"/>
      <c r="G843" s="3053"/>
      <c r="H843" s="3053"/>
      <c r="I843" s="3053"/>
    </row>
    <row r="844" spans="1:9" hidden="1" x14ac:dyDescent="0.5">
      <c r="A844" s="3053"/>
      <c r="B844" s="3053"/>
      <c r="C844" s="3053"/>
      <c r="D844" s="3053"/>
      <c r="E844" s="3053"/>
      <c r="F844" s="3053"/>
      <c r="G844" s="3053"/>
      <c r="H844" s="3053"/>
      <c r="I844" s="3053"/>
    </row>
    <row r="845" spans="1:9" hidden="1" x14ac:dyDescent="0.5">
      <c r="A845" s="3053"/>
      <c r="B845" s="3053"/>
      <c r="C845" s="3053"/>
      <c r="D845" s="3053"/>
      <c r="E845" s="3053"/>
      <c r="F845" s="3053"/>
      <c r="G845" s="3053"/>
      <c r="H845" s="3053"/>
      <c r="I845" s="3053"/>
    </row>
    <row r="846" spans="1:9" hidden="1" x14ac:dyDescent="0.5">
      <c r="A846" s="3053"/>
      <c r="B846" s="3053"/>
      <c r="C846" s="3053"/>
      <c r="D846" s="3053"/>
      <c r="E846" s="3053"/>
      <c r="F846" s="3053"/>
      <c r="G846" s="3053"/>
      <c r="H846" s="3053"/>
      <c r="I846" s="3053"/>
    </row>
    <row r="847" spans="1:9" hidden="1" x14ac:dyDescent="0.5">
      <c r="A847" s="3053"/>
      <c r="B847" s="3053"/>
      <c r="C847" s="3053"/>
      <c r="D847" s="3053"/>
      <c r="E847" s="3053"/>
      <c r="F847" s="3053"/>
      <c r="G847" s="3053"/>
      <c r="H847" s="3053"/>
      <c r="I847" s="3053"/>
    </row>
    <row r="848" spans="1:9" hidden="1" x14ac:dyDescent="0.5">
      <c r="A848" s="3053"/>
      <c r="B848" s="3053"/>
      <c r="C848" s="3053"/>
      <c r="D848" s="3053"/>
      <c r="E848" s="3053"/>
      <c r="F848" s="3053"/>
      <c r="G848" s="3053"/>
      <c r="H848" s="3053"/>
      <c r="I848" s="3053"/>
    </row>
    <row r="849" spans="1:9" hidden="1" x14ac:dyDescent="0.5">
      <c r="A849" s="3053"/>
      <c r="B849" s="3053"/>
      <c r="C849" s="3053"/>
      <c r="D849" s="3053"/>
      <c r="E849" s="3053"/>
      <c r="F849" s="3053"/>
      <c r="G849" s="3053"/>
      <c r="H849" s="3053"/>
      <c r="I849" s="3053"/>
    </row>
    <row r="850" spans="1:9" hidden="1" x14ac:dyDescent="0.5">
      <c r="A850" s="3053"/>
      <c r="B850" s="3053"/>
      <c r="C850" s="3053"/>
      <c r="D850" s="3053"/>
      <c r="E850" s="3053"/>
      <c r="F850" s="3053"/>
      <c r="G850" s="3053"/>
      <c r="H850" s="3053"/>
      <c r="I850" s="3053"/>
    </row>
    <row r="851" spans="1:9" hidden="1" x14ac:dyDescent="0.5">
      <c r="A851" s="3090" t="str">
        <f ca="1">IF(AND(KALKULATION!H243&lt;&gt;1,OR(KALKULATION!E256&gt;0,KALKULATION!G256&gt;0)),"
-- Der UPNK-Wert der Stammdaten ist wegen der angesetzten Mehrarbeit verändert (F2.a). ","")</f>
        <v xml:space="preserve">
-- Der UPNK-Wert der Stammdaten ist wegen der angesetzten Mehrarbeit verändert (F2.a). </v>
      </c>
      <c r="B851" s="3090"/>
      <c r="C851" s="3090"/>
      <c r="D851" s="3090"/>
      <c r="E851" s="3090"/>
      <c r="F851" s="3090"/>
      <c r="G851" s="3090"/>
      <c r="H851" s="3090"/>
      <c r="I851" s="3090"/>
    </row>
    <row r="852" spans="1:9" hidden="1" x14ac:dyDescent="0.5">
      <c r="A852" s="3091"/>
      <c r="B852" s="3091"/>
      <c r="C852" s="3091"/>
      <c r="D852" s="3091"/>
      <c r="E852" s="3091"/>
      <c r="F852" s="3091"/>
      <c r="G852" s="3091"/>
      <c r="H852" s="3091"/>
      <c r="I852" s="3091"/>
    </row>
    <row r="853" spans="1:9" hidden="1" x14ac:dyDescent="0.5">
      <c r="A853" s="1804"/>
      <c r="B853" s="1804"/>
      <c r="C853" s="1804"/>
      <c r="D853" s="1804"/>
      <c r="E853" s="1804"/>
      <c r="F853" s="1804"/>
      <c r="G853" s="1804"/>
      <c r="H853" s="1804"/>
      <c r="I853" s="1804"/>
    </row>
    <row r="854" spans="1:9" hidden="1" x14ac:dyDescent="0.5">
      <c r="A854" s="3092" t="str">
        <f ca="1">IF(KALKULATION!H247&lt;&gt;1,"
-- Der UPNK-Wert der Stammdaten ist wegen Einstellungen bezüglich Entgeltfortzahlung und Sonderzahlungen von abgabepflichtigen Entgelten aus Pkt E geändert (F2.b1). Bitte die Anmerkungen im Blatt KALKULATION beachten. ","")</f>
        <v/>
      </c>
      <c r="B854" s="3093"/>
      <c r="C854" s="3093"/>
      <c r="D854" s="3093"/>
      <c r="E854" s="3093"/>
      <c r="F854" s="3093"/>
      <c r="G854" s="3093"/>
      <c r="H854" s="3093"/>
      <c r="I854" s="3094"/>
    </row>
    <row r="855" spans="1:9" hidden="1" x14ac:dyDescent="0.5">
      <c r="A855" s="3095"/>
      <c r="B855" s="3096"/>
      <c r="C855" s="3096"/>
      <c r="D855" s="3096"/>
      <c r="E855" s="3096"/>
      <c r="F855" s="3096"/>
      <c r="G855" s="3096"/>
      <c r="H855" s="3096"/>
      <c r="I855" s="3097"/>
    </row>
    <row r="856" spans="1:9" hidden="1" x14ac:dyDescent="0.5">
      <c r="A856" s="3098"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der Differenz zw abgabepflichtigen Personalkosten zum KV-Entgelt (F2.b2). </v>
      </c>
      <c r="B856" s="3098"/>
      <c r="C856" s="3098"/>
      <c r="D856" s="3098"/>
      <c r="E856" s="3098"/>
      <c r="F856" s="3098"/>
      <c r="G856" s="3098"/>
      <c r="H856" s="3098"/>
      <c r="I856" s="3098"/>
    </row>
    <row r="857" spans="1:9" hidden="1" x14ac:dyDescent="0.5">
      <c r="A857" s="3086"/>
      <c r="B857" s="3086"/>
      <c r="C857" s="3086"/>
      <c r="D857" s="3086"/>
      <c r="E857" s="3086"/>
      <c r="F857" s="3086"/>
      <c r="G857" s="3086"/>
      <c r="H857" s="3086"/>
      <c r="I857" s="3086"/>
    </row>
    <row r="858" spans="1:9" hidden="1" x14ac:dyDescent="0.5"/>
    <row r="859" spans="1:9" hidden="1" x14ac:dyDescent="0.5">
      <c r="A859" s="3086"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der Differenz zw abgabepflichtigen Personalkosten zum KV-Entgelt (F2.b2). </v>
      </c>
      <c r="B859" s="3086"/>
      <c r="C859" s="3086"/>
      <c r="D859" s="3086"/>
      <c r="E859" s="3086"/>
      <c r="F859" s="3086"/>
      <c r="G859" s="3086"/>
      <c r="H859" s="3086"/>
      <c r="I859" s="3086"/>
    </row>
    <row r="860" spans="1:9" hidden="1" x14ac:dyDescent="0.5">
      <c r="A860" s="3087"/>
      <c r="B860" s="3087"/>
      <c r="C860" s="3087"/>
      <c r="D860" s="3087"/>
      <c r="E860" s="3087"/>
      <c r="F860" s="3087"/>
      <c r="G860" s="3087"/>
      <c r="H860" s="3087"/>
      <c r="I860" s="3087"/>
    </row>
    <row r="861" spans="1:9" hidden="1" x14ac:dyDescent="0.5">
      <c r="A861" s="1617"/>
      <c r="B861" s="1617"/>
      <c r="C861" s="1617"/>
      <c r="D861" s="1617"/>
      <c r="E861" s="1617"/>
      <c r="F861" s="1617"/>
      <c r="G861" s="1617"/>
      <c r="H861" s="1617"/>
      <c r="I861" s="1617"/>
    </row>
    <row r="862" spans="1:9" hidden="1" x14ac:dyDescent="0.5">
      <c r="A862" s="3083" t="str">
        <f>IF(OR(KALKULATION!G264="auf #1,0%",KALKULATION!G264="auf #2,5%",KALKULATION!G264="auf #5,0%"),"
-- Das Rechenergebnis für die UPNK ist aufgerundet.","")</f>
        <v xml:space="preserve">
-- Das Rechenergebnis für die UPNK ist aufgerundet.</v>
      </c>
      <c r="B862" s="3084"/>
      <c r="C862" s="3084"/>
      <c r="D862" s="3084"/>
      <c r="E862" s="3084"/>
      <c r="F862" s="3084"/>
      <c r="G862" s="3084"/>
      <c r="H862" s="3084"/>
      <c r="I862" s="3085"/>
    </row>
    <row r="863" spans="1:9" hidden="1" x14ac:dyDescent="0.5"/>
    <row r="864" spans="1:9" hidden="1" x14ac:dyDescent="0.5">
      <c r="A864" s="3111" t="str">
        <f>IF(KALKULATION!H263&lt;&gt;0,"
-- Die UPNK sind individuell um "&amp;TEXT(KALKULATION!H263,"0,00%")&amp;"-Punkte verändert (F2.d)! ","")</f>
        <v/>
      </c>
      <c r="B864" s="3112"/>
      <c r="C864" s="3112"/>
      <c r="D864" s="3112"/>
      <c r="E864" s="3112"/>
      <c r="F864" s="3112"/>
      <c r="G864" s="3112"/>
      <c r="H864" s="3112"/>
      <c r="I864" s="3113"/>
    </row>
    <row r="865" spans="1:9" hidden="1" x14ac:dyDescent="0.5">
      <c r="A865" s="3058" t="str">
        <f>IF(KALKULATION!H110=0,"","
Es sind Arbeitszeitzuschläge aus Verrechnungsstunden erfasst (C2). Diese können Auswirkungen auf die UPNK haben, die leider nicht formelmäßig und allgemeingültig errechenbar sind. Ggf sind die Auswirkungen zu prüfen.")</f>
        <v/>
      </c>
      <c r="B865" s="3058"/>
      <c r="C865" s="3058"/>
      <c r="D865" s="3058"/>
      <c r="E865" s="3058"/>
      <c r="F865" s="3058"/>
      <c r="G865" s="3058"/>
      <c r="H865" s="3058"/>
      <c r="I865" s="3058"/>
    </row>
    <row r="866" spans="1:9" hidden="1" x14ac:dyDescent="0.5">
      <c r="A866" s="3061"/>
      <c r="B866" s="3061"/>
      <c r="C866" s="3061"/>
      <c r="D866" s="3061"/>
      <c r="E866" s="3061"/>
      <c r="F866" s="3061"/>
      <c r="G866" s="3061"/>
      <c r="H866" s="3061"/>
      <c r="I866" s="3061"/>
    </row>
    <row r="867" spans="1:9" hidden="1" x14ac:dyDescent="0.5"/>
    <row r="868" spans="1:9" hidden="1" x14ac:dyDescent="0.5">
      <c r="B868" s="1624"/>
      <c r="C868" s="1624"/>
      <c r="D868" s="1624"/>
      <c r="E868" s="1624"/>
      <c r="F868" s="1624"/>
      <c r="G868" s="1624"/>
      <c r="H868" s="1624"/>
      <c r="I868" s="1787"/>
    </row>
    <row r="869" spans="1:9" hidden="1" x14ac:dyDescent="0.5">
      <c r="A869" s="3074"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0,26% bzw 0,07€ (K3 Zeile 14) in Ansatz gebracht. </v>
      </c>
      <c r="B869" s="3075"/>
      <c r="C869" s="3075"/>
      <c r="D869" s="3075"/>
      <c r="E869" s="3075"/>
      <c r="F869" s="3075"/>
      <c r="G869" s="3075"/>
      <c r="H869" s="3075"/>
      <c r="I869" s="3076"/>
    </row>
    <row r="870" spans="1:9" hidden="1" x14ac:dyDescent="0.5">
      <c r="A870" s="3077"/>
      <c r="B870" s="3078"/>
      <c r="C870" s="3078"/>
      <c r="D870" s="3078"/>
      <c r="E870" s="3078"/>
      <c r="F870" s="3078"/>
      <c r="G870" s="3078"/>
      <c r="H870" s="3078"/>
      <c r="I870" s="3079"/>
    </row>
    <row r="871" spans="1:9" hidden="1" x14ac:dyDescent="0.5">
      <c r="A871" s="3080"/>
      <c r="B871" s="3081"/>
      <c r="C871" s="3081"/>
      <c r="D871" s="3081"/>
      <c r="E871" s="3081"/>
      <c r="F871" s="3081"/>
      <c r="G871" s="3081"/>
      <c r="H871" s="3081"/>
      <c r="I871" s="3082"/>
    </row>
    <row r="872" spans="1:9" hidden="1" x14ac:dyDescent="0.5">
      <c r="A872" s="1568"/>
      <c r="B872" s="1569"/>
      <c r="C872" s="1569"/>
      <c r="D872" s="1569"/>
      <c r="E872" s="1569"/>
      <c r="F872" s="1569"/>
      <c r="G872" s="1569"/>
      <c r="H872" s="1569"/>
      <c r="I872" s="1615"/>
    </row>
    <row r="873" spans="1:9" hidden="1" x14ac:dyDescent="0.5">
      <c r="A873" s="1616"/>
      <c r="B873" s="1805">
        <f ca="1">KALKULATION!H236</f>
        <v>0.30270000000000002</v>
      </c>
      <c r="C873" s="1805">
        <f ca="1">KALKULATION!H265</f>
        <v>0.66</v>
      </c>
      <c r="D873" s="1805">
        <f ca="1">KALKULATION!H277</f>
        <v>2.5999999999999999E-3</v>
      </c>
      <c r="E873" s="1805">
        <f ca="1">SUM(B873:D873)</f>
        <v>0.96530000000000005</v>
      </c>
      <c r="F873" s="1806">
        <f ca="1">SUM(' K3 PP'!O30:P32)</f>
        <v>24.36</v>
      </c>
      <c r="G873" s="1617"/>
      <c r="H873" s="1617"/>
      <c r="I873" s="1618"/>
    </row>
    <row r="874" spans="1:9" hidden="1" x14ac:dyDescent="0.5">
      <c r="A874" s="1616"/>
      <c r="B874" s="1807">
        <f ca="1">B873/$E$873</f>
        <v>0.31359999999999999</v>
      </c>
      <c r="C874" s="1807">
        <f t="shared" ref="C874:D874" ca="1" si="9">C873/$E$873</f>
        <v>0.68369999999999997</v>
      </c>
      <c r="D874" s="1807">
        <f t="shared" ca="1" si="9"/>
        <v>2.7000000000000001E-3</v>
      </c>
      <c r="E874" s="1617"/>
      <c r="F874" s="1617"/>
      <c r="G874" s="1617"/>
      <c r="H874" s="1617"/>
      <c r="I874" s="1618"/>
    </row>
    <row r="875" spans="1:9" hidden="1" x14ac:dyDescent="0.5">
      <c r="A875" s="1616"/>
      <c r="B875" s="1808">
        <v>1</v>
      </c>
      <c r="C875" s="1808">
        <f ca="1">C873/B873</f>
        <v>2.1800000000000002</v>
      </c>
      <c r="D875" s="1617"/>
      <c r="E875" s="1617"/>
      <c r="F875" s="1617"/>
      <c r="G875" s="1617"/>
      <c r="H875" s="1617"/>
      <c r="I875" s="1618"/>
    </row>
    <row r="876" spans="1:9" ht="15.75" hidden="1" customHeight="1" x14ac:dyDescent="0.5">
      <c r="A876" s="3068"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96,53% bzw 24,36€. Das Verhältnis von DPNK zu UPNK beträgt 1 zu 2,2. </v>
      </c>
      <c r="B876" s="3069"/>
      <c r="C876" s="3069"/>
      <c r="D876" s="3069"/>
      <c r="E876" s="3069"/>
      <c r="F876" s="3069"/>
      <c r="G876" s="3069"/>
      <c r="H876" s="3069"/>
      <c r="I876" s="3070"/>
    </row>
    <row r="877" spans="1:9" hidden="1" x14ac:dyDescent="0.5">
      <c r="A877" s="3066"/>
      <c r="B877" s="3053"/>
      <c r="C877" s="3053"/>
      <c r="D877" s="3053"/>
      <c r="E877" s="3053"/>
      <c r="F877" s="3053"/>
      <c r="G877" s="3053"/>
      <c r="H877" s="3053"/>
      <c r="I877" s="3067"/>
    </row>
    <row r="878" spans="1:9" hidden="1" x14ac:dyDescent="0.5">
      <c r="A878" s="3071"/>
      <c r="B878" s="3072"/>
      <c r="C878" s="3072"/>
      <c r="D878" s="3072"/>
      <c r="E878" s="3072"/>
      <c r="F878" s="3072"/>
      <c r="G878" s="3072"/>
      <c r="H878" s="3072"/>
      <c r="I878" s="3073"/>
    </row>
    <row r="879" spans="1:9" hidden="1" x14ac:dyDescent="0.5">
      <c r="A879" s="1809"/>
      <c r="B879" s="1810"/>
      <c r="C879" s="1810"/>
      <c r="D879" s="1810"/>
      <c r="E879" s="1810"/>
      <c r="F879" s="1810"/>
      <c r="G879" s="1810"/>
      <c r="H879" s="1810"/>
      <c r="I879" s="1811"/>
    </row>
    <row r="880" spans="1:9" hidden="1" x14ac:dyDescent="0.5">
      <c r="A880" s="1803"/>
      <c r="B880" s="1812"/>
      <c r="C880" s="1812"/>
      <c r="D880" s="1812"/>
      <c r="E880" s="1812"/>
      <c r="F880" s="1812"/>
      <c r="G880" s="1812"/>
      <c r="H880" s="1812"/>
      <c r="I880" s="1813"/>
    </row>
    <row r="881" spans="1:9" hidden="1" x14ac:dyDescent="0.5">
      <c r="A881" s="1814" t="s">
        <v>48</v>
      </c>
      <c r="B881" s="1812"/>
      <c r="C881" s="1812"/>
      <c r="D881" s="1812"/>
      <c r="E881" s="1812"/>
      <c r="F881" s="1812"/>
      <c r="G881" s="1812"/>
      <c r="H881" s="1812"/>
      <c r="I881" s="1813"/>
    </row>
    <row r="882" spans="1:9" hidden="1" x14ac:dyDescent="0.5">
      <c r="B882" s="1569"/>
      <c r="C882" s="1569"/>
      <c r="D882" s="1569"/>
      <c r="E882" s="1569"/>
      <c r="F882" s="1569"/>
      <c r="G882" s="1569"/>
      <c r="H882" s="1569"/>
      <c r="I882" s="1615"/>
    </row>
    <row r="883" spans="1:9" hidden="1" x14ac:dyDescent="0.5">
      <c r="A883" s="1815" t="str">
        <f ca="1">IF(SUM(KALKULATION!H308)&lt;&gt;0,"Personalgemeinkosten sind in Hv "&amp;TEXT(KALKULATION!H308,"0,00€")&amp;"/Std in Ansatz gebracht. ","")</f>
        <v xml:space="preserve">Personalgemeinkosten sind in Hv 5,64€/Std in Ansatz gebracht. </v>
      </c>
      <c r="B883" s="1816"/>
      <c r="C883" s="1816"/>
      <c r="D883" s="1817"/>
      <c r="E883" s="1817"/>
      <c r="F883" s="1817"/>
      <c r="G883" s="1817"/>
      <c r="H883" s="1817"/>
      <c r="I883" s="1818"/>
    </row>
    <row r="884" spans="1:9" ht="15.75" hidden="1" customHeight="1" x14ac:dyDescent="0.5">
      <c r="A884" s="3099"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2,43€ auf Werte die als % eingetragen sind, und daher variabel zu den Personalkosten sind, und 3,21€ auf Werte die als €-Betrag eingetragen sind, und daher fixe Werte darstellen (die Unterscheidung hat Auswirkungen auf den Standardübertrag zu den Regiekalkulationen). </v>
      </c>
      <c r="B884" s="3099"/>
      <c r="C884" s="3099"/>
      <c r="D884" s="3099"/>
      <c r="E884" s="3099"/>
      <c r="F884" s="3099"/>
      <c r="G884" s="3099"/>
      <c r="H884" s="3099"/>
      <c r="I884" s="3100"/>
    </row>
    <row r="885" spans="1:9" hidden="1" x14ac:dyDescent="0.5">
      <c r="A885" s="3101"/>
      <c r="B885" s="3101"/>
      <c r="C885" s="3101"/>
      <c r="D885" s="3101"/>
      <c r="E885" s="3101"/>
      <c r="F885" s="3101"/>
      <c r="G885" s="3101"/>
      <c r="H885" s="3101"/>
      <c r="I885" s="3102"/>
    </row>
    <row r="886" spans="1:9" hidden="1" x14ac:dyDescent="0.5">
      <c r="A886" s="3101"/>
      <c r="B886" s="3101"/>
      <c r="C886" s="3101"/>
      <c r="D886" s="3101"/>
      <c r="E886" s="3101"/>
      <c r="F886" s="3101"/>
      <c r="G886" s="3101"/>
      <c r="H886" s="3101"/>
      <c r="I886" s="3102"/>
    </row>
    <row r="887" spans="1:9" hidden="1" x14ac:dyDescent="0.5">
      <c r="A887" s="1819" t="str">
        <f>IF(SUM(KALKULATION!$E$295:$F$295)&gt;0,"In den PNK (G2) ist ein Ansatz für den Rundungsausgleich (aus J3) enthalten. ","")</f>
        <v/>
      </c>
      <c r="B887" s="1820"/>
      <c r="C887" s="1820"/>
      <c r="D887" s="1820"/>
      <c r="E887" s="1820"/>
      <c r="F887" s="1820"/>
      <c r="G887" s="1820"/>
      <c r="H887" s="1820"/>
      <c r="I887" s="1821"/>
    </row>
    <row r="888" spans="1:9" hidden="1" x14ac:dyDescent="0.5">
      <c r="A888" s="1819" t="str">
        <f>IF(SUM(KALKULATION!E366:F366)&gt;0,"In den PNK (G3) ist ein Ansatz für die Zielwertanpassung (aus J4) enthalten.","")</f>
        <v/>
      </c>
      <c r="B888" s="1569"/>
      <c r="C888" s="1569"/>
      <c r="D888" s="1569"/>
      <c r="E888" s="1569"/>
      <c r="F888" s="1569"/>
      <c r="G888" s="1569"/>
      <c r="H888" s="1569"/>
      <c r="I888" s="1615"/>
    </row>
    <row r="889" spans="1:9" hidden="1" x14ac:dyDescent="0.5">
      <c r="A889" s="1750"/>
      <c r="B889" s="1624"/>
      <c r="C889" s="1624"/>
      <c r="D889" s="1624"/>
      <c r="E889" s="1624"/>
      <c r="F889" s="1624"/>
      <c r="G889" s="1624"/>
      <c r="H889" s="1624"/>
      <c r="I889" s="1787"/>
    </row>
    <row r="890" spans="1:9" ht="15.75" hidden="1" customHeight="1" x14ac:dyDescent="0.5">
      <c r="A890" s="3068" t="str">
        <f ca="1">IFERROR(IF(KALKULATION!$H$308=0,"Es sind keine Personalgemeinkosten in Ansatz gebracht (gem ÖN B 2061 zB für Werkzeug, Kleinmaterial, Kleingerüst, Kleingeräte udgl).",A883&amp;A884),$K$6)</f>
        <v xml:space="preserve">Personalgemeinkosten sind in Hv 5,64€/Std in Ansatz gebracht. Es entfallen 2,43€ auf Werte die als % eingetragen sind, und daher variabel zu den Personalkosten sind, und 3,21€ auf Werte die als €-Betrag eingetragen sind, und daher fixe Werte darstellen (die Unterscheidung hat Auswirkungen auf den Standardübertrag zu den Regiekalkulationen). </v>
      </c>
      <c r="B890" s="3069"/>
      <c r="C890" s="3069"/>
      <c r="D890" s="3069"/>
      <c r="E890" s="3069"/>
      <c r="F890" s="3069"/>
      <c r="G890" s="3069"/>
      <c r="H890" s="3069"/>
      <c r="I890" s="3070"/>
    </row>
    <row r="891" spans="1:9" hidden="1" x14ac:dyDescent="0.5">
      <c r="A891" s="3066"/>
      <c r="B891" s="3053"/>
      <c r="C891" s="3053"/>
      <c r="D891" s="3053"/>
      <c r="E891" s="3053"/>
      <c r="F891" s="3053"/>
      <c r="G891" s="3053"/>
      <c r="H891" s="3053"/>
      <c r="I891" s="3067"/>
    </row>
    <row r="892" spans="1:9" hidden="1" x14ac:dyDescent="0.5">
      <c r="A892" s="3066"/>
      <c r="B892" s="3053"/>
      <c r="C892" s="3053"/>
      <c r="D892" s="3053"/>
      <c r="E892" s="3053"/>
      <c r="F892" s="3053"/>
      <c r="G892" s="3053"/>
      <c r="H892" s="3053"/>
      <c r="I892" s="3067"/>
    </row>
    <row r="893" spans="1:9" hidden="1" x14ac:dyDescent="0.5">
      <c r="A893" s="3066"/>
      <c r="B893" s="3053"/>
      <c r="C893" s="3053"/>
      <c r="D893" s="3053"/>
      <c r="E893" s="3053"/>
      <c r="F893" s="3053"/>
      <c r="G893" s="3053"/>
      <c r="H893" s="3053"/>
      <c r="I893" s="3067"/>
    </row>
    <row r="894" spans="1:9" hidden="1" x14ac:dyDescent="0.5">
      <c r="A894" s="3066"/>
      <c r="B894" s="3053"/>
      <c r="C894" s="3053"/>
      <c r="D894" s="3053"/>
      <c r="E894" s="3053"/>
      <c r="F894" s="3053"/>
      <c r="G894" s="3053"/>
      <c r="H894" s="3053"/>
      <c r="I894" s="3067"/>
    </row>
    <row r="895" spans="1:9" hidden="1" x14ac:dyDescent="0.5">
      <c r="A895" s="3066"/>
      <c r="B895" s="3053"/>
      <c r="C895" s="3053"/>
      <c r="D895" s="3053"/>
      <c r="E895" s="3053"/>
      <c r="F895" s="3053"/>
      <c r="G895" s="3053"/>
      <c r="H895" s="3053"/>
      <c r="I895" s="3067"/>
    </row>
    <row r="896" spans="1:9" hidden="1" x14ac:dyDescent="0.5">
      <c r="A896" s="3071"/>
      <c r="B896" s="3072"/>
      <c r="C896" s="3072"/>
      <c r="D896" s="3072"/>
      <c r="E896" s="3072"/>
      <c r="F896" s="3072"/>
      <c r="G896" s="3072"/>
      <c r="H896" s="3072"/>
      <c r="I896" s="3073"/>
    </row>
    <row r="897" spans="1:9" hidden="1" x14ac:dyDescent="0.5">
      <c r="A897" s="1567"/>
      <c r="B897" s="1514"/>
      <c r="C897" s="1514"/>
      <c r="D897" s="1514"/>
      <c r="E897" s="1514"/>
      <c r="F897" s="1514"/>
      <c r="G897" s="1514"/>
      <c r="H897" s="1514"/>
      <c r="I897" s="1619"/>
    </row>
    <row r="898" spans="1:9" ht="17.850000000000001" hidden="1" customHeight="1" x14ac:dyDescent="0.5">
      <c r="A898" s="3068"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69"/>
      <c r="C898" s="3069"/>
      <c r="D898" s="3069"/>
      <c r="E898" s="3069"/>
      <c r="F898" s="3069"/>
      <c r="G898" s="3069"/>
      <c r="H898" s="3069"/>
      <c r="I898" s="3070"/>
    </row>
    <row r="899" spans="1:9" hidden="1" x14ac:dyDescent="0.5">
      <c r="A899" s="3066"/>
      <c r="B899" s="3053"/>
      <c r="C899" s="3053"/>
      <c r="D899" s="3053"/>
      <c r="E899" s="3053"/>
      <c r="F899" s="3053"/>
      <c r="G899" s="3053"/>
      <c r="H899" s="3053"/>
      <c r="I899" s="3067"/>
    </row>
    <row r="900" spans="1:9" hidden="1" x14ac:dyDescent="0.5">
      <c r="A900" s="3066"/>
      <c r="B900" s="3053"/>
      <c r="C900" s="3053"/>
      <c r="D900" s="3053"/>
      <c r="E900" s="3053"/>
      <c r="F900" s="3053"/>
      <c r="G900" s="3053"/>
      <c r="H900" s="3053"/>
      <c r="I900" s="3067"/>
    </row>
    <row r="901" spans="1:9" hidden="1" x14ac:dyDescent="0.5">
      <c r="A901" s="3071"/>
      <c r="B901" s="3072"/>
      <c r="C901" s="3072"/>
      <c r="D901" s="3072"/>
      <c r="E901" s="3072"/>
      <c r="F901" s="3072"/>
      <c r="G901" s="3072"/>
      <c r="H901" s="3072"/>
      <c r="I901" s="3073"/>
    </row>
    <row r="902" spans="1:9" ht="15.75" hidden="1" customHeight="1" x14ac:dyDescent="0.5">
      <c r="A902" s="3068" t="str">
        <f ca="1">IFERROR(IF(KALKULATION!J307&lt;&gt;"","
"&amp;K4,""),$K$6)</f>
        <v/>
      </c>
      <c r="B902" s="3069"/>
      <c r="C902" s="3069"/>
      <c r="D902" s="3069"/>
      <c r="E902" s="3069"/>
      <c r="F902" s="3069"/>
      <c r="G902" s="3069"/>
      <c r="H902" s="3069"/>
      <c r="I902" s="3070"/>
    </row>
    <row r="903" spans="1:9" hidden="1" x14ac:dyDescent="0.5">
      <c r="A903" s="3066"/>
      <c r="B903" s="3053"/>
      <c r="C903" s="3053"/>
      <c r="D903" s="3053"/>
      <c r="E903" s="3053"/>
      <c r="F903" s="3053"/>
      <c r="G903" s="3053"/>
      <c r="H903" s="3053"/>
      <c r="I903" s="3067"/>
    </row>
    <row r="904" spans="1:9" hidden="1" x14ac:dyDescent="0.5">
      <c r="A904" s="3071"/>
      <c r="B904" s="3072"/>
      <c r="C904" s="3072"/>
      <c r="D904" s="3072"/>
      <c r="E904" s="3072"/>
      <c r="F904" s="3072"/>
      <c r="G904" s="3072"/>
      <c r="H904" s="3072"/>
      <c r="I904" s="3073"/>
    </row>
    <row r="905" spans="1:9" hidden="1" x14ac:dyDescent="0.5">
      <c r="A905" s="1569"/>
      <c r="B905" s="1569"/>
      <c r="C905" s="1569"/>
      <c r="D905" s="1569"/>
      <c r="E905" s="1569"/>
      <c r="F905" s="1569"/>
      <c r="G905" s="1569"/>
      <c r="H905" s="1569"/>
      <c r="I905" s="1615"/>
    </row>
    <row r="906" spans="1:9" hidden="1" x14ac:dyDescent="0.5">
      <c r="A906" s="1569"/>
      <c r="B906" s="1569"/>
      <c r="C906" s="1569"/>
      <c r="D906" s="1569"/>
      <c r="E906" s="1569"/>
      <c r="F906" s="1569"/>
      <c r="G906" s="1569"/>
      <c r="H906" s="1569"/>
      <c r="I906" s="1615"/>
    </row>
    <row r="907" spans="1:9" hidden="1" x14ac:dyDescent="0.5">
      <c r="A907" s="3053" t="str">
        <f>"
"&amp;A887&amp;A888</f>
        <v xml:space="preserve">
</v>
      </c>
      <c r="B907" s="3053"/>
      <c r="C907" s="3053"/>
      <c r="D907" s="3053"/>
      <c r="E907" s="3053"/>
      <c r="F907" s="3053"/>
      <c r="G907" s="3053"/>
      <c r="H907" s="3053"/>
      <c r="I907" s="3067"/>
    </row>
    <row r="908" spans="1:9" hidden="1" x14ac:dyDescent="0.5">
      <c r="A908" s="3053"/>
      <c r="B908" s="3053"/>
      <c r="C908" s="3053"/>
      <c r="D908" s="3053"/>
      <c r="E908" s="3053"/>
      <c r="F908" s="3053"/>
      <c r="G908" s="3053"/>
      <c r="H908" s="3053"/>
      <c r="I908" s="3067"/>
    </row>
    <row r="909" spans="1:9" hidden="1" x14ac:dyDescent="0.5">
      <c r="A909" s="3053"/>
      <c r="B909" s="3053"/>
      <c r="C909" s="3053"/>
      <c r="D909" s="3053"/>
      <c r="E909" s="3053"/>
      <c r="F909" s="3053"/>
      <c r="G909" s="3053"/>
      <c r="H909" s="3053"/>
      <c r="I909" s="3067"/>
    </row>
    <row r="910" spans="1:9" hidden="1" x14ac:dyDescent="0.5">
      <c r="A910" s="1569"/>
      <c r="B910" s="1569"/>
      <c r="C910" s="1569"/>
      <c r="D910" s="1569"/>
      <c r="E910" s="1569"/>
      <c r="F910" s="1569"/>
      <c r="G910" s="1569"/>
      <c r="H910" s="1569"/>
      <c r="I910" s="1615"/>
    </row>
    <row r="911" spans="1:9" hidden="1" x14ac:dyDescent="0.5">
      <c r="A911" s="1569"/>
      <c r="B911" s="1569"/>
      <c r="C911" s="1569"/>
      <c r="D911" s="1569"/>
      <c r="E911" s="1569"/>
      <c r="F911" s="1569"/>
      <c r="G911" s="1569"/>
      <c r="H911" s="1569"/>
      <c r="I911" s="1615"/>
    </row>
    <row r="912" spans="1:9" hidden="1" x14ac:dyDescent="0.5">
      <c r="A912" s="1569"/>
      <c r="B912" s="1569"/>
      <c r="C912" s="1569"/>
      <c r="D912" s="1569"/>
      <c r="E912" s="1569"/>
      <c r="F912" s="1569"/>
      <c r="G912" s="1569"/>
      <c r="H912" s="1569"/>
      <c r="I912" s="1615"/>
    </row>
    <row r="913" spans="1:9" hidden="1" x14ac:dyDescent="0.5">
      <c r="A913" s="1514"/>
      <c r="B913" s="1514"/>
      <c r="C913" s="1514"/>
      <c r="D913" s="1514"/>
      <c r="E913" s="1514"/>
      <c r="F913" s="1514"/>
      <c r="G913" s="1514"/>
      <c r="H913" s="1514"/>
      <c r="I913" s="1619"/>
    </row>
    <row r="914" spans="1:9" hidden="1" x14ac:dyDescent="0.5">
      <c r="A914" s="1814" t="s">
        <v>86</v>
      </c>
      <c r="B914" s="1624"/>
      <c r="C914" s="1624"/>
      <c r="D914" s="1624"/>
      <c r="E914" s="1624"/>
      <c r="F914" s="1624"/>
      <c r="G914" s="1624"/>
      <c r="H914" s="1624"/>
      <c r="I914" s="1787"/>
    </row>
    <row r="915" spans="1:9" ht="15.75" hidden="1" customHeight="1" x14ac:dyDescent="0.5">
      <c r="A915" s="3068"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69"/>
      <c r="C915" s="3069"/>
      <c r="D915" s="3069"/>
      <c r="E915" s="3069"/>
      <c r="F915" s="3069"/>
      <c r="G915" s="3069"/>
      <c r="H915" s="3069"/>
      <c r="I915" s="3070"/>
    </row>
    <row r="916" spans="1:9" ht="15.75" hidden="1" customHeight="1" x14ac:dyDescent="0.5">
      <c r="A916" s="3066"/>
      <c r="B916" s="3053"/>
      <c r="C916" s="3053"/>
      <c r="D916" s="3053"/>
      <c r="E916" s="3053"/>
      <c r="F916" s="3053"/>
      <c r="G916" s="3053"/>
      <c r="H916" s="3053"/>
      <c r="I916" s="3067"/>
    </row>
    <row r="917" spans="1:9" hidden="1" x14ac:dyDescent="0.5">
      <c r="A917" s="3066"/>
      <c r="B917" s="3053"/>
      <c r="C917" s="3053"/>
      <c r="D917" s="3053"/>
      <c r="E917" s="3053"/>
      <c r="F917" s="3053"/>
      <c r="G917" s="3053"/>
      <c r="H917" s="3053"/>
      <c r="I917" s="3067"/>
    </row>
    <row r="918" spans="1:9" hidden="1" x14ac:dyDescent="0.5">
      <c r="A918" s="3071"/>
      <c r="B918" s="3072"/>
      <c r="C918" s="3072"/>
      <c r="D918" s="3072"/>
      <c r="E918" s="3072"/>
      <c r="F918" s="3072"/>
      <c r="G918" s="3072"/>
      <c r="H918" s="3072"/>
      <c r="I918" s="3073"/>
    </row>
    <row r="919" spans="1:9" hidden="1" x14ac:dyDescent="0.5">
      <c r="A919" s="1569"/>
      <c r="B919" s="1569"/>
      <c r="C919" s="1569"/>
      <c r="D919" s="1569"/>
      <c r="E919" s="1569"/>
      <c r="F919" s="1569"/>
      <c r="G919" s="1569"/>
      <c r="H919" s="1569"/>
      <c r="I919" s="1569"/>
    </row>
    <row r="920" spans="1:9" hidden="1" x14ac:dyDescent="0.5">
      <c r="A920" s="1569" t="str">
        <f>IF(KALKULATION!A336="","",KALKULATION!A336)</f>
        <v/>
      </c>
      <c r="B920" s="1569">
        <f>IF(KALKULATION!F336="",0,KALKULATION!F336)</f>
        <v>0</v>
      </c>
      <c r="C920" s="1569">
        <f>IF(KALKULATION!G336="",0,KALKULATION!G336)</f>
        <v>0</v>
      </c>
      <c r="D920" s="1569" t="str">
        <f>IF(AND(B920&lt;&gt;0,C920&lt;&gt;0),TEXT(B920,"0,00€")&amp;" und "&amp;TEXT(C920,"0,00%"),IF(B920&lt;&gt;0,TEXT(B920,"0,00€"),IF(C920&lt;&gt;0,TEXT(C920,"0,00%"),"")))</f>
        <v/>
      </c>
      <c r="E920" s="1569"/>
      <c r="F920" s="1569">
        <f>IF(A920="",0,1)</f>
        <v>0</v>
      </c>
      <c r="G920" s="1569"/>
      <c r="H920" s="1569"/>
      <c r="I920" s="1569"/>
    </row>
    <row r="921" spans="1:9" hidden="1" x14ac:dyDescent="0.5">
      <c r="A921" s="1569" t="str">
        <f>IF(KALKULATION!A337="","",KALKULATION!A337)</f>
        <v/>
      </c>
      <c r="B921" s="1569">
        <f>IF(KALKULATION!F337="",0,KALKULATION!F337)</f>
        <v>0</v>
      </c>
      <c r="C921" s="1569">
        <f>IF(KALKULATION!G337="",0,KALKULATION!G337)</f>
        <v>0</v>
      </c>
      <c r="D921" s="1569" t="str">
        <f t="shared" ref="D921:D922" si="10">IF(AND(B921&lt;&gt;0,C921&lt;&gt;0),TEXT(B921,"0,00€")&amp;" und "&amp;TEXT(C921,"0,00%"),IF(B921&lt;&gt;0,TEXT(B921,"0,00€"),IF(C921&lt;&gt;0,TEXT(C921,"0,00%"),"")))</f>
        <v/>
      </c>
      <c r="E921" s="1569"/>
      <c r="F921" s="1569">
        <f t="shared" ref="F921:F922" si="11">IF(A921="",0,1)</f>
        <v>0</v>
      </c>
      <c r="G921" s="1569"/>
      <c r="H921" s="1569"/>
      <c r="I921" s="1569"/>
    </row>
    <row r="922" spans="1:9" hidden="1" x14ac:dyDescent="0.5">
      <c r="A922" s="1569" t="str">
        <f>IF(KALKULATION!A338="","",KALKULATION!A338)</f>
        <v/>
      </c>
      <c r="B922" s="1569">
        <f>IF(KALKULATION!F338="",0,KALKULATION!F338)</f>
        <v>0</v>
      </c>
      <c r="C922" s="1569">
        <f>IF(KALKULATION!G338="",0,KALKULATION!G338)</f>
        <v>0</v>
      </c>
      <c r="D922" s="1569" t="str">
        <f t="shared" si="10"/>
        <v/>
      </c>
      <c r="E922" s="1569"/>
      <c r="F922" s="1822">
        <f t="shared" si="11"/>
        <v>0</v>
      </c>
      <c r="G922" s="1569"/>
      <c r="H922" s="1569"/>
      <c r="I922" s="1569"/>
    </row>
    <row r="923" spans="1:9" hidden="1" x14ac:dyDescent="0.5">
      <c r="A923" s="1569"/>
      <c r="B923" s="1569"/>
      <c r="C923" s="1569"/>
      <c r="D923" s="1569"/>
      <c r="E923" s="1569"/>
      <c r="F923" s="1569">
        <f>SUM(F920:F922)</f>
        <v>0</v>
      </c>
      <c r="G923" s="1823" t="str">
        <f>IF(F923=1,"ist "&amp;TEXT(F923,"0")&amp;" Umlage","sind "&amp;TEXT(F923,"0")&amp;" Umlagen")</f>
        <v>sind 0 Umlagen</v>
      </c>
      <c r="H923" s="1569"/>
      <c r="I923" s="1569"/>
    </row>
    <row r="924" spans="1:9" hidden="1" x14ac:dyDescent="0.5">
      <c r="A924" s="1569"/>
      <c r="B924" s="1569"/>
      <c r="C924" s="1569"/>
      <c r="D924" s="1569"/>
      <c r="E924" s="1569"/>
      <c r="F924" s="1569"/>
      <c r="G924" s="1569"/>
      <c r="H924" s="1569"/>
      <c r="I924" s="1569"/>
    </row>
    <row r="925" spans="1:9" hidden="1" x14ac:dyDescent="0.5">
      <c r="A925" s="1569"/>
      <c r="B925" s="1569"/>
      <c r="C925" s="1569"/>
      <c r="D925" s="1569"/>
      <c r="E925" s="1569"/>
      <c r="F925" s="1569"/>
      <c r="G925" s="1569"/>
      <c r="H925" s="1569"/>
      <c r="I925" s="1569"/>
    </row>
    <row r="926" spans="1:9" hidden="1" x14ac:dyDescent="0.5">
      <c r="A926" s="1698" t="str">
        <f>IF(A920&amp;D920="","",A920&amp;" ("&amp;D920&amp;"), ")</f>
        <v/>
      </c>
      <c r="B926" s="1824"/>
      <c r="C926" s="1824"/>
      <c r="D926" s="1824"/>
      <c r="E926" s="1824"/>
      <c r="F926" s="1824"/>
      <c r="G926" s="1824"/>
      <c r="H926" s="1824"/>
      <c r="I926" s="1825"/>
    </row>
    <row r="927" spans="1:9" hidden="1" x14ac:dyDescent="0.5">
      <c r="A927" s="1698" t="str">
        <f t="shared" ref="A927:A928" si="12">IF(A921&amp;D921="","",A921&amp;" ("&amp;D921&amp;"), ")</f>
        <v/>
      </c>
      <c r="B927" s="1569"/>
      <c r="C927" s="1569"/>
      <c r="D927" s="1569"/>
      <c r="E927" s="1569"/>
      <c r="F927" s="1569"/>
      <c r="G927" s="1569"/>
      <c r="H927" s="1569"/>
      <c r="I927" s="1615"/>
    </row>
    <row r="928" spans="1:9" hidden="1" x14ac:dyDescent="0.5">
      <c r="A928" s="1698" t="str">
        <f t="shared" si="12"/>
        <v/>
      </c>
      <c r="B928" s="1822"/>
      <c r="C928" s="1822"/>
      <c r="D928" s="1822"/>
      <c r="E928" s="1822"/>
      <c r="F928" s="1822"/>
      <c r="G928" s="1822"/>
      <c r="H928" s="1822"/>
      <c r="I928" s="1826"/>
    </row>
    <row r="929" spans="1:9" hidden="1" x14ac:dyDescent="0.5">
      <c r="A929" s="1701" t="str">
        <f>A926&amp;A927&amp;A928</f>
        <v/>
      </c>
      <c r="B929" s="1569"/>
      <c r="C929" s="1569"/>
      <c r="D929" s="1569"/>
      <c r="E929" s="1569"/>
      <c r="F929" s="1569"/>
      <c r="G929" s="1569"/>
      <c r="H929" s="1569"/>
      <c r="I929" s="1615"/>
    </row>
    <row r="930" spans="1:9" hidden="1" x14ac:dyDescent="0.5">
      <c r="A930" s="1701">
        <f>LEN(A929)</f>
        <v>0</v>
      </c>
      <c r="B930" s="1569"/>
      <c r="C930" s="1569"/>
      <c r="D930" s="1569"/>
      <c r="E930" s="1569"/>
      <c r="F930" s="1569"/>
      <c r="G930" s="1569"/>
      <c r="H930" s="1569"/>
      <c r="I930" s="1615"/>
    </row>
    <row r="931" spans="1:9" hidden="1" x14ac:dyDescent="0.5">
      <c r="A931" s="1707" t="str">
        <f>IF(A930&gt;0,MID(A929,1,A930-2),"")</f>
        <v/>
      </c>
      <c r="B931" s="1243"/>
      <c r="C931" s="1243"/>
      <c r="D931" s="1243"/>
      <c r="E931" s="1243"/>
      <c r="F931" s="1243"/>
      <c r="G931" s="1243"/>
      <c r="H931" s="1243"/>
      <c r="I931" s="1244"/>
    </row>
    <row r="932" spans="1:9" hidden="1" x14ac:dyDescent="0.5">
      <c r="A932" s="3068" t="str">
        <f>IFERROR(IF(SUM(KALKULATION!F339:G339)&lt;&gt;0,"
Die Umlagen sind wie folgt bezeichnet (und wertmäßig angegeben): ["&amp;A931&amp;"]. ",""),$K$6)</f>
        <v/>
      </c>
      <c r="B932" s="3069"/>
      <c r="C932" s="3069"/>
      <c r="D932" s="3069"/>
      <c r="E932" s="3069"/>
      <c r="F932" s="3069"/>
      <c r="G932" s="3069"/>
      <c r="H932" s="3069"/>
      <c r="I932" s="3070"/>
    </row>
    <row r="933" spans="1:9" hidden="1" x14ac:dyDescent="0.5">
      <c r="A933" s="3066"/>
      <c r="B933" s="3053"/>
      <c r="C933" s="3053"/>
      <c r="D933" s="3053"/>
      <c r="E933" s="3053"/>
      <c r="F933" s="3053"/>
      <c r="G933" s="3053"/>
      <c r="H933" s="3053"/>
      <c r="I933" s="3067"/>
    </row>
    <row r="934" spans="1:9" hidden="1" x14ac:dyDescent="0.5">
      <c r="A934" s="3071"/>
      <c r="B934" s="3072"/>
      <c r="C934" s="3072"/>
      <c r="D934" s="3072"/>
      <c r="E934" s="3072"/>
      <c r="F934" s="3072"/>
      <c r="G934" s="3072"/>
      <c r="H934" s="3072"/>
      <c r="I934" s="3073"/>
    </row>
    <row r="935" spans="1:9" hidden="1" x14ac:dyDescent="0.5">
      <c r="A935" s="1568"/>
      <c r="B935" s="1514"/>
      <c r="C935" s="1514"/>
      <c r="D935" s="1514"/>
      <c r="E935" s="1514"/>
      <c r="F935" s="1514"/>
      <c r="G935" s="1514"/>
      <c r="H935" s="1514"/>
      <c r="I935" s="1619"/>
    </row>
    <row r="936" spans="1:9" hidden="1" x14ac:dyDescent="0.5">
      <c r="A936" s="3066" t="str">
        <f ca="1">IFERROR(IF(SUM(KALKULATION!F317,KALKULATION!F321,KALKULATION!F324:F326,KALKULATION!H324:H326)&lt;&gt;SUM(KALKULATION!F339,KALKULATION!H339),"
Hinweis: Ausgewählt  sind in H3 weniger Umlagepositionen, als in H1 bzw H2 angelegt sind. ",""),$K$6)</f>
        <v/>
      </c>
      <c r="B936" s="3053"/>
      <c r="C936" s="3053"/>
      <c r="D936" s="3053"/>
      <c r="E936" s="3053"/>
      <c r="F936" s="3053"/>
      <c r="G936" s="3053"/>
      <c r="H936" s="3053"/>
      <c r="I936" s="3067"/>
    </row>
    <row r="937" spans="1:9" hidden="1" x14ac:dyDescent="0.5">
      <c r="A937" s="3066"/>
      <c r="B937" s="3053"/>
      <c r="C937" s="3053"/>
      <c r="D937" s="3053"/>
      <c r="E937" s="3053"/>
      <c r="F937" s="3053"/>
      <c r="G937" s="3053"/>
      <c r="H937" s="3053"/>
      <c r="I937" s="3067"/>
    </row>
    <row r="938" spans="1:9" hidden="1" x14ac:dyDescent="0.5">
      <c r="A938" s="1568"/>
      <c r="B938" s="1514"/>
      <c r="C938" s="1514"/>
      <c r="D938" s="1514"/>
      <c r="E938" s="1514"/>
      <c r="F938" s="1514"/>
      <c r="G938" s="1514"/>
      <c r="H938" s="1514"/>
      <c r="I938" s="1619"/>
    </row>
    <row r="939" spans="1:9" hidden="1" x14ac:dyDescent="0.5">
      <c r="A939" s="3066" t="str">
        <f ca="1">IFERROR(IF(SUM(KALKULATION!F339,KALKULATION!H339)&gt;0,"
"&amp;K5,""),$K$6)</f>
        <v/>
      </c>
      <c r="B939" s="3053"/>
      <c r="C939" s="3053"/>
      <c r="D939" s="3053"/>
      <c r="E939" s="3053"/>
      <c r="F939" s="3053"/>
      <c r="G939" s="3053"/>
      <c r="H939" s="3053"/>
      <c r="I939" s="3067"/>
    </row>
    <row r="940" spans="1:9" hidden="1" x14ac:dyDescent="0.5">
      <c r="A940" s="3066"/>
      <c r="B940" s="3053"/>
      <c r="C940" s="3053"/>
      <c r="D940" s="3053"/>
      <c r="E940" s="3053"/>
      <c r="F940" s="3053"/>
      <c r="G940" s="3053"/>
      <c r="H940" s="3053"/>
      <c r="I940" s="3067"/>
    </row>
    <row r="941" spans="1:9" hidden="1" x14ac:dyDescent="0.5">
      <c r="A941" s="3066"/>
      <c r="B941" s="3053"/>
      <c r="C941" s="3053"/>
      <c r="D941" s="3053"/>
      <c r="E941" s="3053"/>
      <c r="F941" s="3053"/>
      <c r="G941" s="3053"/>
      <c r="H941" s="3053"/>
      <c r="I941" s="3067"/>
    </row>
    <row r="942" spans="1:9" hidden="1" x14ac:dyDescent="0.5">
      <c r="A942" s="3066"/>
      <c r="B942" s="3053"/>
      <c r="C942" s="3053"/>
      <c r="D942" s="3053"/>
      <c r="E942" s="3053"/>
      <c r="F942" s="3053"/>
      <c r="G942" s="3053"/>
      <c r="H942" s="3053"/>
      <c r="I942" s="3067"/>
    </row>
    <row r="943" spans="1:9" hidden="1" x14ac:dyDescent="0.5">
      <c r="A943" s="1568"/>
      <c r="B943" s="1514"/>
      <c r="C943" s="1514"/>
      <c r="D943" s="1514"/>
      <c r="E943" s="1514"/>
      <c r="F943" s="1514"/>
      <c r="G943" s="1514"/>
      <c r="H943" s="1514"/>
      <c r="I943" s="1619"/>
    </row>
    <row r="944" spans="1:9" hidden="1" x14ac:dyDescent="0.5">
      <c r="A944" s="1803"/>
      <c r="B944" s="1624"/>
      <c r="C944" s="1624"/>
      <c r="D944" s="1624"/>
      <c r="E944" s="1624"/>
      <c r="F944" s="1624"/>
      <c r="G944" s="1624"/>
      <c r="H944" s="1624"/>
      <c r="I944" s="1787"/>
    </row>
    <row r="945" spans="1:9" hidden="1" x14ac:dyDescent="0.5">
      <c r="A945" s="1814" t="s">
        <v>248</v>
      </c>
      <c r="B945" s="1624"/>
      <c r="C945" s="1624"/>
      <c r="D945" s="1624"/>
      <c r="E945" s="1624"/>
      <c r="F945" s="1624"/>
      <c r="G945" s="1624"/>
      <c r="H945" s="1624"/>
      <c r="I945" s="1787"/>
    </row>
    <row r="946" spans="1:9" hidden="1" x14ac:dyDescent="0.5">
      <c r="A946" s="1803"/>
      <c r="B946" s="1624"/>
      <c r="C946" s="1624"/>
      <c r="D946" s="1624"/>
      <c r="E946" s="1624"/>
      <c r="F946" s="1624"/>
      <c r="G946" s="1624"/>
      <c r="H946" s="1624"/>
      <c r="I946" s="1787"/>
    </row>
    <row r="947" spans="1:9" hidden="1" x14ac:dyDescent="0.5">
      <c r="A947" s="3068"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28,000% angegeben und ist gem K2-Blatt mit [Alle Kostenarten] bezeichnet. Der Zuschlag beträgt 15,91€. </v>
      </c>
      <c r="B947" s="3069"/>
      <c r="C947" s="3069"/>
      <c r="D947" s="3069"/>
      <c r="E947" s="3069"/>
      <c r="F947" s="3069"/>
      <c r="G947" s="3069"/>
      <c r="H947" s="3069"/>
      <c r="I947" s="3070"/>
    </row>
    <row r="948" spans="1:9" hidden="1" x14ac:dyDescent="0.5">
      <c r="A948" s="3071"/>
      <c r="B948" s="3072"/>
      <c r="C948" s="3072"/>
      <c r="D948" s="3072"/>
      <c r="E948" s="3072"/>
      <c r="F948" s="3072"/>
      <c r="G948" s="3072"/>
      <c r="H948" s="3072"/>
      <c r="I948" s="3073"/>
    </row>
    <row r="949" spans="1:9" hidden="1" x14ac:dyDescent="0.5">
      <c r="A949" s="1810"/>
      <c r="B949" s="1810"/>
      <c r="C949" s="1810"/>
      <c r="D949" s="1810"/>
      <c r="E949" s="1810"/>
      <c r="F949" s="1810"/>
      <c r="G949" s="1810"/>
      <c r="H949" s="1810"/>
      <c r="I949" s="1811"/>
    </row>
    <row r="950" spans="1:9" hidden="1" x14ac:dyDescent="0.5">
      <c r="A950" s="3068"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69"/>
      <c r="C950" s="3069"/>
      <c r="D950" s="3069"/>
      <c r="E950" s="3069"/>
      <c r="F950" s="3069"/>
      <c r="G950" s="3069"/>
      <c r="H950" s="3069"/>
      <c r="I950" s="3070"/>
    </row>
    <row r="951" spans="1:9" hidden="1" x14ac:dyDescent="0.5">
      <c r="A951" s="3066"/>
      <c r="B951" s="3053"/>
      <c r="C951" s="3053"/>
      <c r="D951" s="3053"/>
      <c r="E951" s="3053"/>
      <c r="F951" s="3053"/>
      <c r="G951" s="3053"/>
      <c r="H951" s="3053"/>
      <c r="I951" s="3067"/>
    </row>
    <row r="952" spans="1:9" hidden="1" x14ac:dyDescent="0.5">
      <c r="A952" s="3066"/>
      <c r="B952" s="3053"/>
      <c r="C952" s="3053"/>
      <c r="D952" s="3053"/>
      <c r="E952" s="3053"/>
      <c r="F952" s="3053"/>
      <c r="G952" s="3053"/>
      <c r="H952" s="3053"/>
      <c r="I952" s="3067"/>
    </row>
    <row r="953" spans="1:9" hidden="1" x14ac:dyDescent="0.5">
      <c r="A953" s="3071"/>
      <c r="B953" s="3072"/>
      <c r="C953" s="3072"/>
      <c r="D953" s="3072"/>
      <c r="E953" s="3072"/>
      <c r="F953" s="3072"/>
      <c r="G953" s="3072"/>
      <c r="H953" s="3072"/>
      <c r="I953" s="3073"/>
    </row>
    <row r="954" spans="1:9" hidden="1" x14ac:dyDescent="0.5">
      <c r="A954" s="1803"/>
      <c r="B954" s="1624"/>
      <c r="C954" s="1624"/>
      <c r="D954" s="1624"/>
      <c r="E954" s="1624"/>
      <c r="F954" s="1624"/>
      <c r="G954" s="1624"/>
      <c r="H954" s="1624"/>
      <c r="I954" s="1787"/>
    </row>
    <row r="955" spans="1:9" hidden="1" x14ac:dyDescent="0.5">
      <c r="A955" s="3068" t="str">
        <f>IFERROR(IF(OR(KALKULATION!G345&gt;Report!F13,KALKULATION!G345&lt;Report!G13),"
GZ auf Personalkosten: "&amp;K4,""),$K$6)</f>
        <v/>
      </c>
      <c r="B955" s="3069"/>
      <c r="C955" s="3069"/>
      <c r="D955" s="3069"/>
      <c r="E955" s="3069"/>
      <c r="F955" s="3069"/>
      <c r="G955" s="3069"/>
      <c r="H955" s="3069"/>
      <c r="I955" s="3070"/>
    </row>
    <row r="956" spans="1:9" hidden="1" x14ac:dyDescent="0.5">
      <c r="A956" s="3071"/>
      <c r="B956" s="3072"/>
      <c r="C956" s="3072"/>
      <c r="D956" s="3072"/>
      <c r="E956" s="3072"/>
      <c r="F956" s="3072"/>
      <c r="G956" s="3072"/>
      <c r="H956" s="3072"/>
      <c r="I956" s="3073"/>
    </row>
    <row r="957" spans="1:9" hidden="1" x14ac:dyDescent="0.5">
      <c r="A957" s="3141"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42"/>
      <c r="C957" s="3142"/>
      <c r="D957" s="3142"/>
      <c r="E957" s="3142"/>
      <c r="F957" s="3142"/>
      <c r="G957" s="3142"/>
      <c r="H957" s="3142"/>
      <c r="I957" s="3143"/>
    </row>
    <row r="958" spans="1:9" hidden="1" x14ac:dyDescent="0.5">
      <c r="A958" s="3144"/>
      <c r="B958" s="3145"/>
      <c r="C958" s="3145"/>
      <c r="D958" s="3145"/>
      <c r="E958" s="3145"/>
      <c r="F958" s="3145"/>
      <c r="G958" s="3145"/>
      <c r="H958" s="3145"/>
      <c r="I958" s="3146"/>
    </row>
    <row r="959" spans="1:9" hidden="1" x14ac:dyDescent="0.5"/>
    <row r="960" spans="1:9" hidden="1" x14ac:dyDescent="0.5">
      <c r="A960" s="880" t="s">
        <v>317</v>
      </c>
    </row>
    <row r="961" spans="1:13" hidden="1" x14ac:dyDescent="0.5">
      <c r="B961" s="880" t="s">
        <v>412</v>
      </c>
      <c r="C961" s="880" t="s">
        <v>76</v>
      </c>
      <c r="D961" s="880" t="s">
        <v>413</v>
      </c>
    </row>
    <row r="962" spans="1:13" hidden="1" x14ac:dyDescent="0.5">
      <c r="A962" s="880" t="s">
        <v>414</v>
      </c>
      <c r="B962" s="880">
        <f ca="1">' K3 PP'!O39</f>
        <v>56.83</v>
      </c>
      <c r="C962" s="880" t="str">
        <f>' K3 PP'!M39</f>
        <v/>
      </c>
      <c r="D962" s="880" t="e">
        <f ca="1">C962+B962</f>
        <v>#VALUE!</v>
      </c>
      <c r="E962" s="880" t="str">
        <f>IF(KALKULATION!F354="Kosten","   ← gerundet","")</f>
        <v/>
      </c>
      <c r="F962" s="880" t="str">
        <f ca="1">IF(' K3 PP'!M40="","","; in K3 vermerkt")</f>
        <v/>
      </c>
    </row>
    <row r="963" spans="1:13" hidden="1" x14ac:dyDescent="0.5">
      <c r="A963" s="880" t="s">
        <v>416</v>
      </c>
      <c r="B963" s="880">
        <f ca="1">' K3 PP'!O43</f>
        <v>15.91</v>
      </c>
      <c r="C963" s="880" t="str">
        <f ca="1">' K3 PP'!M43</f>
        <v/>
      </c>
      <c r="D963" s="880" t="e">
        <f ca="1">C963+B963</f>
        <v>#VALUE!</v>
      </c>
    </row>
    <row r="964" spans="1:13" hidden="1" x14ac:dyDescent="0.5">
      <c r="A964" s="880" t="s">
        <v>415</v>
      </c>
      <c r="B964" s="880">
        <f ca="1">SUM(B962:B963)</f>
        <v>72.739999999999995</v>
      </c>
      <c r="C964" s="880">
        <f t="shared" ref="C964" ca="1" si="13">SUM(C962:C963)</f>
        <v>0</v>
      </c>
      <c r="D964" s="880" t="str">
        <f>' K3 PP'!W45</f>
        <v/>
      </c>
      <c r="E964" s="880" t="str">
        <f>IF(KALKULATION!F354="Preis","   ← gerundet","")</f>
        <v/>
      </c>
      <c r="F964" s="880" t="str">
        <f ca="1">IF(' K3 PP'!M45="","","; in K3 vermerkt")</f>
        <v/>
      </c>
    </row>
    <row r="965" spans="1:13" hidden="1" x14ac:dyDescent="0.5">
      <c r="A965" s="880" t="s">
        <v>417</v>
      </c>
      <c r="B965" s="880">
        <f>KALKULATION!G345</f>
        <v>0.28000000000000003</v>
      </c>
      <c r="C965" s="880" t="str">
        <f ca="1">KALKULATION!G346</f>
        <v/>
      </c>
      <c r="D965" s="880" t="e">
        <f ca="1">D963/D962</f>
        <v>#VALUE!</v>
      </c>
    </row>
    <row r="966" spans="1:13" hidden="1" x14ac:dyDescent="0.5">
      <c r="M966" s="1827" t="s">
        <v>426</v>
      </c>
    </row>
    <row r="967" spans="1:13" hidden="1" x14ac:dyDescent="0.5">
      <c r="A967" s="880" t="str">
        <f>"Die kalkulierten Personalkosten""betragen"</f>
        <v>Die kalkulierten Personalkosten"betragen</v>
      </c>
    </row>
    <row r="968" spans="1:13" hidden="1" x14ac:dyDescent="0.5"/>
    <row r="969" spans="1:13" hidden="1" x14ac:dyDescent="0.5">
      <c r="A969" s="880" t="str">
        <f>"                     Personal (SpB)                    Umlagen (Sp A)                 Gesamt"</f>
        <v xml:space="preserve">                     Personal (SpB)                    Umlagen (Sp A)                 Gesamt</v>
      </c>
    </row>
    <row r="970" spans="1:13" hidden="1" x14ac:dyDescent="0.5">
      <c r="A970" s="880" t="e">
        <f ca="1">"Kosten          "&amp;TEXT(B962,"000,00€")&amp;"                               "&amp;TEXT(C962,"00,00€")&amp;"                              "&amp;TEXT(D962,"000,00€")&amp;E962&amp;F962</f>
        <v>#VALUE!</v>
      </c>
    </row>
    <row r="971" spans="1:13" hidden="1" x14ac:dyDescent="0.5">
      <c r="A971" s="880" t="e">
        <f ca="1">"GZ                 "&amp;TEXT(B963,"000,00€")&amp;" ("&amp;TEXT(B965,"00,000%")&amp;")           "&amp;TEXT(C963,"00,00€")&amp;" ("&amp;TEXT(C965,"00,000%")&amp;")           "&amp;TEXT(D963,"000,00€")</f>
        <v>#VALUE!</v>
      </c>
    </row>
    <row r="972" spans="1:13" hidden="1" x14ac:dyDescent="0.5">
      <c r="A972" s="880" t="str">
        <f ca="1">"Preis            "&amp;TEXT(B964,"0,00€")&amp;"                               "&amp;TEXT(C964,"0,00€")&amp;"                               "&amp;TEXT(D964,"0,00€")&amp;E964&amp;F964</f>
        <v xml:space="preserve">Preis            72,74€                               0,00€                               </v>
      </c>
    </row>
    <row r="973" spans="1:13" hidden="1" x14ac:dyDescent="0.5"/>
    <row r="974" spans="1:13" hidden="1" x14ac:dyDescent="0.5"/>
    <row r="975" spans="1:13" hidden="1" x14ac:dyDescent="0.5">
      <c r="A975" s="3103" t="str">
        <f>IFERROR(IF(KALKULATION!F351=_Ja,"
Die K3-Blätter sind gegenüber dem Muster in der ÖNORM B 2061 erweitert dargestellt (J2).",""),$K$6)</f>
        <v xml:space="preserve">
Die K3-Blätter sind gegenüber dem Muster in der ÖNORM B 2061 erweitert dargestellt (J2).</v>
      </c>
      <c r="B975" s="3103"/>
      <c r="C975" s="3103"/>
      <c r="D975" s="3103"/>
      <c r="E975" s="3103"/>
      <c r="F975" s="3103"/>
      <c r="G975" s="3103"/>
      <c r="H975" s="3103"/>
      <c r="I975" s="3103"/>
    </row>
    <row r="976" spans="1:13" hidden="1" x14ac:dyDescent="0.5">
      <c r="A976" s="3103"/>
      <c r="B976" s="3103"/>
      <c r="C976" s="3103"/>
      <c r="D976" s="3103"/>
      <c r="E976" s="3103"/>
      <c r="F976" s="3103"/>
      <c r="G976" s="3103"/>
      <c r="H976" s="3103"/>
      <c r="I976" s="3103"/>
    </row>
    <row r="977" spans="1:9" hidden="1" x14ac:dyDescent="0.5">
      <c r="A977" s="3103"/>
      <c r="B977" s="3103"/>
      <c r="C977" s="3103"/>
      <c r="D977" s="3103"/>
      <c r="E977" s="3103"/>
      <c r="F977" s="3103"/>
      <c r="G977" s="3103"/>
      <c r="H977" s="3103"/>
      <c r="I977" s="3103"/>
    </row>
    <row r="978" spans="1:9" hidden="1" x14ac:dyDescent="0.5">
      <c r="A978" s="3103"/>
      <c r="B978" s="3103"/>
      <c r="C978" s="3103"/>
      <c r="D978" s="3103"/>
      <c r="E978" s="3103"/>
      <c r="F978" s="3103"/>
      <c r="G978" s="3103"/>
      <c r="H978" s="3103"/>
      <c r="I978" s="3103"/>
    </row>
    <row r="979" spans="1:9" hidden="1" x14ac:dyDescent="0.5">
      <c r="A979" s="1574"/>
      <c r="B979" s="1574"/>
      <c r="C979" s="1574"/>
      <c r="D979" s="1574"/>
      <c r="E979" s="1574"/>
      <c r="F979" s="1574"/>
      <c r="G979" s="1574"/>
      <c r="H979" s="1574"/>
      <c r="I979" s="1574"/>
    </row>
    <row r="980" spans="1:9" hidden="1" x14ac:dyDescent="0.5">
      <c r="A980" s="3053"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3"/>
      <c r="C980" s="3053"/>
      <c r="D980" s="3053"/>
      <c r="E980" s="3053"/>
      <c r="F980" s="3053"/>
      <c r="G980" s="3053"/>
      <c r="H980" s="3053"/>
      <c r="I980" s="3053"/>
    </row>
    <row r="981" spans="1:9" hidden="1" x14ac:dyDescent="0.5">
      <c r="A981" s="3053"/>
      <c r="B981" s="3053"/>
      <c r="C981" s="3053"/>
      <c r="D981" s="3053"/>
      <c r="E981" s="3053"/>
      <c r="F981" s="3053"/>
      <c r="G981" s="3053"/>
      <c r="H981" s="3053"/>
      <c r="I981" s="3053"/>
    </row>
    <row r="982" spans="1:9" hidden="1" x14ac:dyDescent="0.5">
      <c r="A982" s="3053"/>
      <c r="B982" s="3053"/>
      <c r="C982" s="3053"/>
      <c r="D982" s="3053"/>
      <c r="E982" s="3053"/>
      <c r="F982" s="3053"/>
      <c r="G982" s="3053"/>
      <c r="H982" s="3053"/>
      <c r="I982" s="3053"/>
    </row>
    <row r="983" spans="1:9" hidden="1" x14ac:dyDescent="0.5">
      <c r="A983" s="3053"/>
      <c r="B983" s="3053"/>
      <c r="C983" s="3053"/>
      <c r="D983" s="3053"/>
      <c r="E983" s="3053"/>
      <c r="F983" s="3053"/>
      <c r="G983" s="3053"/>
      <c r="H983" s="3053"/>
      <c r="I983" s="3053"/>
    </row>
    <row r="984" spans="1:9" hidden="1" x14ac:dyDescent="0.5">
      <c r="A984" s="3053"/>
      <c r="B984" s="3053"/>
      <c r="C984" s="3053"/>
      <c r="D984" s="3053"/>
      <c r="E984" s="3053"/>
      <c r="F984" s="3053"/>
      <c r="G984" s="3053"/>
      <c r="H984" s="3053"/>
      <c r="I984" s="3053"/>
    </row>
    <row r="985" spans="1:9" hidden="1" x14ac:dyDescent="0.5">
      <c r="A985" s="1569"/>
      <c r="B985" s="1569"/>
      <c r="C985" s="1569"/>
      <c r="D985" s="1569"/>
      <c r="E985" s="1569"/>
      <c r="F985" s="1569"/>
      <c r="G985" s="1569"/>
      <c r="H985" s="1569"/>
      <c r="I985" s="1569"/>
    </row>
    <row r="986" spans="1:9" hidden="1" x14ac:dyDescent="0.5">
      <c r="A986" s="3053" t="str">
        <f>IFERROR(IF(AND(KALKULATION!B362&lt;&gt;KALKULATION!M411,SUM(KALKULATION!E366:F366)&lt;&gt;0),"
Die Berechnung ist vom einer Zielgröße bestimmt (J4). Ein Ausgleichsbetrag ist daher den PGK Pkt G3 zugeschlagen. ",""),$K$6)</f>
        <v/>
      </c>
      <c r="B986" s="3053"/>
      <c r="C986" s="3053"/>
      <c r="D986" s="3053"/>
      <c r="E986" s="3053"/>
      <c r="F986" s="3053"/>
      <c r="G986" s="3053"/>
      <c r="H986" s="3053"/>
      <c r="I986" s="3053"/>
    </row>
    <row r="987" spans="1:9" hidden="1" x14ac:dyDescent="0.5">
      <c r="A987" s="3053"/>
      <c r="B987" s="3053"/>
      <c r="C987" s="3053"/>
      <c r="D987" s="3053"/>
      <c r="E987" s="3053"/>
      <c r="F987" s="3053"/>
      <c r="G987" s="3053"/>
      <c r="H987" s="3053"/>
      <c r="I987" s="3053"/>
    </row>
    <row r="988" spans="1:9" hidden="1" x14ac:dyDescent="0.5">
      <c r="A988" s="3053"/>
      <c r="B988" s="3053"/>
      <c r="C988" s="3053"/>
      <c r="D988" s="3053"/>
      <c r="E988" s="3053"/>
      <c r="F988" s="3053"/>
      <c r="G988" s="3053"/>
      <c r="H988" s="3053"/>
      <c r="I988" s="3053"/>
    </row>
    <row r="989" spans="1:9" hidden="1" x14ac:dyDescent="0.5">
      <c r="A989" s="3053"/>
      <c r="B989" s="3053"/>
      <c r="C989" s="3053"/>
      <c r="D989" s="3053"/>
      <c r="E989" s="3053"/>
      <c r="F989" s="3053"/>
      <c r="G989" s="3053"/>
      <c r="H989" s="3053"/>
      <c r="I989" s="3053"/>
    </row>
    <row r="990" spans="1:9" hidden="1" x14ac:dyDescent="0.5">
      <c r="A990" s="3053"/>
      <c r="B990" s="3053"/>
      <c r="C990" s="3053"/>
      <c r="D990" s="3053"/>
      <c r="E990" s="3053"/>
      <c r="F990" s="3053"/>
      <c r="G990" s="3053"/>
      <c r="H990" s="3053"/>
      <c r="I990" s="3053"/>
    </row>
    <row r="991" spans="1:9" hidden="1" x14ac:dyDescent="0.5"/>
    <row r="992" spans="1:9" hidden="1" x14ac:dyDescent="0.5">
      <c r="A992" s="3068"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72,74 €/Std | 
1,21 €/Min.
Wenn Sie die Kalkulation auf PREIS-Basis fortsetzen (K7-Blätter), ist dieses Ergebnis relevant. Der GZ ist nicht mehr zu berücksichtigen. </v>
      </c>
      <c r="B992" s="3069"/>
      <c r="C992" s="3069"/>
      <c r="D992" s="3069"/>
      <c r="E992" s="3069"/>
      <c r="F992" s="3069"/>
      <c r="G992" s="3069"/>
      <c r="H992" s="3069"/>
      <c r="I992" s="3070"/>
    </row>
    <row r="993" spans="1:11" hidden="1" x14ac:dyDescent="0.5">
      <c r="A993" s="3066"/>
      <c r="B993" s="3053"/>
      <c r="C993" s="3053"/>
      <c r="D993" s="3053"/>
      <c r="E993" s="3053"/>
      <c r="F993" s="3053"/>
      <c r="G993" s="3053"/>
      <c r="H993" s="3053"/>
      <c r="I993" s="3067"/>
    </row>
    <row r="994" spans="1:11" hidden="1" x14ac:dyDescent="0.5">
      <c r="A994" s="3066"/>
      <c r="B994" s="3053"/>
      <c r="C994" s="3053"/>
      <c r="D994" s="3053"/>
      <c r="E994" s="3053"/>
      <c r="F994" s="3053"/>
      <c r="G994" s="3053"/>
      <c r="H994" s="3053"/>
      <c r="I994" s="3067"/>
    </row>
    <row r="995" spans="1:11" hidden="1" x14ac:dyDescent="0.5">
      <c r="A995" s="3066"/>
      <c r="B995" s="3053"/>
      <c r="C995" s="3053"/>
      <c r="D995" s="3053"/>
      <c r="E995" s="3053"/>
      <c r="F995" s="3053"/>
      <c r="G995" s="3053"/>
      <c r="H995" s="3053"/>
      <c r="I995" s="3067"/>
    </row>
    <row r="996" spans="1:11" hidden="1" x14ac:dyDescent="0.5">
      <c r="A996" s="3066"/>
      <c r="B996" s="3053"/>
      <c r="C996" s="3053"/>
      <c r="D996" s="3053"/>
      <c r="E996" s="3053"/>
      <c r="F996" s="3053"/>
      <c r="G996" s="3053"/>
      <c r="H996" s="3053"/>
      <c r="I996" s="3067"/>
    </row>
    <row r="997" spans="1:11" hidden="1" x14ac:dyDescent="0.5">
      <c r="A997" s="3071"/>
      <c r="B997" s="3072"/>
      <c r="C997" s="3072"/>
      <c r="D997" s="3072"/>
      <c r="E997" s="3072"/>
      <c r="F997" s="3072"/>
      <c r="G997" s="3072"/>
      <c r="H997" s="3072"/>
      <c r="I997" s="3073"/>
    </row>
    <row r="998" spans="1:11" hidden="1" x14ac:dyDescent="0.5"/>
    <row r="999" spans="1:11" ht="15.75" hidden="1" customHeight="1" x14ac:dyDescent="0.5">
      <c r="A999" s="3069"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56,83 €/Std
0,95 €/Min.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69"/>
      <c r="C999" s="3069"/>
      <c r="D999" s="3069"/>
      <c r="E999" s="3069"/>
      <c r="F999" s="3069"/>
      <c r="G999" s="3069"/>
      <c r="H999" s="3069"/>
      <c r="I999" s="3069"/>
    </row>
    <row r="1000" spans="1:11" hidden="1" x14ac:dyDescent="0.5">
      <c r="A1000" s="3053"/>
      <c r="B1000" s="3053"/>
      <c r="C1000" s="3053"/>
      <c r="D1000" s="3053"/>
      <c r="E1000" s="3053"/>
      <c r="F1000" s="3053"/>
      <c r="G1000" s="3053"/>
      <c r="H1000" s="3053"/>
      <c r="I1000" s="3053"/>
      <c r="K1000" s="1268" t="str">
        <f>' K3 PP'!B40</f>
        <v>Mittellohnkosten</v>
      </c>
    </row>
    <row r="1001" spans="1:11" hidden="1" x14ac:dyDescent="0.5">
      <c r="A1001" s="3053"/>
      <c r="B1001" s="3053"/>
      <c r="C1001" s="3053"/>
      <c r="D1001" s="3053"/>
      <c r="E1001" s="3053"/>
      <c r="F1001" s="3053"/>
      <c r="G1001" s="3053"/>
      <c r="H1001" s="3053"/>
      <c r="I1001" s="3053"/>
      <c r="K1001" s="1268" t="str">
        <f ca="1">' K3 PP'!N40</f>
        <v>56,83 €/Std
0,95 €/Min</v>
      </c>
    </row>
    <row r="1002" spans="1:11" hidden="1" x14ac:dyDescent="0.5">
      <c r="A1002" s="3053"/>
      <c r="B1002" s="3053"/>
      <c r="C1002" s="3053"/>
      <c r="D1002" s="3053"/>
      <c r="E1002" s="3053"/>
      <c r="F1002" s="3053"/>
      <c r="G1002" s="3053"/>
      <c r="H1002" s="3053"/>
      <c r="I1002" s="3053"/>
    </row>
    <row r="1003" spans="1:11" hidden="1" x14ac:dyDescent="0.5">
      <c r="A1003" s="3053"/>
      <c r="B1003" s="3053"/>
      <c r="C1003" s="3053"/>
      <c r="D1003" s="3053"/>
      <c r="E1003" s="3053"/>
      <c r="F1003" s="3053"/>
      <c r="G1003" s="3053"/>
      <c r="H1003" s="3053"/>
      <c r="I1003" s="3053"/>
    </row>
    <row r="1004" spans="1:11" hidden="1" x14ac:dyDescent="0.5">
      <c r="A1004" s="3053"/>
      <c r="B1004" s="3053"/>
      <c r="C1004" s="3053"/>
      <c r="D1004" s="3053"/>
      <c r="E1004" s="3053"/>
      <c r="F1004" s="3053"/>
      <c r="G1004" s="3053"/>
      <c r="H1004" s="3053"/>
      <c r="I1004" s="3053"/>
    </row>
    <row r="1005" spans="1:11" hidden="1" x14ac:dyDescent="0.5">
      <c r="A1005" s="3053"/>
      <c r="B1005" s="3053"/>
      <c r="C1005" s="3053"/>
      <c r="D1005" s="3053"/>
      <c r="E1005" s="3053"/>
      <c r="F1005" s="3053"/>
      <c r="G1005" s="3053"/>
      <c r="H1005" s="3053"/>
      <c r="I1005" s="3053"/>
    </row>
    <row r="1006" spans="1:11" hidden="1" x14ac:dyDescent="0.5">
      <c r="A1006" s="3053"/>
      <c r="B1006" s="3053"/>
      <c r="C1006" s="3053"/>
      <c r="D1006" s="3053"/>
      <c r="E1006" s="3053"/>
      <c r="F1006" s="3053"/>
      <c r="G1006" s="3053"/>
      <c r="H1006" s="3053"/>
      <c r="I1006" s="3053"/>
    </row>
    <row r="1007" spans="1:11" hidden="1" x14ac:dyDescent="0.5">
      <c r="A1007" s="3053"/>
      <c r="B1007" s="3053"/>
      <c r="C1007" s="3053"/>
      <c r="D1007" s="3053"/>
      <c r="E1007" s="3053"/>
      <c r="F1007" s="3053"/>
      <c r="G1007" s="3053"/>
      <c r="H1007" s="3053"/>
      <c r="I1007" s="3053"/>
    </row>
    <row r="1008" spans="1:11" hidden="1" x14ac:dyDescent="0.5">
      <c r="A1008" s="3053"/>
      <c r="B1008" s="3053"/>
      <c r="C1008" s="3053"/>
      <c r="D1008" s="3053"/>
      <c r="E1008" s="3053"/>
      <c r="F1008" s="3053"/>
      <c r="G1008" s="3053"/>
      <c r="H1008" s="3053"/>
      <c r="I1008" s="3053"/>
    </row>
    <row r="1009" spans="1:9" hidden="1" x14ac:dyDescent="0.5">
      <c r="A1009" s="3053"/>
      <c r="B1009" s="3053"/>
      <c r="C1009" s="3053"/>
      <c r="D1009" s="3053"/>
      <c r="E1009" s="3053"/>
      <c r="F1009" s="3053"/>
      <c r="G1009" s="3053"/>
      <c r="H1009" s="3053"/>
      <c r="I1009" s="3053"/>
    </row>
    <row r="1010" spans="1:9" hidden="1" x14ac:dyDescent="0.5">
      <c r="A1010" s="3053"/>
      <c r="B1010" s="3053"/>
      <c r="C1010" s="3053"/>
      <c r="D1010" s="3053"/>
      <c r="E1010" s="3053"/>
      <c r="F1010" s="3053"/>
      <c r="G1010" s="3053"/>
      <c r="H1010" s="3053"/>
      <c r="I1010" s="3053"/>
    </row>
    <row r="1011" spans="1:9" hidden="1" x14ac:dyDescent="0.5">
      <c r="A1011" s="3053"/>
      <c r="B1011" s="3053"/>
      <c r="C1011" s="3053"/>
      <c r="D1011" s="3053"/>
      <c r="E1011" s="3053"/>
      <c r="F1011" s="3053"/>
      <c r="G1011" s="3053"/>
      <c r="H1011" s="3053"/>
      <c r="I1011" s="3053"/>
    </row>
    <row r="1012" spans="1:9" hidden="1" x14ac:dyDescent="0.5">
      <c r="A1012" s="3053"/>
      <c r="B1012" s="3053"/>
      <c r="C1012" s="3053"/>
      <c r="D1012" s="3053"/>
      <c r="E1012" s="3053"/>
      <c r="F1012" s="3053"/>
      <c r="G1012" s="3053"/>
      <c r="H1012" s="3053"/>
      <c r="I1012" s="3053"/>
    </row>
    <row r="1013" spans="1:9" hidden="1" x14ac:dyDescent="0.5">
      <c r="A1013" s="3053"/>
      <c r="B1013" s="3053"/>
      <c r="C1013" s="3053"/>
      <c r="D1013" s="3053"/>
      <c r="E1013" s="3053"/>
      <c r="F1013" s="3053"/>
      <c r="G1013" s="3053"/>
      <c r="H1013" s="3053"/>
      <c r="I1013" s="3053"/>
    </row>
    <row r="1014" spans="1:9" hidden="1" x14ac:dyDescent="0.5"/>
    <row r="1015" spans="1:9" hidden="1" x14ac:dyDescent="0.5"/>
    <row r="1016" spans="1:9" hidden="1" x14ac:dyDescent="0.5">
      <c r="A1016" s="1828" t="s">
        <v>446</v>
      </c>
    </row>
    <row r="1017" spans="1:9" hidden="1" x14ac:dyDescent="0.5">
      <c r="A1017" s="1698" t="str">
        <f>IF(OR('K2 GZ'!C12="",'K2 GZ'!M25=0),"",'K2 GZ'!C12&amp;" ("&amp;(TEXT('K2 GZ'!M25,"0,000%")&amp;"), "))</f>
        <v xml:space="preserve">Alle Kostenarten (28,000%), </v>
      </c>
    </row>
    <row r="1018" spans="1:9" hidden="1" x14ac:dyDescent="0.5">
      <c r="A1018" s="1698" t="str">
        <f>IF(OR('K2 GZ'!C13="",'K2 GZ'!M26=0),"",'K2 GZ'!C13&amp;" ("&amp;(TEXT('K2 GZ'!M26,"0,000%")&amp;"), "))</f>
        <v/>
      </c>
    </row>
    <row r="1019" spans="1:9" hidden="1" x14ac:dyDescent="0.5">
      <c r="A1019" s="1698" t="str">
        <f>IF(OR('K2 GZ'!C14="",'K2 GZ'!M27=0),"",'K2 GZ'!C14&amp;" ("&amp;(TEXT('K2 GZ'!M27,"0,000%")&amp;"), "))</f>
        <v/>
      </c>
    </row>
    <row r="1020" spans="1:9" hidden="1" x14ac:dyDescent="0.5">
      <c r="A1020" s="1698" t="str">
        <f>IF(OR('K2 GZ'!C15="",'K2 GZ'!M28=0),"",'K2 GZ'!C15&amp;" ("&amp;(TEXT('K2 GZ'!M28,"0,000%")&amp;"), "))</f>
        <v/>
      </c>
    </row>
    <row r="1021" spans="1:9" hidden="1" x14ac:dyDescent="0.5">
      <c r="A1021" s="1698" t="str">
        <f>IF(OR('K2 GZ'!C16="",'K2 GZ'!M29=0),"",'K2 GZ'!C16&amp;" ("&amp;(TEXT('K2 GZ'!M29,"0,000%")&amp;"), "))</f>
        <v/>
      </c>
    </row>
    <row r="1022" spans="1:9" hidden="1" x14ac:dyDescent="0.5">
      <c r="A1022" s="1698" t="str">
        <f>IF(OR('K2 GZ'!C17="",'K2 GZ'!M30=0),"",'K2 GZ'!C17&amp;" ("&amp;(TEXT('K2 GZ'!M30,"0,000%")&amp;"), "))</f>
        <v/>
      </c>
    </row>
    <row r="1023" spans="1:9" hidden="1" x14ac:dyDescent="0.5">
      <c r="A1023" s="1698" t="str">
        <f>IF(OR('K2 GZ'!C18="",'K2 GZ'!M31=0),"",'K2 GZ'!C18&amp;" ("&amp;(TEXT('K2 GZ'!M31,"0,000%")&amp;"), "))</f>
        <v/>
      </c>
    </row>
    <row r="1024" spans="1:9" hidden="1" x14ac:dyDescent="0.5">
      <c r="A1024" s="1698" t="str">
        <f>IF(OR('K2 GZ'!C19="",'K2 GZ'!M32=0),"",'K2 GZ'!C19&amp;" ("&amp;(TEXT('K2 GZ'!M32,"0,000%")&amp;"), "))</f>
        <v/>
      </c>
    </row>
    <row r="1025" spans="1:9" hidden="1" x14ac:dyDescent="0.5">
      <c r="A1025" s="1701" t="str">
        <f>A1017&amp;A1018&amp;A1019&amp;A1020&amp;A1021&amp;A1022&amp;A1023&amp;A1024</f>
        <v xml:space="preserve">Alle Kostenarten (28,000%), </v>
      </c>
    </row>
    <row r="1026" spans="1:9" hidden="1" x14ac:dyDescent="0.5">
      <c r="A1026" s="1701">
        <f>LEN(A1025)</f>
        <v>28</v>
      </c>
    </row>
    <row r="1027" spans="1:9" hidden="1" x14ac:dyDescent="0.5">
      <c r="A1027" s="1707" t="str">
        <f>IF(A1026&gt;0,MID(A1025,1,A1026-2),"")</f>
        <v>Alle Kostenarten (28,000%)</v>
      </c>
    </row>
    <row r="1028" spans="1:9" hidden="1" x14ac:dyDescent="0.5"/>
    <row r="1029" spans="1:9" hidden="1" x14ac:dyDescent="0.5">
      <c r="A1029" s="3053" t="str">
        <f>IFERROR("Im K2-Blatt finden sich folgende Gesamtzuschläge (Bezeichnung und GZ in %): ["&amp;A1027&amp;"]. "&amp;IF('K2 GZ'!$P$23="Ja","Die Werte sind als gerundet ausgewiesen. ",""),$K$6)</f>
        <v xml:space="preserve">Im K2-Blatt finden sich folgende Gesamtzuschläge (Bezeichnung und GZ in %): [Alle Kostenarten (28,000%)]. Die Werte sind als gerundet ausgewiesen. </v>
      </c>
      <c r="B1029" s="3053"/>
      <c r="C1029" s="3053"/>
      <c r="D1029" s="3053"/>
      <c r="E1029" s="3053"/>
      <c r="F1029" s="3053"/>
      <c r="G1029" s="3053"/>
      <c r="H1029" s="3053"/>
      <c r="I1029" s="3053"/>
    </row>
    <row r="1030" spans="1:9" hidden="1" x14ac:dyDescent="0.5">
      <c r="A1030" s="3053"/>
      <c r="B1030" s="3053"/>
      <c r="C1030" s="3053"/>
      <c r="D1030" s="3053"/>
      <c r="E1030" s="3053"/>
      <c r="F1030" s="3053"/>
      <c r="G1030" s="3053"/>
      <c r="H1030" s="3053"/>
      <c r="I1030" s="3053"/>
    </row>
    <row r="1031" spans="1:9" hidden="1" x14ac:dyDescent="0.5">
      <c r="A1031" s="3053"/>
      <c r="B1031" s="3053"/>
      <c r="C1031" s="3053"/>
      <c r="D1031" s="3053"/>
      <c r="E1031" s="3053"/>
      <c r="F1031" s="3053"/>
      <c r="G1031" s="3053"/>
      <c r="H1031" s="3053"/>
      <c r="I1031" s="3053"/>
    </row>
    <row r="1032" spans="1:9" hidden="1" x14ac:dyDescent="0.5">
      <c r="A1032" s="3053"/>
      <c r="B1032" s="3053"/>
      <c r="C1032" s="3053"/>
      <c r="D1032" s="3053"/>
      <c r="E1032" s="3053"/>
      <c r="F1032" s="3053"/>
      <c r="G1032" s="3053"/>
      <c r="H1032" s="3053"/>
      <c r="I1032" s="3053"/>
    </row>
    <row r="1033" spans="1:9" hidden="1" x14ac:dyDescent="0.5">
      <c r="A1033" s="3053"/>
      <c r="B1033" s="3053"/>
      <c r="C1033" s="3053"/>
      <c r="D1033" s="3053"/>
      <c r="E1033" s="3053"/>
      <c r="F1033" s="3053"/>
      <c r="G1033" s="3053"/>
      <c r="H1033" s="3053"/>
      <c r="I1033" s="3053"/>
    </row>
    <row r="1034" spans="1:9" hidden="1" x14ac:dyDescent="0.5"/>
    <row r="1035" spans="1:9" hidden="1" x14ac:dyDescent="0.5">
      <c r="A1035" s="1829" t="s">
        <v>447</v>
      </c>
      <c r="B1035" s="516"/>
      <c r="C1035" s="516"/>
      <c r="D1035" s="278" t="s">
        <v>448</v>
      </c>
      <c r="E1035" s="278" t="s">
        <v>449</v>
      </c>
      <c r="F1035" s="278" t="s">
        <v>450</v>
      </c>
      <c r="G1035" s="278" t="s">
        <v>442</v>
      </c>
      <c r="H1035" s="278" t="s">
        <v>443</v>
      </c>
      <c r="I1035" s="278" t="s">
        <v>416</v>
      </c>
    </row>
    <row r="1036" spans="1:9" hidden="1" x14ac:dyDescent="0.5">
      <c r="A1036" s="516" t="str">
        <f>KALKULATION!E345</f>
        <v>Alle Kostenarten</v>
      </c>
      <c r="B1036" s="516"/>
      <c r="C1036" s="516"/>
      <c r="D1036" s="1830">
        <f>IFERROR(VLOOKUP($A1036,'K2 GZ'!$C$12:$M$19,4,FALSE),$M$20)</f>
        <v>0</v>
      </c>
      <c r="E1036" s="1830">
        <f>IFERROR(VLOOKUP($A1036,'K2 GZ'!$C$12:$M$19,8,FALSE),$M$20)</f>
        <v>0.18</v>
      </c>
      <c r="F1036" s="1830">
        <f>IFERROR(VLOOKUP($A1036,'K2 GZ'!$C$12:$M$19,11,FALSE),$M$20)</f>
        <v>2.3599999999999999E-2</v>
      </c>
      <c r="G1036" s="1830">
        <f>IFERROR(VLOOKUP($A1036,'K2 GZ'!$B$25:$M$32,4,FALSE),$M$20)</f>
        <v>3.61E-2</v>
      </c>
      <c r="H1036" s="1830">
        <f>IFERROR(VLOOKUP($A1036,'K2 GZ'!$B$25:$M$32,6,FALSE),$M$20)</f>
        <v>4.0300000000000002E-2</v>
      </c>
      <c r="I1036" s="1830">
        <f>IFERROR(VLOOKUP($A1036,'K2 GZ'!$B$25:$M$32,12,FALSE),$M$20)</f>
        <v>0.28000000000000003</v>
      </c>
    </row>
    <row r="1037" spans="1:9" hidden="1" x14ac:dyDescent="0.5">
      <c r="A1037" s="516"/>
      <c r="B1037" s="516"/>
      <c r="C1037" s="516"/>
      <c r="D1037" s="1831">
        <f>D1036/$I1036</f>
        <v>0</v>
      </c>
      <c r="E1037" s="1831">
        <f t="shared" ref="E1037:I1037" si="14">E1036/$I1036</f>
        <v>0.64290000000000003</v>
      </c>
      <c r="F1037" s="1831">
        <f t="shared" si="14"/>
        <v>8.43E-2</v>
      </c>
      <c r="G1037" s="1831">
        <f t="shared" si="14"/>
        <v>0.12889999999999999</v>
      </c>
      <c r="H1037" s="1831">
        <f t="shared" si="14"/>
        <v>0.1439</v>
      </c>
      <c r="I1037" s="1831">
        <f t="shared" si="14"/>
        <v>1</v>
      </c>
    </row>
    <row r="1038" spans="1:9" hidden="1" x14ac:dyDescent="0.5">
      <c r="A1038" s="516"/>
      <c r="B1038" s="1832">
        <f ca="1">' K3 PP'!O39*I1036</f>
        <v>15.91</v>
      </c>
      <c r="C1038" s="516"/>
      <c r="D1038" s="1833">
        <f ca="1">$B1038*D1037</f>
        <v>0</v>
      </c>
      <c r="E1038" s="1833">
        <f t="shared" ref="E1038:I1038" ca="1" si="15">$B1038*E1037</f>
        <v>10.23</v>
      </c>
      <c r="F1038" s="1833">
        <f t="shared" ca="1" si="15"/>
        <v>1.34</v>
      </c>
      <c r="G1038" s="1833">
        <f t="shared" ca="1" si="15"/>
        <v>2.0499999999999998</v>
      </c>
      <c r="H1038" s="1833">
        <f t="shared" ca="1" si="15"/>
        <v>2.29</v>
      </c>
      <c r="I1038" s="1833">
        <f t="shared" ca="1" si="15"/>
        <v>15.91</v>
      </c>
    </row>
    <row r="1039" spans="1:9" hidden="1" x14ac:dyDescent="0.5">
      <c r="A1039" s="516"/>
      <c r="B1039" s="1832">
        <f ca="1">B1038*KALKULATION!C$95*KALKULATION!F$63</f>
        <v>2481.96</v>
      </c>
      <c r="C1039" s="516"/>
      <c r="D1039" s="1833">
        <f ca="1">$B1039*D1037</f>
        <v>0</v>
      </c>
      <c r="E1039" s="1833">
        <f t="shared" ref="E1039:I1039" ca="1" si="16">$B1039*E1037</f>
        <v>1595.65</v>
      </c>
      <c r="F1039" s="1833">
        <f t="shared" ca="1" si="16"/>
        <v>209.23</v>
      </c>
      <c r="G1039" s="1833">
        <f t="shared" ca="1" si="16"/>
        <v>319.92</v>
      </c>
      <c r="H1039" s="1833">
        <f t="shared" ca="1" si="16"/>
        <v>357.15</v>
      </c>
      <c r="I1039" s="1833">
        <f t="shared" ca="1" si="16"/>
        <v>2481.96</v>
      </c>
    </row>
    <row r="1040" spans="1:9" hidden="1" x14ac:dyDescent="0.5">
      <c r="A1040" s="516"/>
      <c r="B1040" s="516"/>
      <c r="C1040" s="516"/>
      <c r="D1040" s="516" t="str">
        <f>IF(D1036&lt;&gt;0,"
- aus dem Übertrag vom K2a-Blatt in Hv "&amp;TEXT(D1038,"0,00€")&amp;"/Std bzw "&amp;TEXT(D1039,"0€")&amp;" pro Woche","")</f>
        <v/>
      </c>
      <c r="E1040" s="516" t="str">
        <f ca="1">"
- aus dem Ansatz für "&amp;E1035&amp;" in Hv "&amp;TEXT(E1038,"0,00€")&amp;"/Std bzw "&amp;TEXT(E1039,"0€")&amp;" pro Woche"</f>
        <v xml:space="preserve">
- aus dem Ansatz für GGK in Hv 10,23€/Std bzw 1596€ pro Woche</v>
      </c>
      <c r="F1040" s="516" t="str">
        <f ca="1">"
- aus dem Ansatz für "&amp;F1035&amp;" in Hv "&amp;TEXT(F1038,"0,00€")&amp;"/Std bzw "&amp;TEXT(F1039,"0€")&amp;" pro Woche"</f>
        <v xml:space="preserve">
- aus dem Ansatz für Finanzierungskosten in Hv 1,34€/Std bzw 209€ pro Woche</v>
      </c>
      <c r="G1040" s="516" t="str">
        <f ca="1">"
- aus dem Ansatz für "&amp;G1035&amp;" in Hv "&amp;TEXT(G1038,"0,00€")&amp;"/Std bzw "&amp;TEXT(G1039,"0€")&amp;" pro Woche"</f>
        <v xml:space="preserve">
- aus dem Ansatz für Wagnis in Hv 2,05€/Std bzw 320€ pro Woche</v>
      </c>
      <c r="H1040" s="516" t="str">
        <f ca="1">"
- aus dem Ansatz für "&amp;H1035&amp;" in Hv "&amp;TEXT(H1038,"0,00€")&amp;"/Std bzw "&amp;TEXT(H1039,"0€")&amp;" pro Woche."</f>
        <v xml:space="preserve">
- aus dem Ansatz für Gewinn in Hv 2,29€/Std bzw 357€ pro Woche.</v>
      </c>
      <c r="I1040" s="516" t="str">
        <f ca="1">TEXT(I1038,"0,00€")&amp;"/Std bzw "&amp;TEXT(I1039,"0€")&amp;" pro Woche"</f>
        <v>15,91€/Std bzw 2482€ pro Woche</v>
      </c>
    </row>
    <row r="1041" spans="1:9" hidden="1" x14ac:dyDescent="0.5"/>
    <row r="1042" spans="1:9" ht="15.75" hidden="1" customHeight="1" x14ac:dyDescent="0.5">
      <c r="A1042" s="3053"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28,000% Deckungsbeiträge in Hv 15,91€/Std bzw 2482€ pro Woche (bei der kalkulierten Arbeitszeit und Beschäftigtenzahl; ohne Berücksichtigung von Feiertagen - daher maximal) ergeben. Die Deckungsbeiträge erwirtschaften sich im Detail wie folgt: 
- aus dem Ansatz für GGK in Hv 10,23€/Std bzw 1596€ pro Woche
- aus dem Ansatz für Finanzierungskosten in Hv 1,34€/Std bzw 209€ pro Woche
- aus dem Ansatz für Wagnis in Hv 2,05€/Std bzw 320€ pro Woche
- aus dem Ansatz für Gewinn in Hv 2,29€/Std bzw 357€ pro Woche.
Betreffend Herleitung siehe auch www.bauwesen.at/tools (Nr 08)!</v>
      </c>
      <c r="B1042" s="3053"/>
      <c r="C1042" s="3053"/>
      <c r="D1042" s="3053"/>
      <c r="E1042" s="3053"/>
      <c r="F1042" s="3053"/>
      <c r="G1042" s="3053"/>
      <c r="H1042" s="3053"/>
      <c r="I1042" s="3053"/>
    </row>
    <row r="1043" spans="1:9" hidden="1" x14ac:dyDescent="0.5">
      <c r="A1043" s="3053"/>
      <c r="B1043" s="3053"/>
      <c r="C1043" s="3053"/>
      <c r="D1043" s="3053"/>
      <c r="E1043" s="3053"/>
      <c r="F1043" s="3053"/>
      <c r="G1043" s="3053"/>
      <c r="H1043" s="3053"/>
      <c r="I1043" s="3053"/>
    </row>
    <row r="1044" spans="1:9" hidden="1" x14ac:dyDescent="0.5">
      <c r="A1044" s="3053"/>
      <c r="B1044" s="3053"/>
      <c r="C1044" s="3053"/>
      <c r="D1044" s="3053"/>
      <c r="E1044" s="3053"/>
      <c r="F1044" s="3053"/>
      <c r="G1044" s="3053"/>
      <c r="H1044" s="3053"/>
      <c r="I1044" s="3053"/>
    </row>
    <row r="1045" spans="1:9" hidden="1" x14ac:dyDescent="0.5">
      <c r="A1045" s="3053"/>
      <c r="B1045" s="3053"/>
      <c r="C1045" s="3053"/>
      <c r="D1045" s="3053"/>
      <c r="E1045" s="3053"/>
      <c r="F1045" s="3053"/>
      <c r="G1045" s="3053"/>
      <c r="H1045" s="3053"/>
      <c r="I1045" s="3053"/>
    </row>
    <row r="1046" spans="1:9" hidden="1" x14ac:dyDescent="0.5">
      <c r="A1046" s="3053"/>
      <c r="B1046" s="3053"/>
      <c r="C1046" s="3053"/>
      <c r="D1046" s="3053"/>
      <c r="E1046" s="3053"/>
      <c r="F1046" s="3053"/>
      <c r="G1046" s="3053"/>
      <c r="H1046" s="3053"/>
      <c r="I1046" s="3053"/>
    </row>
    <row r="1047" spans="1:9" hidden="1" x14ac:dyDescent="0.5">
      <c r="A1047" s="3053"/>
      <c r="B1047" s="3053"/>
      <c r="C1047" s="3053"/>
      <c r="D1047" s="3053"/>
      <c r="E1047" s="3053"/>
      <c r="F1047" s="3053"/>
      <c r="G1047" s="3053"/>
      <c r="H1047" s="3053"/>
      <c r="I1047" s="3053"/>
    </row>
    <row r="1048" spans="1:9" hidden="1" x14ac:dyDescent="0.5">
      <c r="A1048" s="3053"/>
      <c r="B1048" s="3053"/>
      <c r="C1048" s="3053"/>
      <c r="D1048" s="3053"/>
      <c r="E1048" s="3053"/>
      <c r="F1048" s="3053"/>
      <c r="G1048" s="3053"/>
      <c r="H1048" s="3053"/>
      <c r="I1048" s="3053"/>
    </row>
    <row r="1049" spans="1:9" hidden="1" x14ac:dyDescent="0.5">
      <c r="A1049" s="3053"/>
      <c r="B1049" s="3053"/>
      <c r="C1049" s="3053"/>
      <c r="D1049" s="3053"/>
      <c r="E1049" s="3053"/>
      <c r="F1049" s="3053"/>
      <c r="G1049" s="3053"/>
      <c r="H1049" s="3053"/>
      <c r="I1049" s="3053"/>
    </row>
    <row r="1050" spans="1:9" hidden="1" x14ac:dyDescent="0.5">
      <c r="A1050" s="3053"/>
      <c r="B1050" s="3053"/>
      <c r="C1050" s="3053"/>
      <c r="D1050" s="3053"/>
      <c r="E1050" s="3053"/>
      <c r="F1050" s="3053"/>
      <c r="G1050" s="3053"/>
      <c r="H1050" s="3053"/>
      <c r="I1050" s="3053"/>
    </row>
    <row r="1051" spans="1:9" hidden="1" x14ac:dyDescent="0.5">
      <c r="A1051" s="3053"/>
      <c r="B1051" s="3053"/>
      <c r="C1051" s="3053"/>
      <c r="D1051" s="3053"/>
      <c r="E1051" s="3053"/>
      <c r="F1051" s="3053"/>
      <c r="G1051" s="3053"/>
      <c r="H1051" s="3053"/>
      <c r="I1051" s="3053"/>
    </row>
    <row r="1052" spans="1:9" hidden="1" x14ac:dyDescent="0.5"/>
    <row r="1053" spans="1:9" hidden="1" x14ac:dyDescent="0.5">
      <c r="A1053" s="1829" t="s">
        <v>86</v>
      </c>
      <c r="B1053" s="516"/>
      <c r="C1053" s="516"/>
      <c r="D1053" s="278" t="s">
        <v>448</v>
      </c>
      <c r="E1053" s="278" t="s">
        <v>449</v>
      </c>
      <c r="F1053" s="278" t="s">
        <v>450</v>
      </c>
      <c r="G1053" s="278" t="s">
        <v>442</v>
      </c>
      <c r="H1053" s="278" t="s">
        <v>443</v>
      </c>
      <c r="I1053" s="278" t="s">
        <v>416</v>
      </c>
    </row>
    <row r="1054" spans="1:9" hidden="1" x14ac:dyDescent="0.5">
      <c r="A1054" s="516" t="str">
        <f>KALKULATION!E346</f>
        <v>Alle Kostenarten</v>
      </c>
      <c r="B1054" s="516"/>
      <c r="C1054" s="516"/>
      <c r="D1054" s="1830">
        <f>IFERROR(VLOOKUP($A1054,'K2 GZ'!$C$12:$M$19,4,FALSE),$M$20)</f>
        <v>0</v>
      </c>
      <c r="E1054" s="1830">
        <f>IFERROR(VLOOKUP($A1054,'K2 GZ'!$C$12:$M$19,8,FALSE),$M$20)</f>
        <v>0.18</v>
      </c>
      <c r="F1054" s="1830">
        <f>IFERROR(VLOOKUP($A1054,'K2 GZ'!$C$12:$M$19,11,FALSE),$M$20)</f>
        <v>2.3599999999999999E-2</v>
      </c>
      <c r="G1054" s="1830">
        <f>IFERROR(VLOOKUP($A1054,'K2 GZ'!$B$25:$M$32,4,FALSE),$M$20)</f>
        <v>3.61E-2</v>
      </c>
      <c r="H1054" s="1830">
        <f>IFERROR(VLOOKUP($A1054,'K2 GZ'!$B$25:$M$32,6,FALSE),$M$20)</f>
        <v>4.0300000000000002E-2</v>
      </c>
      <c r="I1054" s="1830">
        <f>IFERROR(VLOOKUP($A1054,'K2 GZ'!$B$25:$M$32,12,FALSE),$M$20)</f>
        <v>0.28000000000000003</v>
      </c>
    </row>
    <row r="1055" spans="1:9" hidden="1" x14ac:dyDescent="0.5">
      <c r="A1055" s="516"/>
      <c r="B1055" s="516"/>
      <c r="C1055" s="516"/>
      <c r="D1055" s="1831">
        <f>D1054/$I1054</f>
        <v>0</v>
      </c>
      <c r="E1055" s="1831">
        <f t="shared" ref="E1055" si="17">E1054/$I1054</f>
        <v>0.64290000000000003</v>
      </c>
      <c r="F1055" s="1831">
        <f t="shared" ref="F1055" si="18">F1054/$I1054</f>
        <v>8.43E-2</v>
      </c>
      <c r="G1055" s="1831">
        <f t="shared" ref="G1055" si="19">G1054/$I1054</f>
        <v>0.12889999999999999</v>
      </c>
      <c r="H1055" s="1831">
        <f t="shared" ref="H1055" si="20">H1054/$I1054</f>
        <v>0.1439</v>
      </c>
      <c r="I1055" s="1831">
        <f t="shared" ref="I1055" si="21">I1054/$I1054</f>
        <v>1</v>
      </c>
    </row>
    <row r="1056" spans="1:9" hidden="1" x14ac:dyDescent="0.5">
      <c r="A1056" s="516"/>
      <c r="B1056" s="1832" t="str">
        <f ca="1">' K3 PP'!M43</f>
        <v/>
      </c>
      <c r="C1056" s="516"/>
      <c r="D1056" s="1834" t="e">
        <f ca="1">$B1056*D1055</f>
        <v>#VALUE!</v>
      </c>
      <c r="E1056" s="1834" t="e">
        <f t="shared" ref="E1056" ca="1" si="22">$B1056*E1055</f>
        <v>#VALUE!</v>
      </c>
      <c r="F1056" s="1834" t="e">
        <f t="shared" ref="F1056" ca="1" si="23">$B1056*F1055</f>
        <v>#VALUE!</v>
      </c>
      <c r="G1056" s="1834" t="e">
        <f t="shared" ref="G1056" ca="1" si="24">$B1056*G1055</f>
        <v>#VALUE!</v>
      </c>
      <c r="H1056" s="1834" t="e">
        <f t="shared" ref="H1056" ca="1" si="25">$B1056*H1055</f>
        <v>#VALUE!</v>
      </c>
      <c r="I1056" s="1834" t="e">
        <f t="shared" ref="I1056" ca="1" si="26">$B1056*I1055</f>
        <v>#VALUE!</v>
      </c>
    </row>
    <row r="1057" spans="1:9" hidden="1" x14ac:dyDescent="0.5">
      <c r="A1057" s="516"/>
      <c r="B1057" s="1832" t="e">
        <f ca="1">B1056*KALKULATION!C$95*KALKULATION!F$63</f>
        <v>#VALUE!</v>
      </c>
      <c r="C1057" s="516"/>
      <c r="D1057" s="1834" t="e">
        <f ca="1">$B1057*D1055</f>
        <v>#VALUE!</v>
      </c>
      <c r="E1057" s="1834" t="e">
        <f t="shared" ref="E1057:I1057" ca="1" si="27">$B1057*E1055</f>
        <v>#VALUE!</v>
      </c>
      <c r="F1057" s="1834" t="e">
        <f t="shared" ca="1" si="27"/>
        <v>#VALUE!</v>
      </c>
      <c r="G1057" s="1834" t="e">
        <f t="shared" ca="1" si="27"/>
        <v>#VALUE!</v>
      </c>
      <c r="H1057" s="1834" t="e">
        <f t="shared" ca="1" si="27"/>
        <v>#VALUE!</v>
      </c>
      <c r="I1057" s="1834" t="e">
        <f t="shared" ca="1" si="27"/>
        <v>#VALUE!</v>
      </c>
    </row>
    <row r="1058" spans="1:9" hidden="1" x14ac:dyDescent="0.5">
      <c r="A1058" s="516"/>
      <c r="B1058" s="516"/>
      <c r="C1058" s="516"/>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5"/>
    <row r="1060" spans="1:9" hidden="1" x14ac:dyDescent="0.5">
      <c r="A1060" s="3053"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3"/>
      <c r="C1060" s="3053"/>
      <c r="D1060" s="3053"/>
      <c r="E1060" s="3053"/>
      <c r="F1060" s="3053"/>
      <c r="G1060" s="3053"/>
      <c r="H1060" s="3053"/>
      <c r="I1060" s="3053"/>
    </row>
    <row r="1061" spans="1:9" hidden="1" x14ac:dyDescent="0.5">
      <c r="A1061" s="3053"/>
      <c r="B1061" s="3053"/>
      <c r="C1061" s="3053"/>
      <c r="D1061" s="3053"/>
      <c r="E1061" s="3053"/>
      <c r="F1061" s="3053"/>
      <c r="G1061" s="3053"/>
      <c r="H1061" s="3053"/>
      <c r="I1061" s="3053"/>
    </row>
    <row r="1062" spans="1:9" hidden="1" x14ac:dyDescent="0.5">
      <c r="A1062" s="3053"/>
      <c r="B1062" s="3053"/>
      <c r="C1062" s="3053"/>
      <c r="D1062" s="3053"/>
      <c r="E1062" s="3053"/>
      <c r="F1062" s="3053"/>
      <c r="G1062" s="3053"/>
      <c r="H1062" s="3053"/>
      <c r="I1062" s="3053"/>
    </row>
    <row r="1063" spans="1:9" hidden="1" x14ac:dyDescent="0.5">
      <c r="A1063" s="3053"/>
      <c r="B1063" s="3053"/>
      <c r="C1063" s="3053"/>
      <c r="D1063" s="3053"/>
      <c r="E1063" s="3053"/>
      <c r="F1063" s="3053"/>
      <c r="G1063" s="3053"/>
      <c r="H1063" s="3053"/>
      <c r="I1063" s="3053"/>
    </row>
    <row r="1064" spans="1:9" hidden="1" x14ac:dyDescent="0.5">
      <c r="A1064" s="3053"/>
      <c r="B1064" s="3053"/>
      <c r="C1064" s="3053"/>
      <c r="D1064" s="3053"/>
      <c r="E1064" s="3053"/>
      <c r="F1064" s="3053"/>
      <c r="G1064" s="3053"/>
      <c r="H1064" s="3053"/>
      <c r="I1064" s="3053"/>
    </row>
    <row r="1065" spans="1:9" hidden="1" x14ac:dyDescent="0.5">
      <c r="A1065" s="3053"/>
      <c r="B1065" s="3053"/>
      <c r="C1065" s="3053"/>
      <c r="D1065" s="3053"/>
      <c r="E1065" s="3053"/>
      <c r="F1065" s="3053"/>
      <c r="G1065" s="3053"/>
      <c r="H1065" s="3053"/>
      <c r="I1065" s="3053"/>
    </row>
    <row r="1066" spans="1:9" hidden="1" x14ac:dyDescent="0.5">
      <c r="A1066" s="3053"/>
      <c r="B1066" s="3053"/>
      <c r="C1066" s="3053"/>
      <c r="D1066" s="3053"/>
      <c r="E1066" s="3053"/>
      <c r="F1066" s="3053"/>
      <c r="G1066" s="3053"/>
      <c r="H1066" s="3053"/>
      <c r="I1066" s="3053"/>
    </row>
    <row r="1067" spans="1:9" hidden="1" x14ac:dyDescent="0.5">
      <c r="A1067" s="3053"/>
      <c r="B1067" s="3053"/>
      <c r="C1067" s="3053"/>
      <c r="D1067" s="3053"/>
      <c r="E1067" s="3053"/>
      <c r="F1067" s="3053"/>
      <c r="G1067" s="3053"/>
      <c r="H1067" s="3053"/>
      <c r="I1067" s="3053"/>
    </row>
    <row r="1068" spans="1:9" hidden="1" x14ac:dyDescent="0.5">
      <c r="A1068" s="3053"/>
      <c r="B1068" s="3053"/>
      <c r="C1068" s="3053"/>
      <c r="D1068" s="3053"/>
      <c r="E1068" s="3053"/>
      <c r="F1068" s="3053"/>
      <c r="G1068" s="3053"/>
      <c r="H1068" s="3053"/>
      <c r="I1068" s="3053"/>
    </row>
    <row r="1069" spans="1:9" hidden="1" x14ac:dyDescent="0.5">
      <c r="A1069" s="3053"/>
      <c r="B1069" s="3053"/>
      <c r="C1069" s="3053"/>
      <c r="D1069" s="3053"/>
      <c r="E1069" s="3053"/>
      <c r="F1069" s="3053"/>
      <c r="G1069" s="3053"/>
      <c r="H1069" s="3053"/>
      <c r="I1069" s="3053"/>
    </row>
    <row r="1070" spans="1:9" hidden="1" x14ac:dyDescent="0.5"/>
  </sheetData>
  <sheetProtection password="B984" sheet="1" formatColumns="0" selectLockedCells="1"/>
  <mergeCells count="136">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zoomScaleNormal="100" workbookViewId="0">
      <selection activeCell="F26" sqref="F26"/>
    </sheetView>
  </sheetViews>
  <sheetFormatPr baseColWidth="10" defaultColWidth="10.6640625" defaultRowHeight="13.15" x14ac:dyDescent="0.4"/>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71875" style="15" customWidth="1"/>
    <col min="18" max="18" width="12.33203125" style="15" customWidth="1"/>
    <col min="19" max="23" width="10.6640625" style="1885" hidden="1" customWidth="1"/>
    <col min="24" max="25" width="0" style="1885" hidden="1" customWidth="1"/>
    <col min="26" max="16384" width="10.6640625" style="15"/>
  </cols>
  <sheetData>
    <row r="1" spans="1:19" ht="18" x14ac:dyDescent="0.55000000000000004">
      <c r="A1" s="3284" t="s">
        <v>300</v>
      </c>
      <c r="B1" s="3284"/>
      <c r="C1" s="3284"/>
      <c r="D1" s="3284"/>
      <c r="E1" s="3284"/>
      <c r="F1" s="3284"/>
      <c r="G1" s="3284"/>
      <c r="H1" s="3284"/>
      <c r="I1" s="3284"/>
      <c r="J1" s="3284"/>
      <c r="K1" s="3284"/>
      <c r="L1" s="3284"/>
      <c r="M1" s="3285"/>
      <c r="N1" s="260"/>
      <c r="O1" s="476"/>
      <c r="P1" s="477"/>
      <c r="Q1" s="477"/>
      <c r="R1" s="478"/>
    </row>
    <row r="2" spans="1:19" ht="18" x14ac:dyDescent="0.55000000000000004">
      <c r="A2" s="259"/>
      <c r="B2" s="259"/>
      <c r="C2" s="259"/>
      <c r="D2" s="260"/>
      <c r="E2" s="260"/>
      <c r="F2" s="260"/>
      <c r="G2" s="260"/>
      <c r="H2" s="260"/>
      <c r="I2" s="260"/>
      <c r="J2" s="260"/>
      <c r="K2" s="260"/>
      <c r="L2" s="260"/>
      <c r="M2" s="260"/>
      <c r="N2" s="260"/>
      <c r="O2" s="479"/>
      <c r="R2" s="480"/>
    </row>
    <row r="3" spans="1:19" ht="22.05" customHeight="1" x14ac:dyDescent="0.55000000000000004">
      <c r="A3" s="423" t="s">
        <v>93</v>
      </c>
      <c r="B3" s="423"/>
      <c r="C3" s="422"/>
      <c r="D3" s="24"/>
      <c r="E3" s="24"/>
      <c r="F3" s="424" t="s">
        <v>23</v>
      </c>
      <c r="G3" s="3235" t="str">
        <f>' K3 PP'!G1</f>
        <v>Musterprojekt Spenglerarbeiten</v>
      </c>
      <c r="H3" s="3236"/>
      <c r="I3" s="3236"/>
      <c r="J3" s="3236"/>
      <c r="K3" s="3236"/>
      <c r="L3" s="3236"/>
      <c r="M3" s="3236"/>
      <c r="N3" s="394"/>
      <c r="O3" s="479"/>
      <c r="R3" s="480"/>
    </row>
    <row r="4" spans="1:19" ht="18" customHeight="1" x14ac:dyDescent="0.4">
      <c r="A4" s="3224" t="str">
        <f ca="1">KALKULATION!D11</f>
        <v>Mittellohnpreisbroschüre EuM 2025</v>
      </c>
      <c r="B4" s="3225"/>
      <c r="C4" s="3225"/>
      <c r="D4" s="3225"/>
      <c r="E4" s="3225"/>
      <c r="F4" s="3226"/>
      <c r="G4" s="3235"/>
      <c r="H4" s="3236"/>
      <c r="I4" s="3236"/>
      <c r="J4" s="3237"/>
      <c r="K4" s="3237"/>
      <c r="L4" s="3237"/>
      <c r="M4" s="3237"/>
      <c r="N4" s="394"/>
      <c r="O4" s="479"/>
      <c r="R4" s="480"/>
    </row>
    <row r="5" spans="1:19" ht="18" customHeight="1" x14ac:dyDescent="0.4">
      <c r="A5" s="3227" t="str">
        <f ca="1">IF(KALKULATION!D12&lt;&gt;0,KALKULATION!D12,"")</f>
        <v>Laufzeit bis 1.3.2025</v>
      </c>
      <c r="B5" s="3228"/>
      <c r="C5" s="3228"/>
      <c r="D5" s="3228"/>
      <c r="E5" s="3228"/>
      <c r="F5" s="3229"/>
      <c r="G5" s="13" t="s">
        <v>155</v>
      </c>
      <c r="H5" s="3265" t="str">
        <f>' K3 PP'!C4</f>
        <v>001/25</v>
      </c>
      <c r="I5" s="3266"/>
      <c r="J5" s="3268" t="s">
        <v>520</v>
      </c>
      <c r="K5" s="3269"/>
      <c r="L5" s="3261">
        <f>KALKULATION!F18</f>
        <v>45658</v>
      </c>
      <c r="M5" s="3262"/>
      <c r="N5" s="406"/>
      <c r="O5" s="479"/>
      <c r="R5" s="480"/>
    </row>
    <row r="6" spans="1:19" ht="18" customHeight="1" thickBot="1" x14ac:dyDescent="0.45">
      <c r="A6" s="3230" t="str">
        <f ca="1">IF(KALKULATION!D13&lt;&gt;0,KALKULATION!D13,"")</f>
        <v/>
      </c>
      <c r="B6" s="3231"/>
      <c r="C6" s="3231"/>
      <c r="D6" s="3231"/>
      <c r="E6" s="3231"/>
      <c r="F6" s="3232"/>
      <c r="G6" s="14" t="s">
        <v>156</v>
      </c>
      <c r="H6" s="3240" t="str">
        <f>' K3 PP'!G4</f>
        <v>??</v>
      </c>
      <c r="I6" s="3240"/>
      <c r="J6" s="3267" t="s">
        <v>94</v>
      </c>
      <c r="K6" s="3267"/>
      <c r="L6" s="3267"/>
      <c r="M6" s="3267"/>
      <c r="N6" s="407"/>
      <c r="O6" s="479"/>
      <c r="R6" s="480"/>
    </row>
    <row r="7" spans="1:19" ht="22.9" customHeight="1" x14ac:dyDescent="0.4">
      <c r="A7" s="3238"/>
      <c r="B7" s="430"/>
      <c r="C7" s="3241" t="s">
        <v>58</v>
      </c>
      <c r="D7" s="3242"/>
      <c r="E7" s="3241" t="s">
        <v>217</v>
      </c>
      <c r="F7" s="3233"/>
      <c r="G7" s="3234"/>
      <c r="H7" s="3238" t="s">
        <v>96</v>
      </c>
      <c r="I7" s="3241" t="s">
        <v>312</v>
      </c>
      <c r="J7" s="3242"/>
      <c r="K7" s="3238" t="s">
        <v>60</v>
      </c>
      <c r="L7" s="3241" t="s">
        <v>311</v>
      </c>
      <c r="M7" s="3242"/>
      <c r="N7" s="408"/>
      <c r="O7" s="479"/>
      <c r="R7" s="480"/>
    </row>
    <row r="8" spans="1:19" ht="36.4" customHeight="1" x14ac:dyDescent="0.4">
      <c r="A8" s="3238"/>
      <c r="B8" s="430"/>
      <c r="C8" s="3243"/>
      <c r="D8" s="3244"/>
      <c r="E8" s="3243"/>
      <c r="F8" s="3263" t="s">
        <v>521</v>
      </c>
      <c r="G8" s="3264"/>
      <c r="H8" s="3239"/>
      <c r="I8" s="3243"/>
      <c r="J8" s="3244"/>
      <c r="K8" s="3239"/>
      <c r="L8" s="3243"/>
      <c r="M8" s="3244"/>
      <c r="N8" s="408"/>
      <c r="O8" s="479"/>
      <c r="R8" s="480"/>
    </row>
    <row r="9" spans="1:19" ht="13.15" customHeight="1" x14ac:dyDescent="0.4">
      <c r="A9" s="3238"/>
      <c r="B9" s="430"/>
      <c r="C9" s="3245"/>
      <c r="D9" s="3246"/>
      <c r="E9" s="3222" t="s">
        <v>97</v>
      </c>
      <c r="F9" s="3222" t="s">
        <v>160</v>
      </c>
      <c r="G9" s="12" t="s">
        <v>64</v>
      </c>
      <c r="H9" s="12" t="s">
        <v>64</v>
      </c>
      <c r="I9" s="3222" t="s">
        <v>163</v>
      </c>
      <c r="J9" s="12" t="s">
        <v>64</v>
      </c>
      <c r="K9" s="12" t="s">
        <v>64</v>
      </c>
      <c r="L9" s="3222" t="s">
        <v>166</v>
      </c>
      <c r="M9" s="12" t="s">
        <v>64</v>
      </c>
      <c r="N9" s="409"/>
      <c r="O9" s="479"/>
      <c r="R9" s="480"/>
    </row>
    <row r="10" spans="1:19" x14ac:dyDescent="0.4">
      <c r="A10" s="3239"/>
      <c r="B10" s="431"/>
      <c r="C10" s="3243"/>
      <c r="D10" s="3244"/>
      <c r="E10" s="3223"/>
      <c r="F10" s="3223"/>
      <c r="G10" s="18" t="s">
        <v>161</v>
      </c>
      <c r="H10" s="18" t="s">
        <v>162</v>
      </c>
      <c r="I10" s="3223"/>
      <c r="J10" s="18" t="s">
        <v>164</v>
      </c>
      <c r="K10" s="18" t="s">
        <v>165</v>
      </c>
      <c r="L10" s="3223"/>
      <c r="M10" s="18" t="s">
        <v>167</v>
      </c>
      <c r="N10" s="407"/>
      <c r="O10" s="479"/>
      <c r="R10" s="480"/>
    </row>
    <row r="11" spans="1:19" ht="13.5" thickBot="1" x14ac:dyDescent="0.45">
      <c r="A11" s="393" t="s">
        <v>6</v>
      </c>
      <c r="B11" s="393"/>
      <c r="C11" s="3220" t="s">
        <v>7</v>
      </c>
      <c r="D11" s="3220"/>
      <c r="E11" s="393" t="s">
        <v>159</v>
      </c>
      <c r="F11" s="393" t="s">
        <v>8</v>
      </c>
      <c r="G11" s="393" t="s">
        <v>9</v>
      </c>
      <c r="H11" s="393" t="s">
        <v>10</v>
      </c>
      <c r="I11" s="393" t="s">
        <v>11</v>
      </c>
      <c r="J11" s="393" t="s">
        <v>12</v>
      </c>
      <c r="K11" s="393" t="s">
        <v>0</v>
      </c>
      <c r="L11" s="393" t="s">
        <v>13</v>
      </c>
      <c r="M11" s="393" t="s">
        <v>14</v>
      </c>
      <c r="N11" s="407"/>
      <c r="O11" s="479"/>
      <c r="R11" s="480"/>
    </row>
    <row r="12" spans="1:19" ht="24" customHeight="1" thickTop="1" x14ac:dyDescent="0.4">
      <c r="A12" s="19">
        <v>1</v>
      </c>
      <c r="B12" s="19"/>
      <c r="C12" s="3221" t="s">
        <v>1094</v>
      </c>
      <c r="D12" s="3221"/>
      <c r="E12" s="20">
        <v>1</v>
      </c>
      <c r="F12" s="196">
        <f>'K2a Z f ...'!K24</f>
        <v>0</v>
      </c>
      <c r="G12" s="196">
        <f t="shared" ref="G12:G19" si="0">F12*E12</f>
        <v>0</v>
      </c>
      <c r="H12" s="193">
        <f t="shared" ref="H12:H19" si="1">G12+E12</f>
        <v>1</v>
      </c>
      <c r="I12" s="296">
        <v>0.18</v>
      </c>
      <c r="J12" s="196">
        <f t="shared" ref="J12:J19" si="2">I12*H12</f>
        <v>0.18</v>
      </c>
      <c r="K12" s="193">
        <f t="shared" ref="K12:K19" si="3">J12+H12</f>
        <v>1.18</v>
      </c>
      <c r="L12" s="296">
        <v>0.02</v>
      </c>
      <c r="M12" s="196">
        <f t="shared" ref="M12:M19" si="4">L12*K12</f>
        <v>2.3599999999999999E-2</v>
      </c>
      <c r="N12" s="410"/>
      <c r="O12" s="481"/>
      <c r="R12" s="325"/>
      <c r="S12" s="1886"/>
    </row>
    <row r="13" spans="1:19" ht="24" customHeight="1" x14ac:dyDescent="0.4">
      <c r="A13" s="16">
        <v>2</v>
      </c>
      <c r="B13" s="19"/>
      <c r="C13" s="3221"/>
      <c r="D13" s="3221"/>
      <c r="E13" s="17">
        <v>1</v>
      </c>
      <c r="F13" s="199">
        <f>'K2a Z f ...'!K25</f>
        <v>0</v>
      </c>
      <c r="G13" s="199">
        <f t="shared" si="0"/>
        <v>0</v>
      </c>
      <c r="H13" s="193">
        <f t="shared" si="1"/>
        <v>1</v>
      </c>
      <c r="I13" s="296"/>
      <c r="J13" s="199">
        <f t="shared" si="2"/>
        <v>0</v>
      </c>
      <c r="K13" s="193">
        <f t="shared" si="3"/>
        <v>1</v>
      </c>
      <c r="L13" s="296"/>
      <c r="M13" s="199">
        <f t="shared" si="4"/>
        <v>0</v>
      </c>
      <c r="N13" s="410"/>
      <c r="O13" s="481"/>
      <c r="R13" s="325"/>
      <c r="S13" s="1886"/>
    </row>
    <row r="14" spans="1:19" ht="24" customHeight="1" x14ac:dyDescent="0.4">
      <c r="A14" s="16">
        <v>3</v>
      </c>
      <c r="B14" s="19"/>
      <c r="C14" s="3221"/>
      <c r="D14" s="3221"/>
      <c r="E14" s="17">
        <v>1</v>
      </c>
      <c r="F14" s="199">
        <f>'K2a Z f ...'!K26</f>
        <v>0</v>
      </c>
      <c r="G14" s="199">
        <f t="shared" si="0"/>
        <v>0</v>
      </c>
      <c r="H14" s="193">
        <f t="shared" si="1"/>
        <v>1</v>
      </c>
      <c r="I14" s="296"/>
      <c r="J14" s="199">
        <f t="shared" si="2"/>
        <v>0</v>
      </c>
      <c r="K14" s="193">
        <f t="shared" si="3"/>
        <v>1</v>
      </c>
      <c r="L14" s="296"/>
      <c r="M14" s="199">
        <f t="shared" si="4"/>
        <v>0</v>
      </c>
      <c r="N14" s="410"/>
      <c r="O14" s="481"/>
      <c r="R14" s="325"/>
      <c r="S14" s="1886"/>
    </row>
    <row r="15" spans="1:19" ht="24" customHeight="1" x14ac:dyDescent="0.4">
      <c r="A15" s="16">
        <v>4</v>
      </c>
      <c r="B15" s="19"/>
      <c r="C15" s="3221"/>
      <c r="D15" s="3221"/>
      <c r="E15" s="17">
        <v>1</v>
      </c>
      <c r="F15" s="199">
        <f>'K2a Z f ...'!K27</f>
        <v>0</v>
      </c>
      <c r="G15" s="199">
        <f t="shared" si="0"/>
        <v>0</v>
      </c>
      <c r="H15" s="193">
        <f t="shared" si="1"/>
        <v>1</v>
      </c>
      <c r="I15" s="296"/>
      <c r="J15" s="199">
        <f t="shared" si="2"/>
        <v>0</v>
      </c>
      <c r="K15" s="193">
        <f t="shared" si="3"/>
        <v>1</v>
      </c>
      <c r="L15" s="296"/>
      <c r="M15" s="199">
        <f t="shared" si="4"/>
        <v>0</v>
      </c>
      <c r="N15" s="410"/>
      <c r="O15" s="481"/>
      <c r="R15" s="325"/>
      <c r="S15" s="1886"/>
    </row>
    <row r="16" spans="1:19" ht="24.4" customHeight="1" x14ac:dyDescent="0.4">
      <c r="A16" s="16">
        <v>5</v>
      </c>
      <c r="B16" s="19"/>
      <c r="C16" s="3221"/>
      <c r="D16" s="3221"/>
      <c r="E16" s="17">
        <v>1</v>
      </c>
      <c r="F16" s="199">
        <f>'K2a Z f ...'!K28</f>
        <v>0</v>
      </c>
      <c r="G16" s="199">
        <f t="shared" si="0"/>
        <v>0</v>
      </c>
      <c r="H16" s="193">
        <f t="shared" si="1"/>
        <v>1</v>
      </c>
      <c r="I16" s="296"/>
      <c r="J16" s="199">
        <f t="shared" si="2"/>
        <v>0</v>
      </c>
      <c r="K16" s="193">
        <f t="shared" si="3"/>
        <v>1</v>
      </c>
      <c r="L16" s="296"/>
      <c r="M16" s="199">
        <f t="shared" si="4"/>
        <v>0</v>
      </c>
      <c r="N16" s="410"/>
      <c r="O16" s="481"/>
      <c r="R16" s="325"/>
      <c r="S16" s="1886"/>
    </row>
    <row r="17" spans="1:23" ht="24.4" customHeight="1" x14ac:dyDescent="0.4">
      <c r="A17" s="16">
        <v>6</v>
      </c>
      <c r="B17" s="19"/>
      <c r="C17" s="3221"/>
      <c r="D17" s="3221"/>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87"/>
    </row>
    <row r="18" spans="1:23" ht="24.4" customHeight="1" x14ac:dyDescent="0.4">
      <c r="A18" s="16">
        <v>7</v>
      </c>
      <c r="B18" s="19"/>
      <c r="C18" s="3221"/>
      <c r="D18" s="3221"/>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87"/>
    </row>
    <row r="19" spans="1:23" ht="24" customHeight="1" thickBot="1" x14ac:dyDescent="0.45">
      <c r="A19" s="320">
        <v>8</v>
      </c>
      <c r="B19" s="320"/>
      <c r="C19" s="3289"/>
      <c r="D19" s="3289"/>
      <c r="E19" s="414">
        <v>1</v>
      </c>
      <c r="F19" s="486">
        <f>'K2a Z f ...'!K31</f>
        <v>0</v>
      </c>
      <c r="G19" s="486">
        <f t="shared" si="0"/>
        <v>0</v>
      </c>
      <c r="H19" s="321">
        <f t="shared" si="1"/>
        <v>1</v>
      </c>
      <c r="I19" s="297"/>
      <c r="J19" s="486">
        <f t="shared" si="2"/>
        <v>0</v>
      </c>
      <c r="K19" s="321">
        <f t="shared" si="3"/>
        <v>1</v>
      </c>
      <c r="L19" s="297"/>
      <c r="M19" s="486">
        <f t="shared" si="4"/>
        <v>0</v>
      </c>
      <c r="N19" s="410"/>
      <c r="O19" s="3281" t="s">
        <v>522</v>
      </c>
      <c r="P19" s="3282"/>
      <c r="Q19" s="3282"/>
      <c r="R19" s="3283"/>
      <c r="S19" s="1886"/>
    </row>
    <row r="20" spans="1:23" ht="34.5" customHeight="1" x14ac:dyDescent="0.4">
      <c r="A20" s="3238"/>
      <c r="B20" s="432"/>
      <c r="C20" s="3238" t="s">
        <v>61</v>
      </c>
      <c r="D20" s="3241" t="s">
        <v>62</v>
      </c>
      <c r="E20" s="3242"/>
      <c r="F20" s="3241" t="s">
        <v>63</v>
      </c>
      <c r="G20" s="3242"/>
      <c r="H20" s="3241" t="str">
        <f>"Ergebnis (Preis)"&amp;IF(P23="Ja","
gerundet","")</f>
        <v>Ergebnis (Preis)
gerundet</v>
      </c>
      <c r="I20" s="3273" t="s">
        <v>95</v>
      </c>
      <c r="J20" s="3274"/>
      <c r="K20" s="3274"/>
      <c r="L20" s="3274"/>
      <c r="M20" s="3275"/>
      <c r="N20" s="411"/>
      <c r="O20" s="3219" t="s">
        <v>645</v>
      </c>
      <c r="P20" s="3219"/>
      <c r="Q20" s="1224"/>
      <c r="R20" s="3270" t="s">
        <v>261</v>
      </c>
    </row>
    <row r="21" spans="1:23" ht="25.35" customHeight="1" x14ac:dyDescent="0.4">
      <c r="A21" s="3238"/>
      <c r="B21" s="432"/>
      <c r="C21" s="3239"/>
      <c r="D21" s="3243"/>
      <c r="E21" s="3244"/>
      <c r="F21" s="3243"/>
      <c r="G21" s="3244"/>
      <c r="H21" s="3243"/>
      <c r="I21" s="3276"/>
      <c r="J21" s="3277"/>
      <c r="K21" s="3277"/>
      <c r="L21" s="3277"/>
      <c r="M21" s="3278"/>
      <c r="N21" s="411"/>
      <c r="O21" s="3219"/>
      <c r="P21" s="3219"/>
      <c r="Q21" s="1225"/>
      <c r="R21" s="3271"/>
    </row>
    <row r="22" spans="1:23" ht="15" customHeight="1" x14ac:dyDescent="0.4">
      <c r="A22" s="3238"/>
      <c r="B22" s="432"/>
      <c r="C22" s="12" t="s">
        <v>64</v>
      </c>
      <c r="D22" s="3222" t="s">
        <v>169</v>
      </c>
      <c r="E22" s="12" t="s">
        <v>64</v>
      </c>
      <c r="F22" s="3222" t="s">
        <v>169</v>
      </c>
      <c r="G22" s="12" t="s">
        <v>64</v>
      </c>
      <c r="H22" s="100" t="s">
        <v>64</v>
      </c>
      <c r="I22" s="3293"/>
      <c r="J22" s="3294"/>
      <c r="K22" s="3294"/>
      <c r="L22" s="3294"/>
      <c r="M22" s="172" t="s">
        <v>65</v>
      </c>
      <c r="N22" s="412"/>
      <c r="O22" s="3219"/>
      <c r="P22" s="3219"/>
      <c r="Q22" s="1225"/>
      <c r="R22" s="3272" t="str">
        <f ca="1">IFERROR(' K3 PP'!N45,"Noch nicht errechenbar!")</f>
        <v>72,74 €/Std
1,21 €/Min</v>
      </c>
    </row>
    <row r="23" spans="1:23" ht="15" customHeight="1" x14ac:dyDescent="0.4">
      <c r="A23" s="3238"/>
      <c r="B23" s="432"/>
      <c r="C23" s="18" t="s">
        <v>168</v>
      </c>
      <c r="D23" s="3223"/>
      <c r="E23" s="18" t="s">
        <v>170</v>
      </c>
      <c r="F23" s="3223"/>
      <c r="G23" s="18" t="s">
        <v>171</v>
      </c>
      <c r="H23" s="134" t="s">
        <v>172</v>
      </c>
      <c r="I23" s="3293"/>
      <c r="J23" s="3294"/>
      <c r="K23" s="3294"/>
      <c r="L23" s="3294"/>
      <c r="M23" s="135" t="s">
        <v>314</v>
      </c>
      <c r="N23" s="413"/>
      <c r="O23" s="1129" t="s">
        <v>523</v>
      </c>
      <c r="P23" s="1130" t="s">
        <v>192</v>
      </c>
      <c r="Q23" s="1225"/>
      <c r="R23" s="3272"/>
    </row>
    <row r="24" spans="1:23" ht="15.4" customHeight="1" thickBot="1" x14ac:dyDescent="0.45">
      <c r="A24" s="3295"/>
      <c r="B24" s="433"/>
      <c r="C24" s="393" t="s">
        <v>15</v>
      </c>
      <c r="D24" s="393" t="s">
        <v>16</v>
      </c>
      <c r="E24" s="393" t="s">
        <v>19</v>
      </c>
      <c r="F24" s="393" t="s">
        <v>2</v>
      </c>
      <c r="G24" s="393" t="s">
        <v>3</v>
      </c>
      <c r="H24" s="318" t="s">
        <v>4</v>
      </c>
      <c r="I24" s="3279" t="s">
        <v>179</v>
      </c>
      <c r="J24" s="3280"/>
      <c r="K24" s="3280"/>
      <c r="L24" s="3280"/>
      <c r="M24" s="319" t="s">
        <v>178</v>
      </c>
      <c r="N24" s="407"/>
      <c r="O24" s="1129" t="s">
        <v>442</v>
      </c>
      <c r="P24" s="1129" t="s">
        <v>443</v>
      </c>
      <c r="Q24" s="1226"/>
      <c r="R24" s="3259"/>
      <c r="V24" s="1885" t="s">
        <v>444</v>
      </c>
    </row>
    <row r="25" spans="1:23" ht="24.75" customHeight="1" thickTop="1" x14ac:dyDescent="0.4">
      <c r="A25" s="19">
        <v>1</v>
      </c>
      <c r="B25" s="19" t="str">
        <f>C12</f>
        <v>Alle Kostenarten</v>
      </c>
      <c r="C25" s="193">
        <f>M12+K12</f>
        <v>1.2036</v>
      </c>
      <c r="D25" s="296">
        <v>0.03</v>
      </c>
      <c r="E25" s="196">
        <f t="shared" ref="E25:E32" si="8">D25*C25</f>
        <v>3.6110000000000003E-2</v>
      </c>
      <c r="F25" s="296">
        <v>3.3480000000000003E-2</v>
      </c>
      <c r="G25" s="196">
        <f t="shared" ref="G25:G28" si="9">C25*F25</f>
        <v>4.0300000000000002E-2</v>
      </c>
      <c r="H25" s="474">
        <f>IF($P$23="Ja",ROUND(C25+E25+G25,4),C25+E25+G25)</f>
        <v>1.28</v>
      </c>
      <c r="I25" s="3290" t="str">
        <f>IF(C12=0,"",C12)</f>
        <v>Alle Kostenarten</v>
      </c>
      <c r="J25" s="3291"/>
      <c r="K25" s="3291"/>
      <c r="L25" s="3292"/>
      <c r="M25" s="523">
        <f>IF(AND(C12="",H25&lt;&gt;1),"Spalte B?",IF(H25=1,0,H25-E12))</f>
        <v>0.28000000000000003</v>
      </c>
      <c r="N25" s="405"/>
      <c r="O25" s="1131" t="str">
        <f t="shared" ref="O25:O32" si="10">IF(M25=0,"",IF(V25=D25,"Ganzzahl vorhanden",V25))</f>
        <v>Ganzzahl vorhanden</v>
      </c>
      <c r="P25" s="1131" t="str">
        <f t="shared" ref="P25:P32" si="11">IF(M25=0,"",IF(W25=F25,"Ganzzahl vorhanden",W25))</f>
        <v>Ganzzahl vorhanden</v>
      </c>
      <c r="Q25" s="1226"/>
      <c r="R25" s="3260"/>
      <c r="S25" s="1888">
        <f t="shared" ref="S25:S32" si="12">SUM(C25,E25,G25)-1</f>
        <v>0.28000000000000003</v>
      </c>
      <c r="T25" s="1889">
        <f>ROUNDUP(S25,2)</f>
        <v>0.28000000000000003</v>
      </c>
      <c r="U25" s="1889">
        <f>S25-T25</f>
        <v>0</v>
      </c>
      <c r="V25" s="1889">
        <f t="shared" ref="V25:V32" si="13">(1+T25)/C25-F25-1</f>
        <v>0.03</v>
      </c>
      <c r="W25" s="1889">
        <f t="shared" ref="W25:W32" si="14">(1+T25)/C25-D25-1</f>
        <v>3.3480000000000003E-2</v>
      </c>
    </row>
    <row r="26" spans="1:23" ht="24.4" customHeight="1" x14ac:dyDescent="0.4">
      <c r="A26" s="16">
        <v>2</v>
      </c>
      <c r="B26" s="19">
        <f t="shared" ref="B26:B32" si="15">C13</f>
        <v>0</v>
      </c>
      <c r="C26" s="193">
        <f>M13+K13</f>
        <v>1</v>
      </c>
      <c r="D26" s="296"/>
      <c r="E26" s="199">
        <f t="shared" si="8"/>
        <v>0</v>
      </c>
      <c r="F26" s="296"/>
      <c r="G26" s="199">
        <f t="shared" si="9"/>
        <v>0</v>
      </c>
      <c r="H26" s="474">
        <f t="shared" ref="H26:H32" si="16">IF($P$23="Ja",ROUND(C26+E26+G26,4),C26+E26+G26)</f>
        <v>1</v>
      </c>
      <c r="I26" s="3286" t="str">
        <f>IF(C13=0,"",C13)</f>
        <v/>
      </c>
      <c r="J26" s="3287"/>
      <c r="K26" s="3287"/>
      <c r="L26" s="3288"/>
      <c r="M26" s="523">
        <f t="shared" ref="M26:M32" si="17">IF(AND(C13="",H26&lt;&gt;1),"Spalte B?",IF(H26=1,0,H26-E13))</f>
        <v>0</v>
      </c>
      <c r="N26" s="405"/>
      <c r="O26" s="1131" t="str">
        <f t="shared" si="10"/>
        <v/>
      </c>
      <c r="P26" s="1131" t="str">
        <f t="shared" si="11"/>
        <v/>
      </c>
      <c r="Q26" s="1226"/>
      <c r="R26" s="1145"/>
      <c r="S26" s="1888">
        <f t="shared" si="12"/>
        <v>0</v>
      </c>
      <c r="T26" s="1889">
        <f t="shared" ref="T26:T32" si="18">ROUNDUP(S26,2)</f>
        <v>0</v>
      </c>
      <c r="U26" s="1889">
        <f t="shared" ref="U26:U32" si="19">S26-T26</f>
        <v>0</v>
      </c>
      <c r="V26" s="1889">
        <f t="shared" si="13"/>
        <v>0</v>
      </c>
      <c r="W26" s="1889">
        <f t="shared" si="14"/>
        <v>0</v>
      </c>
    </row>
    <row r="27" spans="1:23" ht="24.4" customHeight="1" x14ac:dyDescent="0.4">
      <c r="A27" s="16">
        <v>3</v>
      </c>
      <c r="B27" s="19">
        <f t="shared" si="15"/>
        <v>0</v>
      </c>
      <c r="C27" s="193">
        <f>M14+K14</f>
        <v>1</v>
      </c>
      <c r="D27" s="296"/>
      <c r="E27" s="199">
        <f t="shared" si="8"/>
        <v>0</v>
      </c>
      <c r="F27" s="296"/>
      <c r="G27" s="199">
        <f t="shared" si="9"/>
        <v>0</v>
      </c>
      <c r="H27" s="474">
        <f t="shared" si="16"/>
        <v>1</v>
      </c>
      <c r="I27" s="3286" t="str">
        <f>IF(C14=0,"",C14)</f>
        <v/>
      </c>
      <c r="J27" s="3287"/>
      <c r="K27" s="3287"/>
      <c r="L27" s="3288"/>
      <c r="M27" s="523">
        <f t="shared" si="17"/>
        <v>0</v>
      </c>
      <c r="N27" s="405"/>
      <c r="O27" s="1131" t="str">
        <f t="shared" si="10"/>
        <v/>
      </c>
      <c r="P27" s="1131" t="str">
        <f t="shared" si="11"/>
        <v/>
      </c>
      <c r="Q27" s="1227"/>
      <c r="R27" s="1145"/>
      <c r="S27" s="1888">
        <f t="shared" si="12"/>
        <v>0</v>
      </c>
      <c r="T27" s="1889">
        <f t="shared" si="18"/>
        <v>0</v>
      </c>
      <c r="U27" s="1889">
        <f t="shared" si="19"/>
        <v>0</v>
      </c>
      <c r="V27" s="1889">
        <f t="shared" si="13"/>
        <v>0</v>
      </c>
      <c r="W27" s="1889">
        <f t="shared" si="14"/>
        <v>0</v>
      </c>
    </row>
    <row r="28" spans="1:23" ht="24.4" customHeight="1" x14ac:dyDescent="0.4">
      <c r="A28" s="16">
        <v>4</v>
      </c>
      <c r="B28" s="19">
        <f t="shared" si="15"/>
        <v>0</v>
      </c>
      <c r="C28" s="193">
        <f>M15+K15</f>
        <v>1</v>
      </c>
      <c r="D28" s="296"/>
      <c r="E28" s="199">
        <f t="shared" si="8"/>
        <v>0</v>
      </c>
      <c r="F28" s="296"/>
      <c r="G28" s="199">
        <f t="shared" si="9"/>
        <v>0</v>
      </c>
      <c r="H28" s="474">
        <f t="shared" si="16"/>
        <v>1</v>
      </c>
      <c r="I28" s="3286" t="str">
        <f>IF(C15=0,"",C15)</f>
        <v/>
      </c>
      <c r="J28" s="3287"/>
      <c r="K28" s="3287"/>
      <c r="L28" s="3288"/>
      <c r="M28" s="523">
        <f t="shared" si="17"/>
        <v>0</v>
      </c>
      <c r="N28" s="405"/>
      <c r="O28" s="1131" t="str">
        <f t="shared" si="10"/>
        <v/>
      </c>
      <c r="P28" s="1131" t="str">
        <f t="shared" si="11"/>
        <v/>
      </c>
      <c r="Q28" s="1228"/>
      <c r="R28" s="1145"/>
      <c r="S28" s="1888">
        <f t="shared" si="12"/>
        <v>0</v>
      </c>
      <c r="T28" s="1889">
        <f t="shared" si="18"/>
        <v>0</v>
      </c>
      <c r="U28" s="1889">
        <f t="shared" si="19"/>
        <v>0</v>
      </c>
      <c r="V28" s="1889">
        <f t="shared" si="13"/>
        <v>0</v>
      </c>
      <c r="W28" s="1889">
        <f t="shared" si="14"/>
        <v>0</v>
      </c>
    </row>
    <row r="29" spans="1:23" ht="24.4" customHeight="1" x14ac:dyDescent="0.4">
      <c r="A29" s="16">
        <v>5</v>
      </c>
      <c r="B29" s="19">
        <f t="shared" si="15"/>
        <v>0</v>
      </c>
      <c r="C29" s="193">
        <f t="shared" ref="C29:C31" si="20">M16+K16</f>
        <v>1</v>
      </c>
      <c r="D29" s="296"/>
      <c r="E29" s="199">
        <f t="shared" si="8"/>
        <v>0</v>
      </c>
      <c r="F29" s="296"/>
      <c r="G29" s="199">
        <f t="shared" ref="G29:G31" si="21">C29*F29</f>
        <v>0</v>
      </c>
      <c r="H29" s="474">
        <f t="shared" si="16"/>
        <v>1</v>
      </c>
      <c r="I29" s="3286" t="str">
        <f t="shared" ref="I29:I31" si="22">IF(C16=0,"",C16)</f>
        <v/>
      </c>
      <c r="J29" s="3287"/>
      <c r="K29" s="3287"/>
      <c r="L29" s="3288"/>
      <c r="M29" s="523">
        <f t="shared" si="17"/>
        <v>0</v>
      </c>
      <c r="N29" s="405"/>
      <c r="O29" s="1131" t="str">
        <f t="shared" si="10"/>
        <v/>
      </c>
      <c r="P29" s="1131" t="str">
        <f t="shared" si="11"/>
        <v/>
      </c>
      <c r="Q29" s="1227"/>
      <c r="R29" s="1146"/>
      <c r="S29" s="1888">
        <f t="shared" si="12"/>
        <v>0</v>
      </c>
      <c r="T29" s="1889">
        <f t="shared" si="18"/>
        <v>0</v>
      </c>
      <c r="U29" s="1889">
        <f t="shared" si="19"/>
        <v>0</v>
      </c>
      <c r="V29" s="1889">
        <f t="shared" si="13"/>
        <v>0</v>
      </c>
      <c r="W29" s="1889">
        <f t="shared" si="14"/>
        <v>0</v>
      </c>
    </row>
    <row r="30" spans="1:23" ht="24.4" customHeight="1" x14ac:dyDescent="0.4">
      <c r="A30" s="16">
        <v>6</v>
      </c>
      <c r="B30" s="19">
        <f t="shared" si="15"/>
        <v>0</v>
      </c>
      <c r="C30" s="193">
        <f t="shared" si="20"/>
        <v>1</v>
      </c>
      <c r="D30" s="296"/>
      <c r="E30" s="199">
        <f t="shared" si="8"/>
        <v>0</v>
      </c>
      <c r="F30" s="296"/>
      <c r="G30" s="199">
        <f t="shared" si="21"/>
        <v>0</v>
      </c>
      <c r="H30" s="474">
        <f t="shared" si="16"/>
        <v>1</v>
      </c>
      <c r="I30" s="3286" t="str">
        <f t="shared" si="22"/>
        <v/>
      </c>
      <c r="J30" s="3287"/>
      <c r="K30" s="3287"/>
      <c r="L30" s="3288"/>
      <c r="M30" s="523">
        <f t="shared" si="17"/>
        <v>0</v>
      </c>
      <c r="N30" s="405"/>
      <c r="O30" s="1131" t="str">
        <f t="shared" si="10"/>
        <v/>
      </c>
      <c r="P30" s="1131" t="str">
        <f t="shared" si="11"/>
        <v/>
      </c>
      <c r="Q30" s="1227"/>
      <c r="R30" s="1146"/>
      <c r="S30" s="1888">
        <f t="shared" si="12"/>
        <v>0</v>
      </c>
      <c r="T30" s="1889">
        <f t="shared" si="18"/>
        <v>0</v>
      </c>
      <c r="U30" s="1889">
        <f t="shared" si="19"/>
        <v>0</v>
      </c>
      <c r="V30" s="1889">
        <f t="shared" si="13"/>
        <v>0</v>
      </c>
      <c r="W30" s="1889">
        <f t="shared" si="14"/>
        <v>0</v>
      </c>
    </row>
    <row r="31" spans="1:23" ht="24.4" customHeight="1" x14ac:dyDescent="0.4">
      <c r="A31" s="16">
        <v>7</v>
      </c>
      <c r="B31" s="19">
        <f t="shared" si="15"/>
        <v>0</v>
      </c>
      <c r="C31" s="193">
        <f t="shared" si="20"/>
        <v>1</v>
      </c>
      <c r="D31" s="296"/>
      <c r="E31" s="199">
        <f t="shared" si="8"/>
        <v>0</v>
      </c>
      <c r="F31" s="296"/>
      <c r="G31" s="199">
        <f t="shared" si="21"/>
        <v>0</v>
      </c>
      <c r="H31" s="474">
        <f t="shared" si="16"/>
        <v>1</v>
      </c>
      <c r="I31" s="3286" t="str">
        <f t="shared" si="22"/>
        <v/>
      </c>
      <c r="J31" s="3287"/>
      <c r="K31" s="3287"/>
      <c r="L31" s="3288"/>
      <c r="M31" s="523">
        <f t="shared" si="17"/>
        <v>0</v>
      </c>
      <c r="N31" s="405"/>
      <c r="O31" s="1131" t="str">
        <f t="shared" si="10"/>
        <v/>
      </c>
      <c r="P31" s="1131" t="str">
        <f t="shared" si="11"/>
        <v/>
      </c>
      <c r="Q31" s="1227"/>
      <c r="R31" s="1146"/>
      <c r="S31" s="1888">
        <f t="shared" si="12"/>
        <v>0</v>
      </c>
      <c r="T31" s="1889">
        <f t="shared" si="18"/>
        <v>0</v>
      </c>
      <c r="U31" s="1889">
        <f t="shared" si="19"/>
        <v>0</v>
      </c>
      <c r="V31" s="1889">
        <f t="shared" si="13"/>
        <v>0</v>
      </c>
      <c r="W31" s="1889">
        <f t="shared" si="14"/>
        <v>0</v>
      </c>
    </row>
    <row r="32" spans="1:23" ht="24.4" customHeight="1" thickBot="1" x14ac:dyDescent="0.45">
      <c r="A32" s="320">
        <v>8</v>
      </c>
      <c r="B32" s="19">
        <f t="shared" si="15"/>
        <v>0</v>
      </c>
      <c r="C32" s="321">
        <f t="shared" ref="C32" si="23">M19+K19</f>
        <v>1</v>
      </c>
      <c r="D32" s="297"/>
      <c r="E32" s="486">
        <f t="shared" si="8"/>
        <v>0</v>
      </c>
      <c r="F32" s="297"/>
      <c r="G32" s="486">
        <f t="shared" ref="G32" si="24">C32*F32</f>
        <v>0</v>
      </c>
      <c r="H32" s="475">
        <f t="shared" si="16"/>
        <v>1</v>
      </c>
      <c r="I32" s="3256" t="str">
        <f t="shared" ref="I32" si="25">IF(C19=0,"",C19)</f>
        <v/>
      </c>
      <c r="J32" s="3257"/>
      <c r="K32" s="3257"/>
      <c r="L32" s="3258"/>
      <c r="M32" s="487">
        <f t="shared" si="17"/>
        <v>0</v>
      </c>
      <c r="N32" s="405"/>
      <c r="O32" s="1131" t="str">
        <f t="shared" si="10"/>
        <v/>
      </c>
      <c r="P32" s="1131" t="str">
        <f t="shared" si="11"/>
        <v/>
      </c>
      <c r="Q32" s="1227"/>
      <c r="R32" s="1146"/>
      <c r="S32" s="1888">
        <f t="shared" si="12"/>
        <v>0</v>
      </c>
      <c r="T32" s="1889">
        <f t="shared" si="18"/>
        <v>0</v>
      </c>
      <c r="U32" s="1889">
        <f t="shared" si="19"/>
        <v>0</v>
      </c>
      <c r="V32" s="1889">
        <f t="shared" si="13"/>
        <v>0</v>
      </c>
      <c r="W32" s="1889">
        <f t="shared" si="14"/>
        <v>0</v>
      </c>
    </row>
    <row r="33" spans="1:18" ht="52.5" customHeight="1" x14ac:dyDescent="0.4">
      <c r="A33" s="3247" t="str">
        <f>' K3 PP'!A47</f>
        <v>Lizenziert für:
Vers V4.1</v>
      </c>
      <c r="B33" s="3248"/>
      <c r="C33" s="3248"/>
      <c r="D33" s="3249" t="str">
        <f ca="1">' K3 PP'!D47</f>
        <v xml:space="preserve">Mittellohnpreisbroschüre EuM 2025 </v>
      </c>
      <c r="E33" s="3249"/>
      <c r="F33" s="3249"/>
      <c r="G33" s="3250"/>
      <c r="H33" s="3251"/>
      <c r="I33" s="3252"/>
      <c r="J33" s="3252"/>
      <c r="K33" s="3253"/>
      <c r="L33" s="3254" t="s">
        <v>266</v>
      </c>
      <c r="M33" s="3255"/>
      <c r="N33" s="278"/>
      <c r="O33" s="1132"/>
      <c r="P33" s="1133"/>
      <c r="Q33" s="1229"/>
      <c r="R33" s="1147"/>
    </row>
    <row r="41" spans="1:18" ht="18" customHeight="1" x14ac:dyDescent="0.4"/>
    <row r="42" spans="1:18" ht="18" customHeight="1" x14ac:dyDescent="0.4"/>
    <row r="43" spans="1:18" ht="18" customHeight="1" x14ac:dyDescent="0.4"/>
    <row r="44" spans="1:18" ht="18" customHeight="1" x14ac:dyDescent="0.4"/>
    <row r="47" spans="1:18" ht="15" customHeight="1" x14ac:dyDescent="0.4"/>
    <row r="48" spans="1:18" ht="15" customHeight="1" x14ac:dyDescent="0.4"/>
    <row r="49" ht="15" customHeight="1" x14ac:dyDescent="0.4"/>
    <row r="51" ht="24.4" customHeight="1" x14ac:dyDescent="0.4"/>
    <row r="52" ht="24.4" customHeight="1" x14ac:dyDescent="0.4"/>
    <row r="53" ht="24.4" customHeight="1" x14ac:dyDescent="0.4"/>
    <row r="54" ht="24.4" customHeight="1" x14ac:dyDescent="0.4"/>
    <row r="55" ht="24.4" customHeight="1" x14ac:dyDescent="0.4"/>
    <row r="56" ht="24.4" customHeight="1" x14ac:dyDescent="0.4"/>
    <row r="63" ht="24.4" customHeight="1" x14ac:dyDescent="0.4"/>
    <row r="64" ht="24.4" customHeight="1" x14ac:dyDescent="0.4"/>
    <row r="65" spans="1:17" ht="24.4" customHeight="1" x14ac:dyDescent="0.4"/>
    <row r="66" spans="1:17" ht="24.4" customHeight="1" x14ac:dyDescent="0.4"/>
    <row r="67" spans="1:17" ht="24.4" customHeight="1" x14ac:dyDescent="0.4"/>
    <row r="68" spans="1:17" ht="24.4" customHeight="1" x14ac:dyDescent="0.4"/>
    <row r="69" spans="1:17" ht="52.5" customHeight="1" x14ac:dyDescent="0.4"/>
    <row r="70" spans="1:17" ht="14.25" x14ac:dyDescent="0.45">
      <c r="A70" s="178"/>
      <c r="B70" s="178"/>
      <c r="C70" s="178"/>
      <c r="D70" s="178"/>
      <c r="E70" s="178"/>
      <c r="F70" s="178"/>
      <c r="G70" s="178"/>
      <c r="H70" s="178"/>
      <c r="I70" s="178"/>
      <c r="J70" s="178"/>
      <c r="K70" s="178"/>
      <c r="L70" s="178"/>
      <c r="M70" s="178"/>
      <c r="N70" s="178"/>
      <c r="O70" s="178"/>
      <c r="P70" s="178"/>
      <c r="Q70" s="178"/>
    </row>
    <row r="71" spans="1:17" ht="14.25" x14ac:dyDescent="0.45">
      <c r="A71" s="178"/>
      <c r="B71" s="178"/>
      <c r="C71" s="178"/>
      <c r="D71" s="178"/>
      <c r="E71" s="178"/>
      <c r="F71" s="178"/>
      <c r="G71" s="178"/>
      <c r="H71" s="178"/>
      <c r="I71" s="178"/>
      <c r="J71" s="178"/>
      <c r="K71" s="178"/>
      <c r="L71" s="178"/>
      <c r="M71" s="178"/>
      <c r="N71" s="178"/>
      <c r="O71" s="178"/>
      <c r="P71" s="178"/>
      <c r="Q71" s="178"/>
    </row>
    <row r="72" spans="1:17" ht="14.25" x14ac:dyDescent="0.45">
      <c r="A72" s="178"/>
      <c r="B72" s="178"/>
      <c r="C72" s="178"/>
      <c r="D72" s="178"/>
      <c r="E72" s="178"/>
      <c r="F72" s="178"/>
      <c r="G72" s="178"/>
      <c r="H72" s="178"/>
      <c r="I72" s="178"/>
      <c r="J72" s="178"/>
      <c r="K72" s="178"/>
      <c r="L72" s="178"/>
      <c r="M72" s="178"/>
      <c r="N72" s="178"/>
      <c r="O72" s="178"/>
      <c r="P72" s="178"/>
      <c r="Q72" s="178"/>
    </row>
    <row r="73" spans="1:17" ht="14.25" x14ac:dyDescent="0.45">
      <c r="A73" s="178"/>
      <c r="B73" s="178"/>
      <c r="C73" s="178"/>
      <c r="D73" s="178"/>
      <c r="E73" s="178"/>
      <c r="F73" s="178"/>
      <c r="G73" s="178"/>
      <c r="H73" s="178"/>
      <c r="I73" s="178"/>
      <c r="J73" s="178"/>
      <c r="K73" s="178"/>
      <c r="L73" s="178"/>
      <c r="M73" s="178"/>
      <c r="N73" s="178"/>
      <c r="O73" s="178"/>
      <c r="P73" s="178"/>
      <c r="Q73" s="178"/>
    </row>
    <row r="74" spans="1:17" ht="14.25" x14ac:dyDescent="0.45">
      <c r="A74" s="178"/>
      <c r="B74" s="178"/>
      <c r="C74" s="178"/>
      <c r="D74" s="178"/>
      <c r="E74" s="178"/>
      <c r="F74" s="178"/>
      <c r="G74" s="178"/>
      <c r="H74" s="178"/>
      <c r="I74" s="178"/>
      <c r="J74" s="178"/>
      <c r="K74" s="178"/>
      <c r="L74" s="178"/>
      <c r="M74" s="178"/>
      <c r="N74" s="178"/>
      <c r="O74" s="178"/>
      <c r="P74" s="178"/>
      <c r="Q74" s="178"/>
    </row>
  </sheetData>
  <sheetProtection algorithmName="SHA-512" hashValue="P1YPRxxsTFMd1unJttznUKUQPOEAj077ItTSs6zt0/YOhrjnRc4yi1bl4h65VhmM36V9+CrfPq+nAdumobeylQ==" saltValue="5Z8fBbzVNvwxnTBk/1vK4g==" spinCount="100000" sheet="1" formatColumns="0" selectLockedCells="1"/>
  <mergeCells count="60">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33:C33"/>
    <mergeCell ref="D33:G33"/>
    <mergeCell ref="H33:K33"/>
    <mergeCell ref="L33:M33"/>
    <mergeCell ref="I32:L32"/>
    <mergeCell ref="A4:F4"/>
    <mergeCell ref="A5:F5"/>
    <mergeCell ref="A6:F6"/>
    <mergeCell ref="F7:G7"/>
    <mergeCell ref="G3:M4"/>
    <mergeCell ref="A7:A10"/>
    <mergeCell ref="H6:I6"/>
    <mergeCell ref="C7:D8"/>
    <mergeCell ref="C9:D10"/>
    <mergeCell ref="L9:L10"/>
    <mergeCell ref="E9:E10"/>
    <mergeCell ref="F9:F10"/>
    <mergeCell ref="I9:I10"/>
    <mergeCell ref="O20:P22"/>
    <mergeCell ref="C11:D11"/>
    <mergeCell ref="C16:D16"/>
    <mergeCell ref="C12:D12"/>
    <mergeCell ref="C13:D13"/>
    <mergeCell ref="C14:D14"/>
    <mergeCell ref="C15:D15"/>
    <mergeCell ref="C17:D17"/>
    <mergeCell ref="C18:D18"/>
    <mergeCell ref="D22:D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E6" sqref="E6:F6"/>
    </sheetView>
  </sheetViews>
  <sheetFormatPr baseColWidth="10" defaultColWidth="10.6640625" defaultRowHeight="14.25" x14ac:dyDescent="0.45"/>
  <cols>
    <col min="1" max="1" width="1.6093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71875" style="429" hidden="1" customWidth="1"/>
    <col min="18" max="19" width="10.6640625" style="429" customWidth="1"/>
    <col min="20" max="16384" width="10.6640625" style="178"/>
  </cols>
  <sheetData>
    <row r="1" spans="1:19" s="175" customFormat="1" ht="22.05" customHeight="1" x14ac:dyDescent="0.55000000000000004">
      <c r="A1" s="425" t="s">
        <v>214</v>
      </c>
      <c r="B1" s="181"/>
      <c r="C1" s="181"/>
      <c r="D1" s="181"/>
      <c r="E1" s="182" t="s">
        <v>23</v>
      </c>
      <c r="F1" s="3323" t="str">
        <f>'K2 GZ'!G3</f>
        <v>Musterprojekt Spenglerarbeiten</v>
      </c>
      <c r="G1" s="3324"/>
      <c r="H1" s="3324"/>
      <c r="I1" s="3324"/>
      <c r="J1" s="3324"/>
      <c r="K1" s="3324"/>
      <c r="L1" s="3324"/>
      <c r="M1" s="273"/>
      <c r="O1" s="427"/>
      <c r="P1" s="427"/>
      <c r="Q1" s="427" t="s">
        <v>965</v>
      </c>
      <c r="R1" s="427"/>
      <c r="S1" s="427"/>
    </row>
    <row r="2" spans="1:19" s="175" customFormat="1" ht="18" customHeight="1" x14ac:dyDescent="0.4">
      <c r="A2" s="3312" t="str">
        <f ca="1">KALKULATION!D11</f>
        <v>Mittellohnpreisbroschüre EuM 2025</v>
      </c>
      <c r="B2" s="3313"/>
      <c r="C2" s="3313"/>
      <c r="D2" s="3313"/>
      <c r="E2" s="3314"/>
      <c r="F2" s="3323"/>
      <c r="G2" s="3324"/>
      <c r="H2" s="3324"/>
      <c r="I2" s="3325"/>
      <c r="J2" s="3325"/>
      <c r="K2" s="3325"/>
      <c r="L2" s="3325"/>
      <c r="M2" s="273"/>
      <c r="O2" s="427"/>
      <c r="P2" s="427"/>
      <c r="Q2" s="427" t="s">
        <v>921</v>
      </c>
      <c r="R2" s="427"/>
      <c r="S2" s="427"/>
    </row>
    <row r="3" spans="1:19" s="175" customFormat="1" ht="18" customHeight="1" x14ac:dyDescent="0.4">
      <c r="A3" s="3318" t="str">
        <f ca="1">IF(KALKULATION!D12&lt;&gt;0,KALKULATION!D12,"")</f>
        <v>Laufzeit bis 1.3.2025</v>
      </c>
      <c r="B3" s="3319"/>
      <c r="C3" s="3319"/>
      <c r="D3" s="3319"/>
      <c r="E3" s="3320"/>
      <c r="F3" s="179" t="s">
        <v>155</v>
      </c>
      <c r="G3" s="3326" t="str">
        <f>'K2 GZ'!H5</f>
        <v>001/25</v>
      </c>
      <c r="H3" s="3327"/>
      <c r="I3" s="3328" t="s">
        <v>1</v>
      </c>
      <c r="J3" s="3329"/>
      <c r="K3" s="3330">
        <f>'K2 GZ'!L5</f>
        <v>45658</v>
      </c>
      <c r="L3" s="3331"/>
      <c r="M3" s="274"/>
      <c r="O3" s="427"/>
      <c r="P3" s="427"/>
      <c r="Q3" s="427"/>
      <c r="R3" s="427"/>
      <c r="S3" s="427"/>
    </row>
    <row r="4" spans="1:19" s="175" customFormat="1" ht="18" customHeight="1" thickBot="1" x14ac:dyDescent="0.45">
      <c r="A4" s="3315" t="str">
        <f ca="1">IF(KALKULATION!D13&lt;&gt;0,KALKULATION!D13,"")</f>
        <v/>
      </c>
      <c r="B4" s="3316"/>
      <c r="C4" s="3316"/>
      <c r="D4" s="3316"/>
      <c r="E4" s="3317"/>
      <c r="F4" s="180" t="s">
        <v>156</v>
      </c>
      <c r="G4" s="3332" t="str">
        <f>'K2 GZ'!H6</f>
        <v>??</v>
      </c>
      <c r="H4" s="3332"/>
      <c r="I4" s="3333" t="s">
        <v>94</v>
      </c>
      <c r="J4" s="3333"/>
      <c r="K4" s="3333"/>
      <c r="L4" s="3333"/>
      <c r="M4" s="275"/>
      <c r="O4" s="427"/>
      <c r="P4" s="427"/>
      <c r="Q4" s="427" t="s">
        <v>302</v>
      </c>
      <c r="R4" s="427"/>
      <c r="S4" s="427"/>
    </row>
    <row r="5" spans="1:19" s="175" customFormat="1" ht="13.15" x14ac:dyDescent="0.4">
      <c r="A5" s="183"/>
      <c r="B5" s="3300" t="s">
        <v>225</v>
      </c>
      <c r="C5" s="3301"/>
      <c r="D5" s="3300" t="s">
        <v>226</v>
      </c>
      <c r="E5" s="3300" t="s">
        <v>218</v>
      </c>
      <c r="F5" s="3301"/>
      <c r="G5" s="3321" t="s">
        <v>215</v>
      </c>
      <c r="H5" s="3300" t="s">
        <v>218</v>
      </c>
      <c r="I5" s="3301"/>
      <c r="J5" s="3321" t="s">
        <v>215</v>
      </c>
      <c r="K5" s="3300" t="s">
        <v>218</v>
      </c>
      <c r="L5" s="3301"/>
      <c r="M5" s="266"/>
      <c r="O5" s="427"/>
      <c r="P5" s="427"/>
      <c r="Q5" s="1128" t="s">
        <v>920</v>
      </c>
      <c r="R5" s="427"/>
      <c r="S5" s="427"/>
    </row>
    <row r="6" spans="1:19" s="175" customFormat="1" ht="25.25" customHeight="1" x14ac:dyDescent="0.4">
      <c r="A6" s="183"/>
      <c r="B6" s="3300"/>
      <c r="C6" s="3301"/>
      <c r="D6" s="3335"/>
      <c r="E6" s="3310" t="s">
        <v>983</v>
      </c>
      <c r="F6" s="3311"/>
      <c r="G6" s="3322"/>
      <c r="H6" s="3310" t="s">
        <v>982</v>
      </c>
      <c r="I6" s="3311"/>
      <c r="J6" s="3322"/>
      <c r="K6" s="3310" t="s">
        <v>984</v>
      </c>
      <c r="L6" s="3311"/>
      <c r="M6" s="426"/>
      <c r="O6" s="427"/>
      <c r="P6" s="427"/>
      <c r="Q6" s="427"/>
      <c r="R6" s="427"/>
      <c r="S6" s="427"/>
    </row>
    <row r="7" spans="1:19" s="175" customFormat="1" ht="13.15" x14ac:dyDescent="0.4">
      <c r="A7" s="183"/>
      <c r="B7" s="3300"/>
      <c r="C7" s="3301"/>
      <c r="D7" s="3298" t="s">
        <v>97</v>
      </c>
      <c r="E7" s="3298" t="s">
        <v>160</v>
      </c>
      <c r="F7" s="176" t="s">
        <v>64</v>
      </c>
      <c r="G7" s="176" t="s">
        <v>64</v>
      </c>
      <c r="H7" s="3298" t="s">
        <v>163</v>
      </c>
      <c r="I7" s="176" t="s">
        <v>64</v>
      </c>
      <c r="J7" s="176" t="s">
        <v>64</v>
      </c>
      <c r="K7" s="3298" t="s">
        <v>166</v>
      </c>
      <c r="L7" s="176" t="s">
        <v>64</v>
      </c>
      <c r="M7" s="276"/>
      <c r="O7" s="427"/>
      <c r="P7" s="427"/>
      <c r="Q7" s="427"/>
      <c r="R7" s="427"/>
      <c r="S7" s="427"/>
    </row>
    <row r="8" spans="1:19" s="175" customFormat="1" ht="14.25" customHeight="1" x14ac:dyDescent="0.4">
      <c r="A8" s="184"/>
      <c r="B8" s="3335"/>
      <c r="C8" s="3336"/>
      <c r="D8" s="3299"/>
      <c r="E8" s="3299"/>
      <c r="F8" s="177" t="s">
        <v>161</v>
      </c>
      <c r="G8" s="177" t="s">
        <v>162</v>
      </c>
      <c r="H8" s="3299"/>
      <c r="I8" s="177" t="s">
        <v>164</v>
      </c>
      <c r="J8" s="177" t="s">
        <v>165</v>
      </c>
      <c r="K8" s="3299"/>
      <c r="L8" s="177" t="s">
        <v>167</v>
      </c>
      <c r="M8" s="277"/>
      <c r="O8" s="427"/>
      <c r="P8" s="427"/>
      <c r="Q8" s="427"/>
      <c r="R8" s="427"/>
      <c r="S8" s="427"/>
    </row>
    <row r="9" spans="1:19" s="175" customFormat="1" ht="13.25" customHeight="1" thickBot="1" x14ac:dyDescent="0.45">
      <c r="A9" s="309" t="s">
        <v>6</v>
      </c>
      <c r="B9" s="3337" t="s">
        <v>7</v>
      </c>
      <c r="C9" s="3337"/>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4">
      <c r="A10" s="308">
        <v>1</v>
      </c>
      <c r="B10" s="3338" t="str">
        <f>IF('K2 GZ'!C12="","",'K2 GZ'!C12)</f>
        <v>Alle Kostenarten</v>
      </c>
      <c r="C10" s="3338"/>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4">
      <c r="A11" s="185">
        <v>2</v>
      </c>
      <c r="B11" s="3334" t="str">
        <f>IF('K2 GZ'!C13="","",'K2 GZ'!C13)</f>
        <v/>
      </c>
      <c r="C11" s="3334"/>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4">
      <c r="A12" s="185">
        <v>3</v>
      </c>
      <c r="B12" s="3334" t="str">
        <f>IF('K2 GZ'!C14="","",'K2 GZ'!C14)</f>
        <v/>
      </c>
      <c r="C12" s="3334"/>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4">
      <c r="A13" s="185">
        <v>4</v>
      </c>
      <c r="B13" s="3334" t="str">
        <f>IF('K2 GZ'!C15="","",'K2 GZ'!C15)</f>
        <v/>
      </c>
      <c r="C13" s="3334"/>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4">
      <c r="A14" s="185">
        <v>5</v>
      </c>
      <c r="B14" s="3334" t="str">
        <f>IF('K2 GZ'!C16="","",'K2 GZ'!C16)</f>
        <v/>
      </c>
      <c r="C14" s="3334"/>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4">
      <c r="A15" s="185">
        <v>6</v>
      </c>
      <c r="B15" s="3334" t="str">
        <f>IF('K2 GZ'!C17="","",'K2 GZ'!C17)</f>
        <v/>
      </c>
      <c r="C15" s="3334"/>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4">
      <c r="A16" s="185">
        <v>7</v>
      </c>
      <c r="B16" s="3334" t="str">
        <f>IF('K2 GZ'!C18="","",'K2 GZ'!C18)</f>
        <v/>
      </c>
      <c r="C16" s="3334"/>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45">
      <c r="A17" s="416">
        <v>8</v>
      </c>
      <c r="B17" s="3371" t="str">
        <f>IF('K2 GZ'!C19="","",'K2 GZ'!C19)</f>
        <v/>
      </c>
      <c r="C17" s="3371"/>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45">
      <c r="A18" s="415"/>
      <c r="B18" s="3363" t="s">
        <v>282</v>
      </c>
      <c r="C18" s="3364"/>
      <c r="D18" s="3364"/>
      <c r="E18" s="3308" t="s">
        <v>921</v>
      </c>
      <c r="F18" s="3308"/>
      <c r="G18" s="3308"/>
      <c r="H18" s="3309"/>
      <c r="I18" s="3360" t="s">
        <v>301</v>
      </c>
      <c r="J18" s="3361"/>
      <c r="K18" s="3362"/>
      <c r="L18" s="1209" t="s">
        <v>302</v>
      </c>
      <c r="M18" s="283"/>
      <c r="N18" s="3306" t="s">
        <v>262</v>
      </c>
      <c r="O18" s="428"/>
      <c r="P18" s="427"/>
      <c r="Q18" s="427"/>
      <c r="R18" s="427"/>
      <c r="S18" s="427"/>
    </row>
    <row r="19" spans="1:19" s="175" customFormat="1" ht="14.65" customHeight="1" x14ac:dyDescent="0.4">
      <c r="A19" s="183"/>
      <c r="B19" s="3321" t="s">
        <v>304</v>
      </c>
      <c r="C19" s="3300" t="s">
        <v>309</v>
      </c>
      <c r="D19" s="3300" t="s">
        <v>218</v>
      </c>
      <c r="E19" s="3301"/>
      <c r="F19" s="3300" t="s">
        <v>218</v>
      </c>
      <c r="G19" s="3301"/>
      <c r="H19" s="3300" t="s">
        <v>218</v>
      </c>
      <c r="I19" s="3301"/>
      <c r="J19" s="3300" t="s">
        <v>305</v>
      </c>
      <c r="K19" s="3302" t="s">
        <v>216</v>
      </c>
      <c r="L19" s="3303"/>
      <c r="N19" s="3307"/>
      <c r="O19" s="427"/>
      <c r="P19" s="427"/>
      <c r="Q19" s="427"/>
      <c r="R19" s="427"/>
      <c r="S19" s="427"/>
    </row>
    <row r="20" spans="1:19" s="175" customFormat="1" ht="25.5" customHeight="1" x14ac:dyDescent="0.4">
      <c r="A20" s="183"/>
      <c r="B20" s="3321"/>
      <c r="C20" s="3300"/>
      <c r="D20" s="3310" t="s">
        <v>985</v>
      </c>
      <c r="E20" s="3311"/>
      <c r="F20" s="3310" t="s">
        <v>986</v>
      </c>
      <c r="G20" s="3311"/>
      <c r="H20" s="3310"/>
      <c r="I20" s="3311"/>
      <c r="J20" s="3300"/>
      <c r="K20" s="3304"/>
      <c r="L20" s="3305"/>
      <c r="M20" s="284"/>
      <c r="N20" s="482" t="s">
        <v>263</v>
      </c>
      <c r="O20" s="427"/>
      <c r="P20" s="427"/>
      <c r="Q20" s="427"/>
      <c r="R20" s="427"/>
      <c r="S20" s="427"/>
    </row>
    <row r="21" spans="1:19" s="175" customFormat="1" ht="25.35" customHeight="1" x14ac:dyDescent="0.4">
      <c r="A21" s="285"/>
      <c r="B21" s="286" t="s">
        <v>308</v>
      </c>
      <c r="C21" s="286" t="s">
        <v>308</v>
      </c>
      <c r="D21" s="3298" t="str">
        <f>IF($E$18=$Q$1,"%-Satz auf M","%-Satz (%-tuell auf-zurech.)")</f>
        <v>%-Satz (%-tuell auf-zurech.)</v>
      </c>
      <c r="E21" s="176" t="s">
        <v>308</v>
      </c>
      <c r="F21" s="3298" t="str">
        <f>IF($E$18=$Q$1,"%-Satz auf M","%-Satz (%-tuell auf-zurech.)")</f>
        <v>%-Satz (%-tuell auf-zurech.)</v>
      </c>
      <c r="G21" s="176" t="s">
        <v>308</v>
      </c>
      <c r="H21" s="3298" t="str">
        <f>IF($E$18=$Q$1,"%-Satz auf M","%-Satz (%-tuell auf-zurech.)")</f>
        <v>%-Satz (%-tuell auf-zurech.)</v>
      </c>
      <c r="I21" s="176" t="s">
        <v>308</v>
      </c>
      <c r="J21" s="306" t="s">
        <v>308</v>
      </c>
      <c r="K21" s="307"/>
      <c r="L21" s="287"/>
      <c r="M21" s="288"/>
      <c r="N21" s="3296" t="str">
        <f ca="1">'K2 GZ'!R22</f>
        <v>72,74 €/Std
1,21 €/Min</v>
      </c>
      <c r="O21" s="427"/>
      <c r="P21" s="427"/>
      <c r="Q21" s="427"/>
      <c r="R21" s="427"/>
      <c r="S21" s="427"/>
    </row>
    <row r="22" spans="1:19" s="175" customFormat="1" ht="25.35" customHeight="1" x14ac:dyDescent="0.4">
      <c r="A22" s="285"/>
      <c r="B22" s="3350" t="s">
        <v>303</v>
      </c>
      <c r="C22" s="289" t="str">
        <f>IF(L18=$Q$5,"100%","M = L")</f>
        <v>M = L</v>
      </c>
      <c r="D22" s="3299"/>
      <c r="E22" s="3356" t="s">
        <v>445</v>
      </c>
      <c r="F22" s="3299"/>
      <c r="G22" s="3358" t="str">
        <f>IF($E$18=$Q$1,"Q=
MxP/100","Q=
(M+O) x P/100")</f>
        <v>Q=
(M+O) x P/100</v>
      </c>
      <c r="H22" s="3299"/>
      <c r="I22" s="3358" t="str">
        <f>IF($E$18=$Q$1,"S=
MxP/100","S=
(M+O+Q) x R/100")</f>
        <v>S=
(M+O+Q) x R/100</v>
      </c>
      <c r="J22" s="3348" t="s">
        <v>306</v>
      </c>
      <c r="K22" s="3365" t="s">
        <v>313</v>
      </c>
      <c r="L22" s="3366"/>
      <c r="M22" s="277"/>
      <c r="N22" s="3297"/>
      <c r="O22" s="427"/>
      <c r="P22" s="427"/>
      <c r="Q22" s="427"/>
      <c r="R22" s="427"/>
      <c r="S22" s="427"/>
    </row>
    <row r="23" spans="1:19" s="175" customFormat="1" ht="13.5" customHeight="1" thickBot="1" x14ac:dyDescent="0.45">
      <c r="A23" s="311"/>
      <c r="B23" s="3351"/>
      <c r="C23" s="304" t="s">
        <v>16</v>
      </c>
      <c r="D23" s="304" t="s">
        <v>19</v>
      </c>
      <c r="E23" s="3357"/>
      <c r="F23" s="304" t="s">
        <v>3</v>
      </c>
      <c r="G23" s="3359"/>
      <c r="H23" s="305" t="s">
        <v>178</v>
      </c>
      <c r="I23" s="3359"/>
      <c r="J23" s="3349"/>
      <c r="K23" s="3369" t="s">
        <v>310</v>
      </c>
      <c r="L23" s="3370"/>
      <c r="M23" s="277"/>
      <c r="N23" s="483" t="s">
        <v>264</v>
      </c>
      <c r="O23" s="427"/>
      <c r="P23" s="427"/>
      <c r="Q23" s="427"/>
      <c r="R23" s="427"/>
      <c r="S23" s="427"/>
    </row>
    <row r="24" spans="1:19" s="175" customFormat="1" ht="25.5" customHeight="1" thickTop="1" x14ac:dyDescent="0.4">
      <c r="A24" s="310">
        <v>1</v>
      </c>
      <c r="B24" s="300">
        <f>J10+L10</f>
        <v>1</v>
      </c>
      <c r="C24" s="295">
        <f>IF(C$22="M = L",B24,1)</f>
        <v>1</v>
      </c>
      <c r="D24" s="301"/>
      <c r="E24" s="302">
        <f>C24*D24</f>
        <v>0</v>
      </c>
      <c r="F24" s="301"/>
      <c r="G24" s="302">
        <f>IF($E$18=$Q$1,$C24*F24,($C24+E24)*F24)</f>
        <v>0</v>
      </c>
      <c r="H24" s="301"/>
      <c r="I24" s="303">
        <f>IF($E$18=$Q$1,$C24*H24,($C24+E24+G24)*H24)</f>
        <v>0</v>
      </c>
      <c r="J24" s="303">
        <f>E24+G24+I24</f>
        <v>0</v>
      </c>
      <c r="K24" s="3367">
        <f>B24+J24-1</f>
        <v>0</v>
      </c>
      <c r="L24" s="3368"/>
      <c r="N24" s="484">
        <f>IFERROR('K2 GZ'!M25,"Nicht errechenbar")</f>
        <v>0.28000000000000003</v>
      </c>
      <c r="O24" s="427"/>
      <c r="P24" s="427"/>
      <c r="Q24" s="427"/>
      <c r="R24" s="427"/>
      <c r="S24" s="427"/>
    </row>
    <row r="25" spans="1:19" s="175" customFormat="1" ht="25.5" customHeight="1" x14ac:dyDescent="0.4">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352">
        <f t="shared" ref="K25:K31" si="13">B25+J25-1</f>
        <v>0</v>
      </c>
      <c r="L25" s="3353"/>
      <c r="M25" s="293"/>
      <c r="N25" s="485">
        <f>IFERROR('K2 GZ'!M26,"Nicht errechenbar")</f>
        <v>0</v>
      </c>
      <c r="O25" s="427"/>
      <c r="P25" s="427"/>
      <c r="Q25" s="427"/>
      <c r="R25" s="427"/>
      <c r="S25" s="427"/>
    </row>
    <row r="26" spans="1:19" s="175" customFormat="1" ht="25.5" customHeight="1" x14ac:dyDescent="0.4">
      <c r="A26" s="294">
        <v>3</v>
      </c>
      <c r="B26" s="299">
        <f>J12+L12</f>
        <v>1</v>
      </c>
      <c r="C26" s="295">
        <f t="shared" si="10"/>
        <v>1</v>
      </c>
      <c r="D26" s="298"/>
      <c r="E26" s="290">
        <f t="shared" si="11"/>
        <v>0</v>
      </c>
      <c r="F26" s="298"/>
      <c r="G26" s="290">
        <f>IF($E$18=$Q$1,$C26*F26,($C26+E26)*F26)</f>
        <v>0</v>
      </c>
      <c r="H26" s="298"/>
      <c r="I26" s="291">
        <f>IF($E$18=$Q$1,$C26*H26,($C26+E26+G26)*H26)</f>
        <v>0</v>
      </c>
      <c r="J26" s="291">
        <f t="shared" si="12"/>
        <v>0</v>
      </c>
      <c r="K26" s="3352">
        <f t="shared" si="13"/>
        <v>0</v>
      </c>
      <c r="L26" s="3353"/>
      <c r="M26" s="293"/>
      <c r="N26" s="484">
        <f>IFERROR('K2 GZ'!M27,"Nicht errechenbar")</f>
        <v>0</v>
      </c>
      <c r="O26" s="427"/>
      <c r="P26" s="427"/>
      <c r="Q26" s="427"/>
      <c r="R26" s="427"/>
      <c r="S26" s="427"/>
    </row>
    <row r="27" spans="1:19" s="175" customFormat="1" ht="25.5" customHeight="1" x14ac:dyDescent="0.4">
      <c r="A27" s="294">
        <v>4</v>
      </c>
      <c r="B27" s="299">
        <f>J13+L13</f>
        <v>1</v>
      </c>
      <c r="C27" s="295">
        <f t="shared" si="10"/>
        <v>1</v>
      </c>
      <c r="D27" s="298"/>
      <c r="E27" s="290">
        <f t="shared" si="11"/>
        <v>0</v>
      </c>
      <c r="F27" s="298"/>
      <c r="G27" s="290">
        <f>IF($E$18=$Q$1,$C27*F27,($C27+E27)*F27)</f>
        <v>0</v>
      </c>
      <c r="H27" s="298"/>
      <c r="I27" s="291">
        <f>IF($E$18=$Q$1,$C27*H27,($C27+E27+G27)*H27)</f>
        <v>0</v>
      </c>
      <c r="J27" s="291">
        <f t="shared" si="12"/>
        <v>0</v>
      </c>
      <c r="K27" s="3352">
        <f t="shared" si="13"/>
        <v>0</v>
      </c>
      <c r="L27" s="3353"/>
      <c r="M27" s="293"/>
      <c r="N27" s="485">
        <f>IFERROR('K2 GZ'!M28,"Nicht errechenbar")</f>
        <v>0</v>
      </c>
      <c r="O27" s="427"/>
      <c r="P27" s="427"/>
      <c r="Q27" s="427"/>
      <c r="R27" s="427"/>
      <c r="S27" s="427"/>
    </row>
    <row r="28" spans="1:19" ht="25.5" customHeight="1" x14ac:dyDescent="0.4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352">
        <f t="shared" si="13"/>
        <v>0</v>
      </c>
      <c r="L28" s="3353"/>
      <c r="M28" s="293"/>
      <c r="N28" s="484">
        <f>IFERROR('K2 GZ'!M29,"Nicht errechenbar")</f>
        <v>0</v>
      </c>
      <c r="O28" s="427"/>
      <c r="P28" s="427"/>
    </row>
    <row r="29" spans="1:19" ht="25.5" customHeight="1" x14ac:dyDescent="0.4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352">
        <f t="shared" si="13"/>
        <v>0</v>
      </c>
      <c r="L29" s="3353"/>
      <c r="M29" s="293"/>
      <c r="N29" s="484">
        <f>IFERROR('K2 GZ'!M30,"Nicht errechenbar")</f>
        <v>0</v>
      </c>
      <c r="O29" s="427"/>
      <c r="P29" s="427"/>
    </row>
    <row r="30" spans="1:19" ht="25.5" customHeight="1" x14ac:dyDescent="0.45">
      <c r="A30" s="294">
        <v>7</v>
      </c>
      <c r="B30" s="299">
        <f t="shared" si="14"/>
        <v>1</v>
      </c>
      <c r="C30" s="295">
        <f t="shared" si="10"/>
        <v>1</v>
      </c>
      <c r="D30" s="298"/>
      <c r="E30" s="290">
        <f t="shared" si="15"/>
        <v>0</v>
      </c>
      <c r="F30" s="298"/>
      <c r="G30" s="290">
        <f t="shared" si="16"/>
        <v>0</v>
      </c>
      <c r="H30" s="298"/>
      <c r="I30" s="291">
        <f t="shared" si="17"/>
        <v>0</v>
      </c>
      <c r="J30" s="291">
        <f t="shared" si="18"/>
        <v>0</v>
      </c>
      <c r="K30" s="3352">
        <f t="shared" si="13"/>
        <v>0</v>
      </c>
      <c r="L30" s="3353"/>
      <c r="M30" s="293"/>
      <c r="N30" s="484">
        <f>IFERROR('K2 GZ'!M31,"Nicht errechenbar")</f>
        <v>0</v>
      </c>
      <c r="O30" s="427"/>
      <c r="P30" s="427"/>
    </row>
    <row r="31" spans="1:19" ht="25.5" customHeight="1" thickBot="1" x14ac:dyDescent="0.5">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54">
        <f t="shared" si="13"/>
        <v>0</v>
      </c>
      <c r="L31" s="3355"/>
      <c r="M31" s="293"/>
      <c r="N31" s="484">
        <f>IFERROR('K2 GZ'!M32,"Nicht errechenbar")</f>
        <v>0</v>
      </c>
      <c r="O31" s="427"/>
      <c r="P31" s="427"/>
    </row>
    <row r="32" spans="1:19" ht="48" customHeight="1" x14ac:dyDescent="0.45">
      <c r="A32" s="3339" t="str">
        <f>' K3 PP'!A47</f>
        <v>Lizenziert für:
Vers V4.1</v>
      </c>
      <c r="B32" s="3340"/>
      <c r="C32" s="3341" t="str">
        <f ca="1">' K3 PP'!D47</f>
        <v xml:space="preserve">Mittellohnpreisbroschüre EuM 2025 </v>
      </c>
      <c r="D32" s="3342"/>
      <c r="E32" s="3342"/>
      <c r="F32" s="3343"/>
      <c r="G32" s="3344"/>
      <c r="H32" s="3345"/>
      <c r="I32" s="3345"/>
      <c r="J32" s="3346"/>
      <c r="K32" s="3254" t="s">
        <v>307</v>
      </c>
      <c r="L32" s="3347"/>
      <c r="M32" s="293"/>
      <c r="N32" s="175"/>
    </row>
    <row r="33" spans="13:15" ht="14.25" customHeight="1" x14ac:dyDescent="0.45">
      <c r="M33" s="278"/>
      <c r="O33" s="427"/>
    </row>
  </sheetData>
  <sheetProtection algorithmName="SHA-512" hashValue="fEFwh9dNxdNoNDs4rogh+V3hUzCvXwfvmlz1QqufybvGXbnJIY8LF9+tKGpbpJMcXWccUkZdHaN7RMUkSvcWDg==" saltValue="ZP8tJ1INsgjMmQDBYJlMYw==" spinCount="100000" sheet="1" formatColumns="0" selectLockedCells="1"/>
  <mergeCells count="69">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2:E2"/>
    <mergeCell ref="A4:E4"/>
    <mergeCell ref="A3:E3"/>
    <mergeCell ref="H7:H8"/>
    <mergeCell ref="D7:D8"/>
    <mergeCell ref="G5:G6"/>
    <mergeCell ref="E6:F6"/>
    <mergeCell ref="F1:L2"/>
    <mergeCell ref="G3:H3"/>
    <mergeCell ref="I3:J3"/>
    <mergeCell ref="K3:L3"/>
    <mergeCell ref="G4:H4"/>
    <mergeCell ref="I4:L4"/>
    <mergeCell ref="N21:N22"/>
    <mergeCell ref="F21:F22"/>
    <mergeCell ref="F19:G19"/>
    <mergeCell ref="J19:J20"/>
    <mergeCell ref="K19:L20"/>
    <mergeCell ref="N18:N19"/>
    <mergeCell ref="E18:H18"/>
    <mergeCell ref="F20:G20"/>
    <mergeCell ref="D19:E19"/>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4"/>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640625" customWidth="1"/>
    <col min="18" max="18" width="2.609375" customWidth="1"/>
    <col min="19" max="20" width="5.33203125" customWidth="1"/>
    <col min="21" max="26" width="10.6640625" style="1844" hidden="1" customWidth="1"/>
    <col min="27" max="27" width="10.6640625" style="1322" hidden="1" customWidth="1"/>
    <col min="28" max="28" width="10.6640625" customWidth="1"/>
  </cols>
  <sheetData>
    <row r="1" spans="1:20" ht="18" x14ac:dyDescent="0.55000000000000004">
      <c r="A1" s="31" t="s">
        <v>21</v>
      </c>
      <c r="B1" s="3378" t="s">
        <v>22</v>
      </c>
      <c r="C1" s="3378"/>
      <c r="D1" s="3378"/>
      <c r="E1" s="3379"/>
      <c r="F1" s="424" t="s">
        <v>187</v>
      </c>
      <c r="G1" s="3372" t="str">
        <f>IF(KALKULATION!D14="","N.N.",KALKULATION!D14)</f>
        <v>Musterprojekt Spenglerarbeiten</v>
      </c>
      <c r="H1" s="3372"/>
      <c r="I1" s="3372"/>
      <c r="J1" s="3372"/>
      <c r="K1" s="3372"/>
      <c r="L1" s="3372"/>
      <c r="M1" s="3372"/>
      <c r="N1" s="3372"/>
      <c r="O1" s="3372"/>
      <c r="P1" s="3373"/>
      <c r="Q1" s="731"/>
      <c r="R1" s="784"/>
      <c r="S1" s="731"/>
      <c r="T1" s="731"/>
    </row>
    <row r="2" spans="1:20" x14ac:dyDescent="0.4">
      <c r="A2" s="3527"/>
      <c r="B2" s="3505" t="s">
        <v>57</v>
      </c>
      <c r="C2" s="3506"/>
      <c r="D2" s="3506"/>
      <c r="E2" s="3506"/>
      <c r="F2" s="3507" t="str">
        <f>IF(KALKULATION!D16="","N.N.",KALKULATION!D16)</f>
        <v>Mittellohnpreis Spengler (nach KollV EuM, BUAG &amp; BSchwEG)</v>
      </c>
      <c r="G2" s="3507"/>
      <c r="H2" s="3507"/>
      <c r="I2" s="3507"/>
      <c r="J2" s="3508"/>
      <c r="K2" s="3457" t="s">
        <v>24</v>
      </c>
      <c r="L2" s="3458"/>
      <c r="M2" s="3458"/>
      <c r="N2" s="3458"/>
      <c r="O2" s="3458"/>
      <c r="P2" s="3528"/>
      <c r="Q2" s="561"/>
      <c r="R2" s="785"/>
      <c r="S2" s="561"/>
      <c r="T2" s="561"/>
    </row>
    <row r="3" spans="1:20" x14ac:dyDescent="0.4">
      <c r="A3" s="3527"/>
      <c r="B3" s="3247"/>
      <c r="C3" s="3248"/>
      <c r="D3" s="3248"/>
      <c r="E3" s="3248"/>
      <c r="F3" s="3509"/>
      <c r="G3" s="3509"/>
      <c r="H3" s="3509"/>
      <c r="I3" s="3509"/>
      <c r="J3" s="3510"/>
      <c r="K3" s="3400" t="str">
        <f ca="1">KALKULATION!D11</f>
        <v>Mittellohnpreisbroschüre EuM 2025</v>
      </c>
      <c r="L3" s="3401"/>
      <c r="M3" s="3401"/>
      <c r="N3" s="3401"/>
      <c r="O3" s="3401"/>
      <c r="P3" s="3402"/>
      <c r="Q3" s="559"/>
      <c r="R3" s="786"/>
      <c r="S3" s="559"/>
      <c r="T3" s="559"/>
    </row>
    <row r="4" spans="1:20" x14ac:dyDescent="0.4">
      <c r="A4" s="3527"/>
      <c r="B4" s="77" t="s">
        <v>155</v>
      </c>
      <c r="C4" s="3503" t="str">
        <f>IF(KALKULATION!B18="","N.N.",KALKULATION!B18)</f>
        <v>001/25</v>
      </c>
      <c r="D4" s="3503"/>
      <c r="E4" s="3504"/>
      <c r="F4" s="77" t="s">
        <v>156</v>
      </c>
      <c r="G4" s="3503" t="str">
        <f>IF(KALKULATION!B19="","N.N.",KALKULATION!B19)</f>
        <v>??</v>
      </c>
      <c r="H4" s="3503"/>
      <c r="I4" s="3503"/>
      <c r="J4" s="3504"/>
      <c r="K4" s="3515" t="str">
        <f ca="1">IF(KALKULATION!D12&lt;&gt;0,KALKULATION!D12,"")</f>
        <v>Laufzeit bis 1.3.2025</v>
      </c>
      <c r="L4" s="3516"/>
      <c r="M4" s="3516"/>
      <c r="N4" s="3516"/>
      <c r="O4" s="3516"/>
      <c r="P4" s="3517"/>
      <c r="Q4" s="562"/>
      <c r="R4" s="787"/>
      <c r="S4" s="562"/>
      <c r="T4" s="562"/>
    </row>
    <row r="5" spans="1:20" x14ac:dyDescent="0.4">
      <c r="A5" s="3527"/>
      <c r="B5" s="3397" t="s">
        <v>619</v>
      </c>
      <c r="C5" s="3398"/>
      <c r="D5" s="3398"/>
      <c r="E5" s="3399"/>
      <c r="F5" s="3406" t="s">
        <v>620</v>
      </c>
      <c r="G5" s="3407"/>
      <c r="H5" s="3407"/>
      <c r="I5" s="3407"/>
      <c r="J5" s="3408"/>
      <c r="K5" s="3515" t="str">
        <f ca="1">IF(KALKULATION!D13&lt;&gt;0,KALKULATION!D13,"")</f>
        <v/>
      </c>
      <c r="L5" s="3516"/>
      <c r="M5" s="3516"/>
      <c r="N5" s="3516"/>
      <c r="O5" s="3516"/>
      <c r="P5" s="3517"/>
      <c r="Q5" s="562"/>
      <c r="R5" s="787"/>
      <c r="S5" s="562"/>
      <c r="T5" s="562"/>
    </row>
    <row r="6" spans="1:20" x14ac:dyDescent="0.4">
      <c r="A6" s="3527"/>
      <c r="B6" s="3403" t="str">
        <f>KALKULATION!C28</f>
        <v>Lohn</v>
      </c>
      <c r="C6" s="3404"/>
      <c r="D6" s="3404"/>
      <c r="E6" s="3405"/>
      <c r="F6" s="3409" t="str">
        <f>KALKULATION!C29</f>
        <v>Montage</v>
      </c>
      <c r="G6" s="3410"/>
      <c r="H6" s="3410"/>
      <c r="I6" s="3410"/>
      <c r="J6" s="3411"/>
      <c r="K6" s="3407" t="s">
        <v>1</v>
      </c>
      <c r="L6" s="3407"/>
      <c r="M6" s="3511">
        <f>KALKULATION!F18</f>
        <v>45658</v>
      </c>
      <c r="N6" s="3511"/>
      <c r="O6" s="3511"/>
      <c r="P6" s="3512"/>
      <c r="Q6" s="732"/>
      <c r="R6" s="788"/>
      <c r="S6" s="732"/>
      <c r="T6" s="732"/>
    </row>
    <row r="7" spans="1:20" x14ac:dyDescent="0.4">
      <c r="A7" s="3527"/>
      <c r="B7" s="3513" t="s">
        <v>126</v>
      </c>
      <c r="C7" s="3514"/>
      <c r="D7" s="3514"/>
      <c r="E7" s="3514"/>
      <c r="F7" s="3518"/>
      <c r="G7" s="3446"/>
      <c r="H7" s="3446"/>
      <c r="I7" s="3446"/>
      <c r="J7" s="3447"/>
      <c r="K7" s="3446" t="s">
        <v>140</v>
      </c>
      <c r="L7" s="3446"/>
      <c r="M7" s="3446"/>
      <c r="N7" s="3446"/>
      <c r="O7" s="3446"/>
      <c r="P7" s="3447"/>
      <c r="Q7" s="558"/>
      <c r="R7" s="789"/>
      <c r="S7" s="558"/>
      <c r="T7" s="558"/>
    </row>
    <row r="8" spans="1:20" ht="15.4" thickBot="1" x14ac:dyDescent="0.45">
      <c r="A8" s="3527"/>
      <c r="B8" s="3475" t="str">
        <f ca="1">Stammdaten!B3</f>
        <v>KollV Eisen- und Metallverarbeitende Gewerbe (ArbeiterInnen)</v>
      </c>
      <c r="C8" s="3476"/>
      <c r="D8" s="3476"/>
      <c r="E8" s="3476"/>
      <c r="F8" s="3476"/>
      <c r="G8" s="3476"/>
      <c r="H8" s="3476"/>
      <c r="I8" s="3476"/>
      <c r="J8" s="3476"/>
      <c r="K8" s="3476"/>
      <c r="L8" s="3477"/>
      <c r="M8" s="3529" t="s">
        <v>26</v>
      </c>
      <c r="N8" s="3530"/>
      <c r="O8" s="3519">
        <f ca="1">Stammdaten!B4</f>
        <v>45658</v>
      </c>
      <c r="P8" s="3520"/>
      <c r="Q8" s="406"/>
      <c r="R8" s="790"/>
      <c r="S8" s="406"/>
      <c r="T8" s="406"/>
    </row>
    <row r="9" spans="1:20" x14ac:dyDescent="0.4">
      <c r="A9" s="79">
        <v>1</v>
      </c>
      <c r="B9" s="3521" t="s">
        <v>106</v>
      </c>
      <c r="C9" s="3382"/>
      <c r="D9" s="3382"/>
      <c r="E9" s="3522"/>
      <c r="F9" s="3501" t="s">
        <v>107</v>
      </c>
      <c r="G9" s="3502"/>
      <c r="H9" s="78" t="s">
        <v>27</v>
      </c>
      <c r="I9" s="3380" t="s">
        <v>28</v>
      </c>
      <c r="J9" s="3381"/>
      <c r="K9" s="3382" t="s">
        <v>108</v>
      </c>
      <c r="L9" s="3382"/>
      <c r="M9" s="3382"/>
      <c r="N9" s="3382"/>
      <c r="O9" s="3382"/>
      <c r="P9" s="28">
        <f ca="1">KALKULATION!C87</f>
        <v>38.5</v>
      </c>
      <c r="Q9" s="733"/>
      <c r="R9" s="791"/>
      <c r="S9" s="733"/>
      <c r="T9" s="733"/>
    </row>
    <row r="10" spans="1:20" x14ac:dyDescent="0.4">
      <c r="A10" s="43" t="s">
        <v>29</v>
      </c>
      <c r="B10" s="3472" t="str">
        <f>IF(KALKULATION!A36=0,"",KALKULATION!A36)</f>
        <v>LG 2 Qualifizierter Facharbeiter</v>
      </c>
      <c r="C10" s="3473"/>
      <c r="D10" s="3473"/>
      <c r="E10" s="3474"/>
      <c r="F10" s="3383">
        <f ca="1">IFERROR((VLOOKUP(B10,Stammdaten!A$7:D$33,4,FALSE)),"")</f>
        <v>19.91</v>
      </c>
      <c r="G10" s="3383"/>
      <c r="H10" s="149">
        <f ca="1">IF(KALKULATION!F36=0,"",KALKULATION!F36)</f>
        <v>0.5</v>
      </c>
      <c r="I10" s="3376">
        <f ca="1">IFERROR(IF(PRODUCT(F10,H10)=0,"",F10*H10),"")</f>
        <v>9.9600000000000009</v>
      </c>
      <c r="J10" s="3377"/>
      <c r="K10" s="3398" t="s">
        <v>141</v>
      </c>
      <c r="L10" s="3398"/>
      <c r="M10" s="3398"/>
      <c r="N10" s="3398"/>
      <c r="O10" s="465" t="s">
        <v>30</v>
      </c>
      <c r="P10" s="469" t="s">
        <v>18</v>
      </c>
      <c r="Q10" s="734"/>
      <c r="R10" s="792"/>
      <c r="S10" s="734"/>
      <c r="T10" s="734"/>
    </row>
    <row r="11" spans="1:20" x14ac:dyDescent="0.4">
      <c r="A11" s="43" t="s">
        <v>31</v>
      </c>
      <c r="B11" s="3400" t="str">
        <f>IF(KALKULATION!A37=0,"",KALKULATION!A37)</f>
        <v>LG 5 Qualifizierter Arbeitnehmer</v>
      </c>
      <c r="C11" s="3401"/>
      <c r="D11" s="3401"/>
      <c r="E11" s="3402"/>
      <c r="F11" s="3376">
        <f ca="1">IFERROR((VLOOKUP(B11,Stammdaten!A$7:D$33,4,FALSE)),"")</f>
        <v>15.39</v>
      </c>
      <c r="G11" s="3377"/>
      <c r="H11" s="149">
        <f ca="1">IF(KALKULATION!F37=0,"",KALKULATION!F37)</f>
        <v>0.5</v>
      </c>
      <c r="I11" s="3376">
        <f t="shared" ref="I11:I18" ca="1" si="0">IFERROR(IF(PRODUCT(F11,H11)=0,"",F11*H11),"")</f>
        <v>7.7</v>
      </c>
      <c r="J11" s="3500"/>
      <c r="K11" s="3472" t="str">
        <f ca="1">IF(KALKULATION!S80="","",KALKULATION!S80)</f>
        <v>Überstunde 50%</v>
      </c>
      <c r="L11" s="3473"/>
      <c r="M11" s="3473"/>
      <c r="N11" s="3473"/>
      <c r="O11" s="470">
        <f ca="1">IF(OR(K11="",KALKULATION!U80=""),"",KALKULATION!U80)</f>
        <v>0.5</v>
      </c>
      <c r="P11" s="466">
        <f ca="1">IF(OR(K11="",KALKULATION!T80=""),"",KALKULATION!T80)</f>
        <v>1.5</v>
      </c>
      <c r="Q11" s="735"/>
      <c r="R11" s="793"/>
      <c r="S11" s="735"/>
      <c r="T11" s="735"/>
    </row>
    <row r="12" spans="1:20" x14ac:dyDescent="0.4">
      <c r="A12" s="43" t="s">
        <v>32</v>
      </c>
      <c r="B12" s="3400" t="str">
        <f>IF(KALKULATION!A38=0,"",KALKULATION!A38)</f>
        <v/>
      </c>
      <c r="C12" s="3401"/>
      <c r="D12" s="3401"/>
      <c r="E12" s="3402"/>
      <c r="F12" s="3376" t="str">
        <f ca="1">IFERROR((VLOOKUP(B12,Stammdaten!A$7:D$33,4,FALSE)),"")</f>
        <v/>
      </c>
      <c r="G12" s="3377"/>
      <c r="H12" s="149" t="str">
        <f ca="1">IF(KALKULATION!F38=0,"",KALKULATION!F38)</f>
        <v/>
      </c>
      <c r="I12" s="3376" t="str">
        <f t="shared" ca="1" si="0"/>
        <v/>
      </c>
      <c r="J12" s="3500"/>
      <c r="K12" s="3400" t="str">
        <f ca="1">IF(KALKULATION!S81="","",KALKULATION!S81)</f>
        <v/>
      </c>
      <c r="L12" s="3401"/>
      <c r="M12" s="3401"/>
      <c r="N12" s="3401"/>
      <c r="O12" s="471" t="str">
        <f ca="1">IF(OR(K12="",KALKULATION!U81=""),"",KALKULATION!U81)</f>
        <v/>
      </c>
      <c r="P12" s="467" t="str">
        <f ca="1">IF(OR(K12="",KALKULATION!T81=""),"",KALKULATION!T81)</f>
        <v/>
      </c>
      <c r="Q12" s="735"/>
      <c r="R12" s="793"/>
      <c r="S12" s="735"/>
      <c r="T12" s="735"/>
    </row>
    <row r="13" spans="1:20" x14ac:dyDescent="0.4">
      <c r="A13" s="43" t="s">
        <v>33</v>
      </c>
      <c r="B13" s="3400" t="str">
        <f>IF(KALKULATION!A39=0,"",KALKULATION!A39)</f>
        <v/>
      </c>
      <c r="C13" s="3401"/>
      <c r="D13" s="3401"/>
      <c r="E13" s="3402"/>
      <c r="F13" s="3376" t="str">
        <f ca="1">IFERROR((VLOOKUP(B13,Stammdaten!A$7:D$33,4,FALSE)),"")</f>
        <v/>
      </c>
      <c r="G13" s="3377"/>
      <c r="H13" s="149" t="str">
        <f ca="1">IF(KALKULATION!F39=0,"",KALKULATION!F39)</f>
        <v/>
      </c>
      <c r="I13" s="3376" t="str">
        <f t="shared" ca="1" si="0"/>
        <v/>
      </c>
      <c r="J13" s="3500"/>
      <c r="K13" s="3400" t="str">
        <f ca="1">IF(KALKULATION!S82="","",KALKULATION!S82)</f>
        <v/>
      </c>
      <c r="L13" s="3401"/>
      <c r="M13" s="3401"/>
      <c r="N13" s="3401"/>
      <c r="O13" s="471" t="str">
        <f ca="1">IF(OR(K13="",KALKULATION!U82=""),"",KALKULATION!U82)</f>
        <v/>
      </c>
      <c r="P13" s="467" t="str">
        <f ca="1">IF(OR(K13="",KALKULATION!T82=""),"",KALKULATION!T82)</f>
        <v/>
      </c>
      <c r="Q13" s="735"/>
      <c r="R13" s="793"/>
      <c r="S13" s="735"/>
      <c r="T13" s="735"/>
    </row>
    <row r="14" spans="1:20" x14ac:dyDescent="0.4">
      <c r="A14" s="43" t="s">
        <v>34</v>
      </c>
      <c r="B14" s="3400" t="str">
        <f>IF(KALKULATION!A40=0,"",KALKULATION!A40)</f>
        <v/>
      </c>
      <c r="C14" s="3401"/>
      <c r="D14" s="3401"/>
      <c r="E14" s="3402"/>
      <c r="F14" s="3376" t="str">
        <f ca="1">IFERROR((VLOOKUP(B14,Stammdaten!A$7:D$33,4,FALSE)),"")</f>
        <v/>
      </c>
      <c r="G14" s="3377"/>
      <c r="H14" s="149" t="str">
        <f ca="1">IF(KALKULATION!F40=0,"",KALKULATION!F40)</f>
        <v/>
      </c>
      <c r="I14" s="3376" t="str">
        <f t="shared" ca="1" si="0"/>
        <v/>
      </c>
      <c r="J14" s="3500"/>
      <c r="K14" s="3400" t="str">
        <f>IF(KALKULATION!C93=0,"",KALKULATION!A93)</f>
        <v/>
      </c>
      <c r="L14" s="3401"/>
      <c r="M14" s="3401"/>
      <c r="N14" s="3401"/>
      <c r="O14" s="471" t="str">
        <f ca="1">IF(OR(K14="",KALKULATION!U83=""),"",KALKULATION!U83)</f>
        <v/>
      </c>
      <c r="P14" s="467" t="str">
        <f>IF(KALKULATION!C93=0,"",KALKULATION!C93)</f>
        <v/>
      </c>
      <c r="Q14" s="735"/>
      <c r="R14" s="793"/>
      <c r="S14" s="735"/>
      <c r="T14" s="735"/>
    </row>
    <row r="15" spans="1:20" x14ac:dyDescent="0.4">
      <c r="A15" s="43" t="s">
        <v>35</v>
      </c>
      <c r="B15" s="3400" t="str">
        <f>IF(KALKULATION!A41=0,"",KALKULATION!A41)</f>
        <v/>
      </c>
      <c r="C15" s="3401"/>
      <c r="D15" s="3401"/>
      <c r="E15" s="3402"/>
      <c r="F15" s="3376" t="str">
        <f ca="1">IFERROR((VLOOKUP(B15,Stammdaten!A$7:D$33,4,FALSE)),"")</f>
        <v/>
      </c>
      <c r="G15" s="3377"/>
      <c r="H15" s="149" t="str">
        <f ca="1">IF(KALKULATION!F41=0,"",KALKULATION!F41)</f>
        <v/>
      </c>
      <c r="I15" s="3376" t="str">
        <f t="shared" ca="1" si="0"/>
        <v/>
      </c>
      <c r="J15" s="3500"/>
      <c r="K15" s="3400" t="str">
        <f ca="1">IF(KALKULATION!S84="","",KALKULATION!S84)</f>
        <v/>
      </c>
      <c r="L15" s="3401"/>
      <c r="M15" s="3401"/>
      <c r="N15" s="3401"/>
      <c r="O15" s="471" t="str">
        <f ca="1">IF(OR(K15="",KALKULATION!U84=""),"",KALKULATION!U84)</f>
        <v/>
      </c>
      <c r="P15" s="467" t="str">
        <f ca="1">IF(OR(K15="",KALKULATION!T84=""),"",KALKULATION!T84)</f>
        <v/>
      </c>
      <c r="Q15" s="735"/>
      <c r="R15" s="793"/>
      <c r="S15" s="735"/>
      <c r="T15" s="735"/>
    </row>
    <row r="16" spans="1:20" x14ac:dyDescent="0.4">
      <c r="A16" s="43" t="s">
        <v>36</v>
      </c>
      <c r="B16" s="3400" t="str">
        <f>IF(KALKULATION!A42=0,"",KALKULATION!A42)</f>
        <v/>
      </c>
      <c r="C16" s="3401"/>
      <c r="D16" s="3401"/>
      <c r="E16" s="3402"/>
      <c r="F16" s="3376" t="str">
        <f ca="1">IFERROR((VLOOKUP(B16,Stammdaten!A$7:D$33,4,FALSE)),"")</f>
        <v/>
      </c>
      <c r="G16" s="3377"/>
      <c r="H16" s="149" t="str">
        <f ca="1">IF(KALKULATION!F42=0,"",KALKULATION!F42)</f>
        <v/>
      </c>
      <c r="I16" s="3376" t="str">
        <f t="shared" ca="1" si="0"/>
        <v/>
      </c>
      <c r="J16" s="3500"/>
      <c r="K16" s="3451" t="str">
        <f>IFERROR(IF(KALKULATION!H110=0,"","Erfasst sind Verr.Std für:"&amp;KALKULATION!A101&amp;" "&amp;KALKULATION!A102&amp;" "&amp;KALKULATION!A103&amp;" "&amp;KALKULATION!A107&amp;" "&amp;KALKULATION!A108&amp;" "&amp;KALKULATION!A109),"")</f>
        <v/>
      </c>
      <c r="L16" s="3452"/>
      <c r="M16" s="3452"/>
      <c r="N16" s="3453"/>
      <c r="O16" s="81"/>
      <c r="P16" s="80"/>
      <c r="Q16" s="736"/>
      <c r="R16" s="794"/>
      <c r="S16" s="736"/>
      <c r="T16" s="735"/>
    </row>
    <row r="17" spans="1:21" x14ac:dyDescent="0.4">
      <c r="A17" s="43" t="s">
        <v>37</v>
      </c>
      <c r="B17" s="3400" t="str">
        <f>IF(KALKULATION!A43=0,"",KALKULATION!A43)</f>
        <v/>
      </c>
      <c r="C17" s="3401"/>
      <c r="D17" s="3401"/>
      <c r="E17" s="3402"/>
      <c r="F17" s="3376" t="str">
        <f ca="1">IFERROR((VLOOKUP(B17,Stammdaten!A$7:D$33,4,FALSE)),"")</f>
        <v/>
      </c>
      <c r="G17" s="3377"/>
      <c r="H17" s="149" t="str">
        <f ca="1">IF(KALKULATION!F43=0,"",KALKULATION!F43)</f>
        <v/>
      </c>
      <c r="I17" s="3376" t="str">
        <f t="shared" ca="1" si="0"/>
        <v/>
      </c>
      <c r="J17" s="3500"/>
      <c r="K17" s="3451"/>
      <c r="L17" s="3452"/>
      <c r="M17" s="3452"/>
      <c r="N17" s="3453"/>
      <c r="O17" s="81"/>
      <c r="P17" s="80"/>
      <c r="Q17" s="736"/>
      <c r="R17" s="794"/>
      <c r="S17" s="736"/>
      <c r="T17" s="735"/>
    </row>
    <row r="18" spans="1:21" ht="15.4" thickBot="1" x14ac:dyDescent="0.45">
      <c r="A18" s="43" t="s">
        <v>38</v>
      </c>
      <c r="B18" s="3400" t="str">
        <f>IF(KALKULATION!A44=0,"",KALKULATION!A44)</f>
        <v/>
      </c>
      <c r="C18" s="3401"/>
      <c r="D18" s="3401"/>
      <c r="E18" s="3402"/>
      <c r="F18" s="3390" t="str">
        <f ca="1">IFERROR((VLOOKUP(B18,Stammdaten!A$7:D$33,4,FALSE)),"")</f>
        <v/>
      </c>
      <c r="G18" s="3391"/>
      <c r="H18" s="149" t="str">
        <f ca="1">IF(KALKULATION!F44=0,"",KALKULATION!F44)</f>
        <v/>
      </c>
      <c r="I18" s="3390" t="str">
        <f t="shared" ca="1" si="0"/>
        <v/>
      </c>
      <c r="J18" s="3499"/>
      <c r="K18" s="3454"/>
      <c r="L18" s="3455"/>
      <c r="M18" s="3455"/>
      <c r="N18" s="3456"/>
      <c r="O18" s="82"/>
      <c r="P18" s="468"/>
      <c r="Q18" s="736"/>
      <c r="R18" s="794"/>
      <c r="S18" s="736"/>
      <c r="T18" s="735"/>
    </row>
    <row r="19" spans="1:21" x14ac:dyDescent="0.4">
      <c r="A19" s="43">
        <v>2</v>
      </c>
      <c r="B19" s="3523" t="s">
        <v>39</v>
      </c>
      <c r="C19" s="3524"/>
      <c r="D19" s="3524"/>
      <c r="E19" s="3524"/>
      <c r="F19" s="3524"/>
      <c r="G19" s="3524"/>
      <c r="H19" s="1163">
        <f ca="1">SUM(H10:H18)</f>
        <v>1</v>
      </c>
      <c r="I19" s="3525">
        <f ca="1">IF(AND(_OK?="OK!",_OK_KV?="OK_KV!"),SUM(I10:J18),KALKULATION!G45)</f>
        <v>17.66</v>
      </c>
      <c r="J19" s="3526"/>
      <c r="K19" s="3494" t="s">
        <v>265</v>
      </c>
      <c r="L19" s="3494"/>
      <c r="M19" s="3494"/>
      <c r="N19" s="3494"/>
      <c r="O19" s="3494"/>
      <c r="P19" s="1164">
        <f ca="1">KALKULATION!C95</f>
        <v>40</v>
      </c>
      <c r="Q19" s="739"/>
      <c r="R19" s="795"/>
      <c r="S19" s="736"/>
      <c r="T19" s="735"/>
    </row>
    <row r="20" spans="1:21" x14ac:dyDescent="0.4">
      <c r="A20" s="43"/>
      <c r="B20" s="2455"/>
      <c r="C20" s="3493"/>
      <c r="D20" s="3493"/>
      <c r="E20" s="3493"/>
      <c r="F20" s="3493"/>
      <c r="G20" s="3493"/>
      <c r="H20" s="3493"/>
      <c r="I20" s="3493"/>
      <c r="J20" s="3493"/>
      <c r="K20" s="3493"/>
      <c r="L20" s="2456"/>
      <c r="M20" s="3488" t="s">
        <v>6</v>
      </c>
      <c r="N20" s="3489"/>
      <c r="O20" s="3490" t="s">
        <v>7</v>
      </c>
      <c r="P20" s="3489"/>
      <c r="Q20" s="740"/>
      <c r="R20" s="796"/>
      <c r="S20" s="736"/>
      <c r="T20" s="735"/>
    </row>
    <row r="21" spans="1:21" x14ac:dyDescent="0.4">
      <c r="A21" s="43">
        <v>3</v>
      </c>
      <c r="B21" s="144" t="s">
        <v>39</v>
      </c>
      <c r="C21" s="145"/>
      <c r="D21" s="145"/>
      <c r="E21" s="145"/>
      <c r="F21" s="145"/>
      <c r="G21" s="145"/>
      <c r="H21" s="202"/>
      <c r="I21" s="202"/>
      <c r="J21" s="202"/>
      <c r="K21" s="202"/>
      <c r="L21" s="202"/>
      <c r="M21" s="202"/>
      <c r="N21" s="203"/>
      <c r="O21" s="3491">
        <f ca="1">I19/H19</f>
        <v>17.66</v>
      </c>
      <c r="P21" s="3492"/>
      <c r="Q21" s="737"/>
      <c r="R21" s="797"/>
      <c r="S21" s="736"/>
      <c r="T21" s="735"/>
    </row>
    <row r="22" spans="1:21" ht="15.4" thickBot="1" x14ac:dyDescent="0.45">
      <c r="A22" s="43">
        <v>4</v>
      </c>
      <c r="B22" s="3495" t="s">
        <v>40</v>
      </c>
      <c r="C22" s="3496"/>
      <c r="D22" s="3496"/>
      <c r="E22" s="3496"/>
      <c r="F22" s="3496"/>
      <c r="G22" s="3496"/>
      <c r="H22" s="3481" t="s">
        <v>41</v>
      </c>
      <c r="I22" s="3481"/>
      <c r="J22" s="3482"/>
      <c r="K22" s="3437">
        <f ca="1">KALKULATION!G72</f>
        <v>2.9000000000000001E-2</v>
      </c>
      <c r="L22" s="3438"/>
      <c r="M22" s="3497"/>
      <c r="N22" s="3498"/>
      <c r="O22" s="3441">
        <f ca="1">IF(_OK?="OK!",K22*O21,ROUND(K22*O21,0))</f>
        <v>0.51</v>
      </c>
      <c r="P22" s="3442"/>
      <c r="Q22" s="560"/>
      <c r="R22" s="798"/>
      <c r="S22" s="736"/>
      <c r="T22" s="735"/>
    </row>
    <row r="23" spans="1:21" x14ac:dyDescent="0.4">
      <c r="A23" s="43">
        <v>5</v>
      </c>
      <c r="B23" s="3465" t="s">
        <v>142</v>
      </c>
      <c r="C23" s="3466"/>
      <c r="D23" s="3466"/>
      <c r="E23" s="3466"/>
      <c r="F23" s="3466"/>
      <c r="G23" s="3466"/>
      <c r="H23" s="3483" t="s">
        <v>181</v>
      </c>
      <c r="I23" s="3419"/>
      <c r="J23" s="3419"/>
      <c r="K23" s="3419"/>
      <c r="L23" s="3419"/>
      <c r="M23" s="3419"/>
      <c r="N23" s="3420"/>
      <c r="O23" s="3421">
        <f ca="1">SUM(O21:P22)</f>
        <v>18.170000000000002</v>
      </c>
      <c r="P23" s="3422"/>
      <c r="Q23" s="737"/>
      <c r="R23" s="797"/>
      <c r="S23" s="736"/>
      <c r="T23" s="735"/>
    </row>
    <row r="24" spans="1:21" x14ac:dyDescent="0.4">
      <c r="A24" s="43">
        <v>6</v>
      </c>
      <c r="B24" s="3457" t="s">
        <v>109</v>
      </c>
      <c r="C24" s="3458"/>
      <c r="D24" s="3458"/>
      <c r="E24" s="3458"/>
      <c r="F24" s="3458"/>
      <c r="G24" s="3458"/>
      <c r="H24" s="3415" t="s">
        <v>87</v>
      </c>
      <c r="I24" s="3415"/>
      <c r="J24" s="3416"/>
      <c r="K24" s="3486">
        <f ca="1">KALKULATION!H73</f>
        <v>0.151</v>
      </c>
      <c r="L24" s="3487"/>
      <c r="M24" s="3431"/>
      <c r="N24" s="3432"/>
      <c r="O24" s="3376">
        <f ca="1">K24*O23</f>
        <v>2.74</v>
      </c>
      <c r="P24" s="3377"/>
      <c r="Q24" s="560"/>
      <c r="R24" s="798"/>
      <c r="S24" s="736"/>
      <c r="T24" s="735"/>
    </row>
    <row r="25" spans="1:21" x14ac:dyDescent="0.4">
      <c r="A25" s="43">
        <v>7</v>
      </c>
      <c r="B25" s="3457" t="s">
        <v>136</v>
      </c>
      <c r="C25" s="3458"/>
      <c r="D25" s="3458"/>
      <c r="E25" s="3458"/>
      <c r="F25" s="3458"/>
      <c r="G25" s="3458"/>
      <c r="H25" s="3415" t="s">
        <v>87</v>
      </c>
      <c r="I25" s="3415"/>
      <c r="J25" s="3416"/>
      <c r="K25" s="3435">
        <f ca="1">KALKULATION!H167</f>
        <v>0.03</v>
      </c>
      <c r="L25" s="3436"/>
      <c r="M25" s="3431"/>
      <c r="N25" s="3432"/>
      <c r="O25" s="3376">
        <f ca="1">K25*O23</f>
        <v>0.55000000000000004</v>
      </c>
      <c r="P25" s="3377"/>
      <c r="Q25" s="560"/>
      <c r="R25" s="798"/>
      <c r="S25" s="736"/>
      <c r="T25" s="735"/>
    </row>
    <row r="26" spans="1:21" x14ac:dyDescent="0.4">
      <c r="A26" s="43">
        <v>8</v>
      </c>
      <c r="B26" s="3457" t="s">
        <v>67</v>
      </c>
      <c r="C26" s="3458"/>
      <c r="D26" s="3458"/>
      <c r="E26" s="3458"/>
      <c r="F26" s="3458"/>
      <c r="G26" s="3458"/>
      <c r="H26" s="3415" t="s">
        <v>87</v>
      </c>
      <c r="I26" s="3415"/>
      <c r="J26" s="3416"/>
      <c r="K26" s="3435">
        <f ca="1">KALKULATION!H115</f>
        <v>2.5999999999999999E-2</v>
      </c>
      <c r="L26" s="3436"/>
      <c r="M26" s="3431"/>
      <c r="N26" s="3432"/>
      <c r="O26" s="3376">
        <f ca="1">K26*O23</f>
        <v>0.47</v>
      </c>
      <c r="P26" s="3377"/>
      <c r="Q26" s="560"/>
      <c r="R26" s="798"/>
      <c r="S26" s="736"/>
      <c r="T26" s="735"/>
    </row>
    <row r="27" spans="1:21" ht="15.4" thickBot="1" x14ac:dyDescent="0.45">
      <c r="A27" s="43">
        <v>9</v>
      </c>
      <c r="B27" s="3478" t="s">
        <v>103</v>
      </c>
      <c r="C27" s="3479"/>
      <c r="D27" s="3479"/>
      <c r="E27" s="3479"/>
      <c r="F27" s="3479"/>
      <c r="G27" s="3479"/>
      <c r="H27" s="3479"/>
      <c r="I27" s="3479"/>
      <c r="J27" s="3479"/>
      <c r="K27" s="3479"/>
      <c r="L27" s="3479"/>
      <c r="M27" s="3479"/>
      <c r="N27" s="3480"/>
      <c r="O27" s="3390">
        <f ca="1">KALKULATION!H228</f>
        <v>3.3</v>
      </c>
      <c r="P27" s="3391"/>
      <c r="Q27" s="560"/>
      <c r="R27" s="798"/>
      <c r="S27" s="736"/>
      <c r="T27" s="735"/>
    </row>
    <row r="28" spans="1:21" x14ac:dyDescent="0.4">
      <c r="A28" s="43">
        <v>10</v>
      </c>
      <c r="B28" s="3465" t="s">
        <v>42</v>
      </c>
      <c r="C28" s="3466"/>
      <c r="D28" s="3466"/>
      <c r="E28" s="3466"/>
      <c r="F28" s="3466"/>
      <c r="G28" s="3466"/>
      <c r="H28" s="3419" t="s">
        <v>182</v>
      </c>
      <c r="I28" s="3419"/>
      <c r="J28" s="3419"/>
      <c r="K28" s="3419"/>
      <c r="L28" s="3419"/>
      <c r="M28" s="3419"/>
      <c r="N28" s="3420"/>
      <c r="O28" s="3421">
        <f ca="1">IF(_OK?="OK!",SUM(O23:P27),ROUND(SUM(O23:P27),0))</f>
        <v>25.23</v>
      </c>
      <c r="P28" s="3422"/>
      <c r="Q28" s="737"/>
      <c r="R28" s="797"/>
      <c r="S28" s="736"/>
      <c r="T28" s="735"/>
    </row>
    <row r="29" spans="1:21" x14ac:dyDescent="0.4">
      <c r="A29" s="43">
        <v>11</v>
      </c>
      <c r="B29" s="3467" t="s">
        <v>104</v>
      </c>
      <c r="C29" s="2414"/>
      <c r="D29" s="2414"/>
      <c r="E29" s="2414"/>
      <c r="F29" s="2414"/>
      <c r="G29" s="2414"/>
      <c r="H29" s="2414"/>
      <c r="I29" s="2414"/>
      <c r="J29" s="2414"/>
      <c r="K29" s="2414"/>
      <c r="L29" s="2414"/>
      <c r="M29" s="2414"/>
      <c r="N29" s="2414"/>
      <c r="O29" s="3376">
        <f ca="1">KALKULATION!G227</f>
        <v>1.6</v>
      </c>
      <c r="P29" s="3377"/>
      <c r="Q29" s="560"/>
      <c r="R29" s="798"/>
      <c r="S29" s="560"/>
      <c r="T29" s="735"/>
    </row>
    <row r="30" spans="1:21" x14ac:dyDescent="0.4">
      <c r="A30" s="43">
        <v>12</v>
      </c>
      <c r="B30" s="3457" t="s">
        <v>43</v>
      </c>
      <c r="C30" s="3458"/>
      <c r="D30" s="3458"/>
      <c r="E30" s="3458"/>
      <c r="F30" s="3458"/>
      <c r="G30" s="3458"/>
      <c r="H30" s="3415" t="s">
        <v>44</v>
      </c>
      <c r="I30" s="3415"/>
      <c r="J30" s="3416"/>
      <c r="K30" s="3435">
        <f ca="1">KALKULATION!H236</f>
        <v>0.30270000000000002</v>
      </c>
      <c r="L30" s="3436"/>
      <c r="M30" s="3431"/>
      <c r="N30" s="3432"/>
      <c r="O30" s="3376">
        <f ca="1">K30*O28</f>
        <v>7.64</v>
      </c>
      <c r="P30" s="3377"/>
      <c r="Q30" s="560"/>
      <c r="R30" s="798"/>
      <c r="S30" s="560"/>
      <c r="T30" s="735"/>
    </row>
    <row r="31" spans="1:21" ht="15.75" x14ac:dyDescent="0.5">
      <c r="A31" s="43">
        <v>13</v>
      </c>
      <c r="B31" s="3457" t="s">
        <v>45</v>
      </c>
      <c r="C31" s="3458"/>
      <c r="D31" s="3458"/>
      <c r="E31" s="3458"/>
      <c r="F31" s="3458"/>
      <c r="G31" s="3458"/>
      <c r="H31" s="3415" t="s">
        <v>44</v>
      </c>
      <c r="I31" s="3415"/>
      <c r="J31" s="3416"/>
      <c r="K31" s="3435">
        <f ca="1">KALKULATION!H265</f>
        <v>0.66</v>
      </c>
      <c r="L31" s="3436"/>
      <c r="M31" s="3431"/>
      <c r="N31" s="3432"/>
      <c r="O31" s="3376">
        <f ca="1">K31*O28</f>
        <v>16.649999999999999</v>
      </c>
      <c r="P31" s="3377"/>
      <c r="Q31" s="560"/>
      <c r="R31" s="798"/>
      <c r="S31" s="560"/>
      <c r="T31" s="735"/>
      <c r="U31" s="1827" t="s">
        <v>390</v>
      </c>
    </row>
    <row r="32" spans="1:21" ht="15.4" thickBot="1" x14ac:dyDescent="0.45">
      <c r="A32" s="43">
        <v>14</v>
      </c>
      <c r="B32" s="3460" t="s">
        <v>46</v>
      </c>
      <c r="C32" s="3461"/>
      <c r="D32" s="3461"/>
      <c r="E32" s="3461"/>
      <c r="F32" s="3461"/>
      <c r="G32" s="3461"/>
      <c r="H32" s="3462" t="s">
        <v>44</v>
      </c>
      <c r="I32" s="3462"/>
      <c r="J32" s="3463"/>
      <c r="K32" s="3437">
        <f ca="1">O32/O28</f>
        <v>2.8E-3</v>
      </c>
      <c r="L32" s="3438"/>
      <c r="M32" s="3433"/>
      <c r="N32" s="3434"/>
      <c r="O32" s="3390">
        <f ca="1">KALKULATION!H276</f>
        <v>7.0000000000000007E-2</v>
      </c>
      <c r="P32" s="3391"/>
      <c r="Q32" s="560"/>
      <c r="R32" s="798"/>
      <c r="S32" s="560"/>
      <c r="T32" s="735"/>
    </row>
    <row r="33" spans="1:27" x14ac:dyDescent="0.4">
      <c r="A33" s="43">
        <v>15</v>
      </c>
      <c r="B33" s="3465" t="s">
        <v>47</v>
      </c>
      <c r="C33" s="3466"/>
      <c r="D33" s="3466"/>
      <c r="E33" s="3466"/>
      <c r="F33" s="3466"/>
      <c r="G33" s="3466"/>
      <c r="H33" s="3419" t="s">
        <v>105</v>
      </c>
      <c r="I33" s="3419"/>
      <c r="J33" s="3419"/>
      <c r="K33" s="3419"/>
      <c r="L33" s="3419"/>
      <c r="M33" s="3419"/>
      <c r="N33" s="3419"/>
      <c r="O33" s="3421">
        <f ca="1">IF(_OK?="OK!",SUM(O28:P32),ROUND(SUM(O28:P32),0))</f>
        <v>51.19</v>
      </c>
      <c r="P33" s="3422"/>
      <c r="Q33" s="737"/>
      <c r="R33" s="797"/>
      <c r="S33" s="560"/>
      <c r="T33" s="735"/>
    </row>
    <row r="34" spans="1:27" x14ac:dyDescent="0.4">
      <c r="A34" s="43">
        <v>16</v>
      </c>
      <c r="B34" s="3443" t="s">
        <v>48</v>
      </c>
      <c r="C34" s="3444"/>
      <c r="D34" s="3444"/>
      <c r="E34" s="3444"/>
      <c r="F34" s="3444"/>
      <c r="G34" s="3444"/>
      <c r="H34" s="3468" t="str">
        <f>IF(_Anzeige_Prozent=_Nein,"in % auf B15","in % auf B15 + in € = ∑")</f>
        <v>in % auf B15 + in € = ∑</v>
      </c>
      <c r="I34" s="3468"/>
      <c r="J34" s="3469"/>
      <c r="K34" s="3429">
        <f>IF(_Anzeige_Prozent=_Nein,SUM(KALKULATION!E306,KALKULATION!F308/' K3 PP'!O33),KALKULATION!E306)</f>
        <v>4.7500000000000001E-2</v>
      </c>
      <c r="L34" s="3430"/>
      <c r="M34" s="3376">
        <f ca="1">IF(_Anzeige_Prozent=_Nein,"",KALKULATION!F308)</f>
        <v>3.21</v>
      </c>
      <c r="N34" s="3377"/>
      <c r="O34" s="3423">
        <f ca="1">KALKULATION!H308</f>
        <v>5.64</v>
      </c>
      <c r="P34" s="3424"/>
      <c r="Q34" s="560"/>
      <c r="R34" s="798"/>
      <c r="S34" s="560"/>
      <c r="T34" s="560"/>
    </row>
    <row r="35" spans="1:27" ht="24.4" customHeight="1" x14ac:dyDescent="0.4">
      <c r="A35" s="43">
        <v>17</v>
      </c>
      <c r="B35" s="3397" t="s">
        <v>89</v>
      </c>
      <c r="C35" s="3398"/>
      <c r="D35" s="3398"/>
      <c r="E35" s="3398"/>
      <c r="F35" s="3398"/>
      <c r="G35" s="3398"/>
      <c r="H35" s="3398"/>
      <c r="I35" s="3398"/>
      <c r="J35" s="3399"/>
      <c r="K35" s="3425" t="str">
        <f>IF(SUM(K36:L38)&lt;&gt;0,"Umlage in % (U%) auf B15","")</f>
        <v/>
      </c>
      <c r="L35" s="3426"/>
      <c r="M35" s="3470" t="str">
        <f>IF(SUM(K36:L38)&lt;&gt;0,"Umlage in €/Std (inkl % in €)","Umlage in €/Std)")</f>
        <v>Umlage in €/Std)</v>
      </c>
      <c r="N35" s="3471"/>
      <c r="O35" s="3388"/>
      <c r="P35" s="3389"/>
      <c r="Q35" s="560"/>
      <c r="R35" s="798"/>
      <c r="S35" s="560"/>
      <c r="T35" s="560"/>
    </row>
    <row r="36" spans="1:27" x14ac:dyDescent="0.4">
      <c r="A36" s="79" t="s">
        <v>49</v>
      </c>
      <c r="B36" s="3472" t="str">
        <f>IF(SUM(K36:N36)=0,"",KALKULATION!A336)</f>
        <v/>
      </c>
      <c r="C36" s="3473"/>
      <c r="D36" s="3473"/>
      <c r="E36" s="3473"/>
      <c r="F36" s="3473"/>
      <c r="G36" s="3473"/>
      <c r="H36" s="3473"/>
      <c r="I36" s="3473"/>
      <c r="J36" s="3474"/>
      <c r="K36" s="3392" t="str">
        <f>IF(KALKULATION!A336="","",IF(_Anzeige_Prozent=_Nein,"",KALKULATION!G336))</f>
        <v/>
      </c>
      <c r="L36" s="3393"/>
      <c r="M36" s="3388" t="str">
        <f>IF(KALKULATION!A336="","",SUM(KALKULATION!F336,KALKULATION!H336))</f>
        <v/>
      </c>
      <c r="N36" s="3389"/>
      <c r="O36" s="3376"/>
      <c r="P36" s="3377"/>
      <c r="Q36" s="560"/>
      <c r="R36" s="798"/>
      <c r="S36" s="560"/>
      <c r="T36" s="560"/>
    </row>
    <row r="37" spans="1:27" ht="15.75" x14ac:dyDescent="0.5">
      <c r="A37" s="79" t="s">
        <v>50</v>
      </c>
      <c r="B37" s="3400" t="str">
        <f>IF(SUM(K37:N37)=0,"",KALKULATION!A337)</f>
        <v/>
      </c>
      <c r="C37" s="3401"/>
      <c r="D37" s="3401"/>
      <c r="E37" s="3401"/>
      <c r="F37" s="3401"/>
      <c r="G37" s="3401"/>
      <c r="H37" s="3401"/>
      <c r="I37" s="3401"/>
      <c r="J37" s="3402"/>
      <c r="K37" s="3427" t="str">
        <f>IF(KALKULATION!A337="","",IF(_Anzeige_Prozent=_Nein,"",KALKULATION!G337))</f>
        <v/>
      </c>
      <c r="L37" s="3428"/>
      <c r="M37" s="3376" t="str">
        <f>IF(KALKULATION!A337="","",SUM(KALKULATION!F337,KALKULATION!H337))</f>
        <v/>
      </c>
      <c r="N37" s="3377"/>
      <c r="O37" s="3376"/>
      <c r="P37" s="3377"/>
      <c r="Q37" s="560"/>
      <c r="R37" s="798"/>
      <c r="S37" s="560"/>
      <c r="T37" s="560"/>
      <c r="V37" s="1845" t="s">
        <v>612</v>
      </c>
      <c r="X37" s="1846" t="s">
        <v>549</v>
      </c>
      <c r="Y37" s="1846" t="s">
        <v>614</v>
      </c>
      <c r="Z37" s="1268"/>
      <c r="AA37" s="250"/>
    </row>
    <row r="38" spans="1:27" ht="15.4" thickBot="1" x14ac:dyDescent="0.45">
      <c r="A38" s="79" t="s">
        <v>51</v>
      </c>
      <c r="B38" s="3475" t="str">
        <f>IF(SUM(K38:N38)=0,"",KALKULATION!A338)</f>
        <v/>
      </c>
      <c r="C38" s="3476"/>
      <c r="D38" s="3476"/>
      <c r="E38" s="3476"/>
      <c r="F38" s="3476"/>
      <c r="G38" s="3476"/>
      <c r="H38" s="3476"/>
      <c r="I38" s="3476"/>
      <c r="J38" s="3477"/>
      <c r="K38" s="3484" t="str">
        <f>IF(KALKULATION!A338="","",IF(_Anzeige_Prozent=_Nein,"",KALKULATION!G338))</f>
        <v/>
      </c>
      <c r="L38" s="3485"/>
      <c r="M38" s="3390" t="str">
        <f>IF(KALKULATION!A338="","",SUM(KALKULATION!F338,KALKULATION!H338))</f>
        <v/>
      </c>
      <c r="N38" s="3391"/>
      <c r="O38" s="3390"/>
      <c r="P38" s="3391"/>
      <c r="Q38" s="560"/>
      <c r="R38" s="798"/>
      <c r="S38" s="560"/>
      <c r="T38" s="560"/>
      <c r="U38" s="1847" t="s">
        <v>611</v>
      </c>
      <c r="V38" s="1848" t="s">
        <v>607</v>
      </c>
      <c r="W38" s="1846" t="s">
        <v>548</v>
      </c>
      <c r="X38" s="1846" t="s">
        <v>613</v>
      </c>
      <c r="Y38" s="1846" t="s">
        <v>124</v>
      </c>
      <c r="Z38" s="1846" t="s">
        <v>729</v>
      </c>
      <c r="AA38" s="1846" t="s">
        <v>730</v>
      </c>
    </row>
    <row r="39" spans="1:27" ht="15.75" x14ac:dyDescent="0.5">
      <c r="A39" s="43">
        <v>18</v>
      </c>
      <c r="B39" s="1148" t="s">
        <v>893</v>
      </c>
      <c r="C39" s="1149"/>
      <c r="D39" s="1149"/>
      <c r="E39" s="1149"/>
      <c r="F39" s="1150"/>
      <c r="G39" s="1150"/>
      <c r="H39" s="1151"/>
      <c r="I39" s="1152"/>
      <c r="J39" s="1152"/>
      <c r="K39" s="1152"/>
      <c r="L39" s="1153"/>
      <c r="M39" s="3439" t="str">
        <f>IF(SUM(M36:N38)&gt;0,SUM(M36:N38),"")</f>
        <v/>
      </c>
      <c r="N39" s="3440"/>
      <c r="O39" s="3439">
        <f ca="1">IF(KALKULATION!C392="",SUM(' K3 PP'!O33:P34),KALKULATION!C392)</f>
        <v>56.83</v>
      </c>
      <c r="P39" s="3440"/>
      <c r="Q39" s="737"/>
      <c r="R39" s="797"/>
      <c r="S39" s="737"/>
      <c r="T39" s="737"/>
      <c r="U39" s="1849">
        <f ca="1">SUM(O33,O34)</f>
        <v>56.83</v>
      </c>
      <c r="V39" s="1850" t="str">
        <f>KALKULATION!H384</f>
        <v/>
      </c>
      <c r="W39" s="1849">
        <f ca="1">SUM(O33,O34)</f>
        <v>56.83</v>
      </c>
      <c r="X39" s="1851">
        <f ca="1">O39-W39</f>
        <v>0</v>
      </c>
      <c r="Z39" s="1268"/>
      <c r="AA39" s="1268"/>
    </row>
    <row r="40" spans="1:27" ht="27.85" customHeight="1" x14ac:dyDescent="0.4">
      <c r="A40" s="43">
        <v>19</v>
      </c>
      <c r="B40" s="3412" t="str">
        <f>KALKULATION!M33&amp;IF(KALKULATION!F29&lt;&gt;""," "&amp;KALKULATION!F29,"")</f>
        <v>Mittellohnkosten</v>
      </c>
      <c r="C40" s="3413"/>
      <c r="D40" s="3413"/>
      <c r="E40" s="3413"/>
      <c r="F40" s="3413"/>
      <c r="G40" s="3413"/>
      <c r="H40" s="3413"/>
      <c r="I40" s="3413"/>
      <c r="J40" s="3414"/>
      <c r="K40" s="3459" t="s">
        <v>185</v>
      </c>
      <c r="L40" s="2230"/>
      <c r="M40" s="1159" t="str">
        <f ca="1">IF(X39=0,"","ge-rundet")</f>
        <v/>
      </c>
      <c r="N40" s="3374" t="str">
        <f ca="1">IF(ABS(X45)&lt;0.02,Y42&amp;Z42&amp;AA42,KALKULATION!$M$287)</f>
        <v>56,83 €/Std
0,95 €/Min</v>
      </c>
      <c r="O40" s="3374"/>
      <c r="P40" s="3375"/>
      <c r="Q40" s="741"/>
      <c r="R40" s="799"/>
      <c r="S40" s="741"/>
      <c r="T40" s="741"/>
      <c r="U40" s="1849">
        <f ca="1">SUM(M39:P39)</f>
        <v>56.83</v>
      </c>
      <c r="V40" s="1849"/>
      <c r="W40" s="1849"/>
      <c r="X40" s="1852"/>
      <c r="Z40" s="1853">
        <f ca="1">U40/60</f>
        <v>0.94699999999999995</v>
      </c>
      <c r="AA40" s="1853">
        <f ca="1">U39*KALKULATION!$N$363</f>
        <v>9888.42</v>
      </c>
    </row>
    <row r="41" spans="1:27" ht="15" hidden="1" customHeight="1" x14ac:dyDescent="0.5">
      <c r="A41" s="43"/>
      <c r="B41" s="102" t="s">
        <v>55</v>
      </c>
      <c r="C41" s="4"/>
      <c r="D41" s="4"/>
      <c r="E41" s="4"/>
      <c r="F41" s="4"/>
      <c r="G41" s="4"/>
      <c r="H41" s="5"/>
      <c r="I41" s="1"/>
      <c r="K41" s="3"/>
      <c r="L41" s="3"/>
      <c r="M41" s="25"/>
      <c r="N41" s="26"/>
      <c r="O41" s="26"/>
      <c r="P41" s="27"/>
      <c r="Q41" s="738"/>
      <c r="R41" s="800"/>
      <c r="S41" s="738"/>
      <c r="T41" s="738"/>
      <c r="U41" s="1854"/>
      <c r="X41" s="1852"/>
      <c r="Z41" s="1854"/>
      <c r="AA41" s="1268"/>
    </row>
    <row r="42" spans="1:27" x14ac:dyDescent="0.4">
      <c r="A42" s="43"/>
      <c r="B42" s="3406" t="s">
        <v>54</v>
      </c>
      <c r="C42" s="3407"/>
      <c r="D42" s="3407"/>
      <c r="E42" s="3407"/>
      <c r="F42" s="3407"/>
      <c r="G42" s="3407"/>
      <c r="H42" s="3408"/>
      <c r="I42" s="3384" t="s">
        <v>52</v>
      </c>
      <c r="J42" s="3385"/>
      <c r="K42" s="3384" t="s">
        <v>53</v>
      </c>
      <c r="L42" s="3385"/>
      <c r="M42" s="3394"/>
      <c r="N42" s="3395"/>
      <c r="O42" s="3395"/>
      <c r="P42" s="3396"/>
      <c r="Q42" s="742"/>
      <c r="R42" s="801"/>
      <c r="S42" s="742"/>
      <c r="T42" s="742"/>
      <c r="U42" s="1854"/>
      <c r="X42" s="1852"/>
      <c r="Y42" s="1855" t="str">
        <f ca="1">TEXT(U40,"0,00")&amp;" €/Std"</f>
        <v>56,83 €/Std</v>
      </c>
      <c r="Z42" s="1855" t="str">
        <f ca="1">IF(KALKULATION!$C$350=KALKULATION!$M$356,"
"&amp;TEXT(Z40,"0,00")&amp;" €/Min",IF(KALKULATION!$C$350=KALKULATION!$M$357,"
"&amp;TEXT(Z40,"0,000")&amp;" €/Min",""))</f>
        <v xml:space="preserve">
0,95 €/Min</v>
      </c>
      <c r="AA42" s="1855" t="str">
        <f>IF(KALKULATION!$C$350=KALKULATION!$M$358,"
"&amp;TEXT(AA40,"# ##0,00")&amp;" €/Mo","")</f>
        <v/>
      </c>
    </row>
    <row r="43" spans="1:27" ht="16.149999999999999" thickBot="1" x14ac:dyDescent="0.55000000000000004">
      <c r="A43" s="43">
        <v>20</v>
      </c>
      <c r="B43" s="3460"/>
      <c r="C43" s="3461"/>
      <c r="D43" s="3461"/>
      <c r="E43" s="3461"/>
      <c r="F43" s="3461"/>
      <c r="G43" s="3461"/>
      <c r="H43" s="3464"/>
      <c r="I43" s="3386" t="str">
        <f>IF(M39="","",KALKULATION!G346)</f>
        <v/>
      </c>
      <c r="J43" s="3387"/>
      <c r="K43" s="3386">
        <f>KALKULATION!G345</f>
        <v>0.28000000000000003</v>
      </c>
      <c r="L43" s="3387"/>
      <c r="M43" s="3441" t="str">
        <f ca="1">IF(KALKULATION!G346="","",I43*M39)</f>
        <v/>
      </c>
      <c r="N43" s="3442"/>
      <c r="O43" s="3441">
        <f ca="1">K43*O39</f>
        <v>15.91</v>
      </c>
      <c r="P43" s="3442"/>
      <c r="Q43" s="560"/>
      <c r="R43" s="798"/>
      <c r="S43" s="560"/>
      <c r="T43" s="560"/>
      <c r="U43" s="1856">
        <f ca="1">K43*O39</f>
        <v>15.91</v>
      </c>
      <c r="W43" s="1849">
        <f ca="1">K43*W39</f>
        <v>15.91</v>
      </c>
      <c r="X43" s="1857"/>
      <c r="Z43" s="1854"/>
      <c r="AA43" s="1268"/>
    </row>
    <row r="44" spans="1:27" ht="15.75" x14ac:dyDescent="0.5">
      <c r="A44" s="43">
        <v>21</v>
      </c>
      <c r="B44" s="1148" t="s">
        <v>894</v>
      </c>
      <c r="C44" s="1154"/>
      <c r="D44" s="1154"/>
      <c r="E44" s="1154"/>
      <c r="F44" s="1154"/>
      <c r="G44" s="1155"/>
      <c r="H44" s="1151"/>
      <c r="I44" s="1152"/>
      <c r="J44" s="1152"/>
      <c r="K44" s="1152"/>
      <c r="L44" s="1153"/>
      <c r="M44" s="3439" t="str">
        <f>IFERROR(IF(M39="","",SUM(M39,M43)),"")</f>
        <v/>
      </c>
      <c r="N44" s="3440"/>
      <c r="O44" s="3439">
        <f ca="1">IF(V44="",SUM(O39,O43),V44)</f>
        <v>72.739999999999995</v>
      </c>
      <c r="P44" s="3440"/>
      <c r="Q44" s="737"/>
      <c r="R44" s="797"/>
      <c r="S44" s="737"/>
      <c r="T44" s="737"/>
      <c r="U44" s="1846">
        <f ca="1">SUM(O39,O43)</f>
        <v>72.739999999999995</v>
      </c>
      <c r="V44" s="1850" t="str">
        <f>KALKULATION!H386</f>
        <v/>
      </c>
      <c r="W44" s="1849">
        <f ca="1">SUM(W39,W43)</f>
        <v>72.739999999999995</v>
      </c>
      <c r="X44" s="1851">
        <f ca="1">ABS(W44-O44)</f>
        <v>0</v>
      </c>
      <c r="Z44" s="1854"/>
      <c r="AA44" s="1268"/>
    </row>
    <row r="45" spans="1:27" ht="27.85" customHeight="1" x14ac:dyDescent="0.4">
      <c r="A45" s="44">
        <v>22</v>
      </c>
      <c r="B45" s="3412" t="str">
        <f>KALKULATION!M34&amp;IF(KALKULATION!F29&lt;&gt;""," "&amp;KALKULATION!F29,"")</f>
        <v>Mittellohnpreis</v>
      </c>
      <c r="C45" s="3413"/>
      <c r="D45" s="3413"/>
      <c r="E45" s="3413"/>
      <c r="F45" s="3413"/>
      <c r="G45" s="3413"/>
      <c r="H45" s="3413"/>
      <c r="I45" s="3413"/>
      <c r="J45" s="3414"/>
      <c r="K45" s="3459" t="s">
        <v>186</v>
      </c>
      <c r="L45" s="2229"/>
      <c r="M45" s="1159" t="str">
        <f ca="1">IF(X44=0,"","ge-rundet")</f>
        <v/>
      </c>
      <c r="N45" s="3374" t="str">
        <f ca="1">IF(ABS(X45)&lt;0.02,Y47&amp;Z47&amp;AA47,KALKULATION!$M$287)</f>
        <v>72,74 €/Std
1,21 €/Min</v>
      </c>
      <c r="O45" s="3374"/>
      <c r="P45" s="3375"/>
      <c r="Q45" s="741"/>
      <c r="R45" s="799"/>
      <c r="S45" s="741"/>
      <c r="T45" s="741"/>
      <c r="U45" s="1849">
        <f ca="1">SUM(M44:P44)</f>
        <v>72.739999999999995</v>
      </c>
      <c r="V45" s="1849" t="str">
        <f>KALKULATION!G386</f>
        <v/>
      </c>
      <c r="W45" s="1849" t="str">
        <f>KALKULATION!C393</f>
        <v/>
      </c>
      <c r="X45" s="1851">
        <f>IF(KALKULATION!F360="",0,MAX(X39,X44))</f>
        <v>0</v>
      </c>
      <c r="Z45" s="1853">
        <f ca="1">U45/60</f>
        <v>1.212</v>
      </c>
      <c r="AA45" s="1853">
        <f ca="1">U45*KALKULATION!N363</f>
        <v>12656.76</v>
      </c>
    </row>
    <row r="46" spans="1:27" hidden="1" x14ac:dyDescent="0.4">
      <c r="A46" s="101"/>
      <c r="B46" s="102" t="s">
        <v>55</v>
      </c>
      <c r="C46" s="1"/>
      <c r="D46" s="1"/>
      <c r="E46" s="1"/>
      <c r="F46" s="1"/>
      <c r="G46" s="1"/>
      <c r="H46" s="1"/>
      <c r="I46" s="1"/>
      <c r="J46" s="5"/>
      <c r="K46" s="5"/>
      <c r="M46" s="22"/>
      <c r="N46" s="22"/>
      <c r="O46" s="21"/>
      <c r="P46" s="103"/>
      <c r="R46" s="802"/>
      <c r="U46" s="1854"/>
      <c r="V46" s="1854"/>
      <c r="AA46" s="1844"/>
    </row>
    <row r="47" spans="1:27" ht="55.9" customHeight="1" x14ac:dyDescent="0.4">
      <c r="A47" s="3417" t="str">
        <f>"Lizenziert für:
"&amp;'Lizenz u lies mich'!B32</f>
        <v>Lizenziert für:
Vers V4.1</v>
      </c>
      <c r="B47" s="3418"/>
      <c r="C47" s="3418"/>
      <c r="D47" s="3449" t="str">
        <f ca="1">IF(AND(_OK?="OK!",_OK_KV?="OK_KV!"),('Lizenz u lies mich'!B29&amp;" "&amp;'Lizenz u lies mich'!O32),"Keine gültige Lizenz! Nur als Testversion nutzbar!")</f>
        <v xml:space="preserve">Mittellohnpreisbroschüre EuM 2025 </v>
      </c>
      <c r="E47" s="3449"/>
      <c r="F47" s="3449"/>
      <c r="G47" s="3449"/>
      <c r="H47" s="3450"/>
      <c r="I47" s="3448"/>
      <c r="J47" s="3448"/>
      <c r="K47" s="3448"/>
      <c r="L47" s="3448"/>
      <c r="M47" s="3448"/>
      <c r="N47" s="3445" t="s">
        <v>260</v>
      </c>
      <c r="O47" s="3446"/>
      <c r="P47" s="3447"/>
      <c r="Q47" s="558"/>
      <c r="R47" s="789"/>
      <c r="S47" s="558"/>
      <c r="T47" s="558"/>
      <c r="U47" s="1854"/>
      <c r="V47" s="1854"/>
      <c r="Y47" s="1855" t="str">
        <f ca="1">TEXT(U45,"0,00")&amp;" €/Std"</f>
        <v>72,74 €/Std</v>
      </c>
      <c r="Z47" s="1855" t="str">
        <f ca="1">IF(KALKULATION!$C$350=KALKULATION!$M$356,"
"&amp;TEXT(Z45,"0,00")&amp;" €/Min",IF(KALKULATION!$C$350=KALKULATION!$M$357,"
"&amp;TEXT(Z45,"0,000")&amp;" €/Min",""))</f>
        <v xml:space="preserve">
1,21 €/Min</v>
      </c>
      <c r="AA47" s="1855" t="str">
        <f>IF(KALKULATION!$C$350=KALKULATION!$M$358,"
"&amp;TEXT(AA45,"# ##0,00")&amp;" €/Mo","")</f>
        <v/>
      </c>
    </row>
    <row r="48" spans="1:27" ht="10.050000000000001" customHeight="1" x14ac:dyDescent="0.4">
      <c r="A48" s="594"/>
      <c r="B48" s="594"/>
      <c r="C48" s="594"/>
      <c r="D48" s="594"/>
      <c r="E48" s="594"/>
      <c r="F48" s="594"/>
      <c r="G48" s="594"/>
      <c r="H48" s="594"/>
      <c r="I48" s="594"/>
      <c r="J48" s="594"/>
      <c r="K48" s="594"/>
      <c r="L48" s="594"/>
      <c r="M48" s="594"/>
      <c r="N48" s="594"/>
      <c r="O48" s="594"/>
      <c r="P48" s="594"/>
      <c r="Q48" s="593"/>
      <c r="R48" s="593"/>
      <c r="S48" s="593"/>
      <c r="T48" s="593"/>
      <c r="Y48" s="1853" t="str">
        <f ca="1">Y47</f>
        <v>72,74 €/Std</v>
      </c>
      <c r="Z48" s="1853" t="str">
        <f ca="1">IF(Z47="",""," | "&amp;Z47)</f>
        <v xml:space="preserve"> | 
1,21 €/Min</v>
      </c>
      <c r="AA48" s="1853" t="str">
        <f>IF(AA47="",""," | "&amp;AA47)</f>
        <v/>
      </c>
    </row>
  </sheetData>
  <sheetProtection algorithmName="SHA-512" hashValue="Jo0nvBAMUGQlpvN4q0po8qFqHRVf538tyIvVFSnLYcxFZsZlPxSGiQrFboIAmSRLrucDL8Zr1ufBb1covoA38A==" saltValue="Lpf88QEggi3g0aTuEGsF4g==" spinCount="100000" sheet="1" formatColumns="0" selectLockedCells="1"/>
  <mergeCells count="156">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O27:P27"/>
    <mergeCell ref="B27:N27"/>
    <mergeCell ref="H22:J22"/>
    <mergeCell ref="H23:N23"/>
    <mergeCell ref="H24:J24"/>
    <mergeCell ref="H25:J25"/>
    <mergeCell ref="K26:L26"/>
    <mergeCell ref="B30:G30"/>
    <mergeCell ref="M24:N24"/>
    <mergeCell ref="M25:N25"/>
    <mergeCell ref="M26:N26"/>
    <mergeCell ref="B23:G23"/>
    <mergeCell ref="O25:P25"/>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Musterprojekt Spenglerarbeiten</v>
      </c>
      <c r="H1" s="3536"/>
      <c r="I1" s="3536"/>
      <c r="J1" s="3536"/>
      <c r="K1" s="3536"/>
      <c r="L1" s="3536"/>
      <c r="M1" s="3536"/>
      <c r="N1" s="3536"/>
      <c r="O1" s="3536"/>
      <c r="P1" s="3537"/>
      <c r="R1" s="778"/>
    </row>
    <row r="2" spans="1:18" x14ac:dyDescent="0.4">
      <c r="A2" s="3531"/>
      <c r="B2" s="3505" t="s">
        <v>57</v>
      </c>
      <c r="C2" s="3506"/>
      <c r="D2" s="3506"/>
      <c r="E2" s="3506"/>
      <c r="F2" s="3532" t="str">
        <f>IF(KALKULATION!D418="","Regiepersonalpreis",KALKULATION!D418)</f>
        <v>Regielohnkalkulation Facharbeiter</v>
      </c>
      <c r="G2" s="3532"/>
      <c r="H2" s="3532"/>
      <c r="I2" s="3532"/>
      <c r="J2" s="3533"/>
      <c r="K2" s="3457" t="s">
        <v>24</v>
      </c>
      <c r="L2" s="3458"/>
      <c r="M2" s="3458"/>
      <c r="N2" s="3458"/>
      <c r="O2" s="3458"/>
      <c r="P2" s="3528"/>
      <c r="R2" s="778"/>
    </row>
    <row r="3" spans="1:18" x14ac:dyDescent="0.4">
      <c r="A3" s="3531"/>
      <c r="B3" s="3247"/>
      <c r="C3" s="3248"/>
      <c r="D3" s="3248"/>
      <c r="E3" s="3248"/>
      <c r="F3" s="3534"/>
      <c r="G3" s="3534"/>
      <c r="H3" s="3534"/>
      <c r="I3" s="3534"/>
      <c r="J3" s="3535"/>
      <c r="K3" s="3400" t="str">
        <f ca="1">' K3 PP'!K3</f>
        <v>Mittellohnpreisbroschüre EuM 2025</v>
      </c>
      <c r="L3" s="3401"/>
      <c r="M3" s="3401"/>
      <c r="N3" s="3401"/>
      <c r="O3" s="3401"/>
      <c r="P3" s="3402"/>
      <c r="R3" s="778"/>
    </row>
    <row r="4" spans="1:18" x14ac:dyDescent="0.4">
      <c r="A4" s="3531"/>
      <c r="B4" s="77" t="s">
        <v>155</v>
      </c>
      <c r="C4" s="3548" t="str">
        <f>' K3 PP'!C4:E4</f>
        <v>001/25</v>
      </c>
      <c r="D4" s="3548"/>
      <c r="E4" s="3549"/>
      <c r="F4" s="77" t="s">
        <v>156</v>
      </c>
      <c r="G4" s="3550" t="str">
        <f>' K3 PP'!G4:J4</f>
        <v>??</v>
      </c>
      <c r="H4" s="3550"/>
      <c r="I4" s="3550"/>
      <c r="J4" s="3551"/>
      <c r="K4" s="3515" t="str">
        <f ca="1">' K3 PP'!K4:P4</f>
        <v>Laufzeit bis 1.3.2025</v>
      </c>
      <c r="L4" s="3516"/>
      <c r="M4" s="3516"/>
      <c r="N4" s="3516"/>
      <c r="O4" s="3516"/>
      <c r="P4" s="3517"/>
      <c r="R4" s="778"/>
    </row>
    <row r="5" spans="1:18" x14ac:dyDescent="0.4">
      <c r="A5" s="3531"/>
      <c r="B5" s="3397" t="s">
        <v>619</v>
      </c>
      <c r="C5" s="3398"/>
      <c r="D5" s="3398"/>
      <c r="E5" s="3399"/>
      <c r="F5" s="3406" t="s">
        <v>620</v>
      </c>
      <c r="G5" s="3407"/>
      <c r="H5" s="3407"/>
      <c r="I5" s="3407"/>
      <c r="J5" s="3408"/>
      <c r="K5" s="3515" t="str">
        <f ca="1">' K3 PP'!K5</f>
        <v/>
      </c>
      <c r="L5" s="3516"/>
      <c r="M5" s="3516"/>
      <c r="N5" s="3516"/>
      <c r="O5" s="3516"/>
      <c r="P5" s="3517"/>
      <c r="R5" s="778"/>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45658</v>
      </c>
      <c r="N6" s="3554"/>
      <c r="O6" s="3554"/>
      <c r="P6" s="3555"/>
      <c r="R6" s="778"/>
    </row>
    <row r="7" spans="1:18" x14ac:dyDescent="0.4">
      <c r="A7" s="3531"/>
      <c r="B7" s="2455" t="s">
        <v>126</v>
      </c>
      <c r="C7" s="3493"/>
      <c r="D7" s="3493"/>
      <c r="E7" s="3493"/>
      <c r="F7" s="3562" t="s">
        <v>25</v>
      </c>
      <c r="G7" s="3563"/>
      <c r="H7" s="3563"/>
      <c r="I7" s="3563"/>
      <c r="J7" s="3564"/>
      <c r="K7" s="3446" t="s">
        <v>140</v>
      </c>
      <c r="L7" s="3446"/>
      <c r="M7" s="3446"/>
      <c r="N7" s="3446"/>
      <c r="O7" s="3446"/>
      <c r="P7" s="3447"/>
      <c r="R7" s="778"/>
    </row>
    <row r="8" spans="1:18" ht="15.4" thickBot="1" x14ac:dyDescent="0.45">
      <c r="A8" s="3531"/>
      <c r="B8" s="3556" t="str">
        <f ca="1">Stammdaten!B3</f>
        <v>KollV Eisen- und Metallverarbeitende Gewerbe (ArbeiterInnen)</v>
      </c>
      <c r="C8" s="3557"/>
      <c r="D8" s="3557"/>
      <c r="E8" s="3557"/>
      <c r="F8" s="3557"/>
      <c r="G8" s="3557"/>
      <c r="H8" s="3557"/>
      <c r="I8" s="3557"/>
      <c r="J8" s="3557"/>
      <c r="K8" s="3557"/>
      <c r="L8" s="3558"/>
      <c r="M8" s="3529" t="s">
        <v>26</v>
      </c>
      <c r="N8" s="3530"/>
      <c r="O8" s="3552">
        <f ca="1">Stammdaten!B4</f>
        <v>45658</v>
      </c>
      <c r="P8" s="3553"/>
      <c r="R8" s="778"/>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78"/>
    </row>
    <row r="10" spans="1:18" x14ac:dyDescent="0.4">
      <c r="A10" s="43" t="s">
        <v>29</v>
      </c>
      <c r="B10" s="3543" t="str">
        <f>KALKULATION!A421</f>
        <v>LG 2 Qualifizierter Facharbeiter</v>
      </c>
      <c r="C10" s="3543"/>
      <c r="D10" s="3543"/>
      <c r="E10" s="3544"/>
      <c r="F10" s="3545">
        <f ca="1">IFERROR((VLOOKUP(B10,Stammdaten!A$7:D$33,4,FALSE)),"")</f>
        <v>19.91</v>
      </c>
      <c r="G10" s="3545"/>
      <c r="H10" s="30">
        <f>KALKULATION!F421</f>
        <v>1</v>
      </c>
      <c r="I10" s="3546">
        <f ca="1">IF(PRODUCT(F10,H10)=0,"",F10*H10)</f>
        <v>19.91</v>
      </c>
      <c r="J10" s="3547"/>
      <c r="K10" s="3565" t="s">
        <v>141</v>
      </c>
      <c r="L10" s="3565"/>
      <c r="M10" s="3565"/>
      <c r="N10" s="3566"/>
      <c r="O10" s="29" t="s">
        <v>30</v>
      </c>
      <c r="P10" s="6" t="s">
        <v>18</v>
      </c>
      <c r="R10" s="778"/>
    </row>
    <row r="11" spans="1:18" x14ac:dyDescent="0.4">
      <c r="A11" s="43" t="s">
        <v>31</v>
      </c>
      <c r="B11" s="3538"/>
      <c r="C11" s="3538"/>
      <c r="D11" s="3538"/>
      <c r="E11" s="3539"/>
      <c r="F11" s="3540"/>
      <c r="G11" s="3540"/>
      <c r="H11" s="33"/>
      <c r="I11" s="3541"/>
      <c r="J11" s="3542"/>
      <c r="K11" s="3567" t="str">
        <f>IF(KALKULATION!N448="","Regiestunde",KALKULATION!N448)</f>
        <v>Regiestunde</v>
      </c>
      <c r="L11" s="3568"/>
      <c r="M11" s="3568"/>
      <c r="N11" s="3568"/>
      <c r="O11" s="1031" t="str">
        <f>KALKULATION!P448</f>
        <v/>
      </c>
      <c r="P11" s="163">
        <v>1</v>
      </c>
      <c r="R11" s="778"/>
    </row>
    <row r="12" spans="1:18" x14ac:dyDescent="0.4">
      <c r="A12" s="43" t="s">
        <v>32</v>
      </c>
      <c r="B12" s="3538"/>
      <c r="C12" s="3538"/>
      <c r="D12" s="3538"/>
      <c r="E12" s="3539"/>
      <c r="F12" s="3540"/>
      <c r="G12" s="3540"/>
      <c r="H12" s="33"/>
      <c r="I12" s="3541"/>
      <c r="J12" s="3542"/>
      <c r="K12" s="3569" t="str">
        <f>IF(AND(_Anzeige_Prozent=_Ja,KALKULATION!N452&lt;&gt;""),"Erfasst sind Verr.std. für: "&amp;KALKULATION!N452,"")</f>
        <v/>
      </c>
      <c r="L12" s="3570"/>
      <c r="M12" s="3570"/>
      <c r="N12" s="3571"/>
      <c r="O12" s="554" t="str">
        <f>IF(K12=KALKULATION!B$449,TEXT(KALKULATION!E$449,"0%"),IF(K12=KALKULATION!B$453,TEXT(KALKULATION!E$453,"0,00€"),""))</f>
        <v/>
      </c>
      <c r="P12" s="555"/>
      <c r="R12" s="778"/>
    </row>
    <row r="13" spans="1:18" x14ac:dyDescent="0.4">
      <c r="A13" s="43" t="s">
        <v>33</v>
      </c>
      <c r="B13" s="3538"/>
      <c r="C13" s="3538"/>
      <c r="D13" s="3538"/>
      <c r="E13" s="3539"/>
      <c r="F13" s="3540"/>
      <c r="G13" s="3540"/>
      <c r="H13" s="33"/>
      <c r="I13" s="3541"/>
      <c r="J13" s="3542"/>
      <c r="K13" s="3569"/>
      <c r="L13" s="3570"/>
      <c r="M13" s="3570"/>
      <c r="N13" s="3571"/>
      <c r="O13" s="554" t="str">
        <f>IF(K13=KALKULATION!B$449,TEXT(KALKULATION!E$449,"0%"),IF(K13=KALKULATION!B$453,TEXT(KALKULATION!E$453,"0,00€"),""))</f>
        <v/>
      </c>
      <c r="P13" s="555"/>
      <c r="R13" s="778"/>
    </row>
    <row r="14" spans="1:18" x14ac:dyDescent="0.4">
      <c r="A14" s="43" t="s">
        <v>34</v>
      </c>
      <c r="B14" s="3538"/>
      <c r="C14" s="3538"/>
      <c r="D14" s="3538"/>
      <c r="E14" s="3539"/>
      <c r="F14" s="3540"/>
      <c r="G14" s="3540"/>
      <c r="H14" s="33"/>
      <c r="I14" s="3541"/>
      <c r="J14" s="3542"/>
      <c r="K14" s="3569"/>
      <c r="L14" s="3570"/>
      <c r="M14" s="3570"/>
      <c r="N14" s="3571"/>
      <c r="O14" s="34"/>
      <c r="P14" s="35"/>
      <c r="R14" s="778"/>
    </row>
    <row r="15" spans="1:18" x14ac:dyDescent="0.4">
      <c r="A15" s="43" t="s">
        <v>35</v>
      </c>
      <c r="B15" s="3538"/>
      <c r="C15" s="3538"/>
      <c r="D15" s="3538"/>
      <c r="E15" s="3539"/>
      <c r="F15" s="3540"/>
      <c r="G15" s="3540"/>
      <c r="H15" s="33"/>
      <c r="I15" s="3541"/>
      <c r="J15" s="3542"/>
      <c r="K15" s="3538"/>
      <c r="L15" s="3538"/>
      <c r="M15" s="3538"/>
      <c r="N15" s="3539"/>
      <c r="O15" s="34"/>
      <c r="P15" s="35"/>
      <c r="R15" s="778"/>
    </row>
    <row r="16" spans="1:18" x14ac:dyDescent="0.4">
      <c r="A16" s="43" t="s">
        <v>36</v>
      </c>
      <c r="B16" s="3538"/>
      <c r="C16" s="3538"/>
      <c r="D16" s="3538"/>
      <c r="E16" s="3539"/>
      <c r="F16" s="3540"/>
      <c r="G16" s="3540"/>
      <c r="H16" s="33"/>
      <c r="I16" s="3541"/>
      <c r="J16" s="3542"/>
      <c r="K16" s="3569"/>
      <c r="L16" s="3570"/>
      <c r="M16" s="3570"/>
      <c r="N16" s="3571"/>
      <c r="O16" s="36"/>
      <c r="P16" s="37"/>
      <c r="R16" s="778"/>
    </row>
    <row r="17" spans="1:18" x14ac:dyDescent="0.4">
      <c r="A17" s="43" t="s">
        <v>37</v>
      </c>
      <c r="B17" s="3538"/>
      <c r="C17" s="3538"/>
      <c r="D17" s="3538"/>
      <c r="E17" s="3539"/>
      <c r="F17" s="3540"/>
      <c r="G17" s="3540"/>
      <c r="H17" s="33"/>
      <c r="I17" s="3541"/>
      <c r="J17" s="3542"/>
      <c r="K17" s="3569"/>
      <c r="L17" s="3570"/>
      <c r="M17" s="3570"/>
      <c r="N17" s="3571"/>
      <c r="O17" s="36"/>
      <c r="P17" s="37"/>
      <c r="R17" s="778"/>
    </row>
    <row r="18" spans="1:18" ht="15.4" thickBot="1" x14ac:dyDescent="0.45">
      <c r="A18" s="43" t="s">
        <v>38</v>
      </c>
      <c r="B18" s="3572"/>
      <c r="C18" s="3573"/>
      <c r="D18" s="3573"/>
      <c r="E18" s="3574"/>
      <c r="F18" s="3575"/>
      <c r="G18" s="3575"/>
      <c r="H18" s="38"/>
      <c r="I18" s="3576"/>
      <c r="J18" s="3577"/>
      <c r="K18" s="3579"/>
      <c r="L18" s="3580"/>
      <c r="M18" s="3580"/>
      <c r="N18" s="3581"/>
      <c r="O18" s="39"/>
      <c r="P18" s="40"/>
      <c r="R18" s="778"/>
    </row>
    <row r="19" spans="1:18" x14ac:dyDescent="0.4">
      <c r="A19" s="43">
        <v>2</v>
      </c>
      <c r="B19" s="1165" t="s">
        <v>39</v>
      </c>
      <c r="C19" s="1166"/>
      <c r="D19" s="1167"/>
      <c r="E19" s="1167"/>
      <c r="F19" s="1167"/>
      <c r="G19" s="1167"/>
      <c r="H19" s="1163">
        <f>SUM(H10:H18)</f>
        <v>1</v>
      </c>
      <c r="I19" s="3525">
        <f ca="1">IF(AND(_OK?="OK!",_OK_KV?="OK_KV!"),SUM(I10:J18),KALKULATION!G422)</f>
        <v>19.91</v>
      </c>
      <c r="J19" s="3526"/>
      <c r="K19" s="3578" t="s">
        <v>143</v>
      </c>
      <c r="L19" s="3578"/>
      <c r="M19" s="3578"/>
      <c r="N19" s="3578"/>
      <c r="O19" s="3578"/>
      <c r="P19" s="1169">
        <v>1</v>
      </c>
      <c r="R19" s="778"/>
    </row>
    <row r="20" spans="1:18" x14ac:dyDescent="0.4">
      <c r="A20" s="43"/>
      <c r="B20" s="3493"/>
      <c r="C20" s="3493"/>
      <c r="D20" s="3493"/>
      <c r="E20" s="3493"/>
      <c r="F20" s="3493"/>
      <c r="G20" s="3493"/>
      <c r="H20" s="3493"/>
      <c r="I20" s="3493"/>
      <c r="J20" s="3493"/>
      <c r="K20" s="3493"/>
      <c r="L20" s="2456"/>
      <c r="M20" s="3488" t="s">
        <v>6</v>
      </c>
      <c r="N20" s="3489"/>
      <c r="O20" s="3490" t="s">
        <v>7</v>
      </c>
      <c r="P20" s="3489"/>
      <c r="R20" s="778"/>
    </row>
    <row r="21" spans="1:18" x14ac:dyDescent="0.4">
      <c r="A21" s="43">
        <v>3</v>
      </c>
      <c r="B21" s="144" t="s">
        <v>39</v>
      </c>
      <c r="C21" s="145"/>
      <c r="D21" s="145"/>
      <c r="E21" s="145"/>
      <c r="F21" s="145"/>
      <c r="G21" s="145"/>
      <c r="H21" s="3582"/>
      <c r="I21" s="3582"/>
      <c r="J21" s="3582"/>
      <c r="K21" s="3582"/>
      <c r="L21" s="3582"/>
      <c r="M21" s="3582"/>
      <c r="N21" s="3583"/>
      <c r="O21" s="3491">
        <f ca="1">I19/H19</f>
        <v>19.91</v>
      </c>
      <c r="P21" s="3492"/>
      <c r="R21" s="778"/>
    </row>
    <row r="22" spans="1:18" ht="15.4" thickBot="1" x14ac:dyDescent="0.45">
      <c r="A22" s="43">
        <v>4</v>
      </c>
      <c r="B22" s="3495" t="s">
        <v>40</v>
      </c>
      <c r="C22" s="3496"/>
      <c r="D22" s="3496"/>
      <c r="E22" s="3496"/>
      <c r="F22" s="3496"/>
      <c r="G22" s="3496"/>
      <c r="H22" s="3481" t="s">
        <v>41</v>
      </c>
      <c r="I22" s="3481"/>
      <c r="J22" s="3482"/>
      <c r="K22" s="3437">
        <f ca="1">KALKULATION!G434</f>
        <v>0</v>
      </c>
      <c r="L22" s="3438"/>
      <c r="M22" s="3497"/>
      <c r="N22" s="3498"/>
      <c r="O22" s="3441">
        <f ca="1">K22*O21</f>
        <v>0</v>
      </c>
      <c r="P22" s="3442"/>
      <c r="R22" s="778"/>
    </row>
    <row r="23" spans="1:18" x14ac:dyDescent="0.4">
      <c r="A23" s="43">
        <v>5</v>
      </c>
      <c r="B23" s="3465" t="s">
        <v>142</v>
      </c>
      <c r="C23" s="3466"/>
      <c r="D23" s="3466"/>
      <c r="E23" s="3466"/>
      <c r="F23" s="3466"/>
      <c r="G23" s="3466"/>
      <c r="H23" s="3584" t="s">
        <v>180</v>
      </c>
      <c r="I23" s="3419"/>
      <c r="J23" s="3419"/>
      <c r="K23" s="3419"/>
      <c r="L23" s="3419"/>
      <c r="M23" s="3419"/>
      <c r="N23" s="147"/>
      <c r="O23" s="3421">
        <f ca="1">SUM(O21:O22)</f>
        <v>19.91</v>
      </c>
      <c r="P23" s="3422"/>
      <c r="R23" s="778"/>
    </row>
    <row r="24" spans="1:18" x14ac:dyDescent="0.4">
      <c r="A24" s="43">
        <v>6</v>
      </c>
      <c r="B24" s="3458" t="s">
        <v>109</v>
      </c>
      <c r="C24" s="3458"/>
      <c r="D24" s="3458"/>
      <c r="E24" s="3458"/>
      <c r="F24" s="3458"/>
      <c r="G24" s="3458"/>
      <c r="H24" s="3415" t="s">
        <v>87</v>
      </c>
      <c r="I24" s="3415"/>
      <c r="J24" s="3416"/>
      <c r="K24" s="3486">
        <f ca="1">KALKULATION!H434</f>
        <v>0.151</v>
      </c>
      <c r="L24" s="3487"/>
      <c r="M24" s="3431"/>
      <c r="N24" s="3432"/>
      <c r="O24" s="3376">
        <f ca="1">K24*O23</f>
        <v>3.01</v>
      </c>
      <c r="P24" s="3377"/>
      <c r="R24" s="778"/>
    </row>
    <row r="25" spans="1:18" x14ac:dyDescent="0.4">
      <c r="A25" s="43">
        <v>7</v>
      </c>
      <c r="B25" s="3458" t="s">
        <v>136</v>
      </c>
      <c r="C25" s="3458"/>
      <c r="D25" s="3458"/>
      <c r="E25" s="3458"/>
      <c r="F25" s="3458"/>
      <c r="G25" s="3458"/>
      <c r="H25" s="3415" t="s">
        <v>87</v>
      </c>
      <c r="I25" s="3415"/>
      <c r="J25" s="3416"/>
      <c r="K25" s="3435">
        <f>KALKULATION!H442</f>
        <v>0</v>
      </c>
      <c r="L25" s="3436"/>
      <c r="M25" s="3431"/>
      <c r="N25" s="3432"/>
      <c r="O25" s="3376">
        <f ca="1">K25*O23</f>
        <v>0</v>
      </c>
      <c r="P25" s="3377"/>
      <c r="R25" s="778"/>
    </row>
    <row r="26" spans="1:18" x14ac:dyDescent="0.4">
      <c r="A26" s="43">
        <v>8</v>
      </c>
      <c r="B26" s="3458" t="s">
        <v>67</v>
      </c>
      <c r="C26" s="3458"/>
      <c r="D26" s="3458"/>
      <c r="E26" s="3458"/>
      <c r="F26" s="3458"/>
      <c r="G26" s="3458"/>
      <c r="H26" s="3415" t="s">
        <v>87</v>
      </c>
      <c r="I26" s="3415"/>
      <c r="J26" s="3416"/>
      <c r="K26" s="3435">
        <f>IF(KALKULATION!H454="",0,KALKULATION!H454)</f>
        <v>0</v>
      </c>
      <c r="L26" s="3436"/>
      <c r="M26" s="3431"/>
      <c r="N26" s="3432"/>
      <c r="O26" s="3376">
        <f ca="1">K26*O23</f>
        <v>0</v>
      </c>
      <c r="P26" s="3377"/>
      <c r="R26" s="778"/>
    </row>
    <row r="27" spans="1:18" ht="15.4" thickBot="1" x14ac:dyDescent="0.45">
      <c r="A27" s="43">
        <v>9</v>
      </c>
      <c r="B27" s="3478" t="s">
        <v>103</v>
      </c>
      <c r="C27" s="3479"/>
      <c r="D27" s="3479"/>
      <c r="E27" s="3479"/>
      <c r="F27" s="3479"/>
      <c r="G27" s="3479"/>
      <c r="H27" s="3479"/>
      <c r="I27" s="3479"/>
      <c r="J27" s="3479"/>
      <c r="K27" s="3479"/>
      <c r="L27" s="3479"/>
      <c r="M27" s="3479"/>
      <c r="N27" s="3480"/>
      <c r="O27" s="3390">
        <f ca="1">KALKULATION!H458</f>
        <v>3.3</v>
      </c>
      <c r="P27" s="3391"/>
      <c r="R27" s="778"/>
    </row>
    <row r="28" spans="1:18" x14ac:dyDescent="0.4">
      <c r="A28" s="43">
        <v>10</v>
      </c>
      <c r="B28" s="3465" t="s">
        <v>42</v>
      </c>
      <c r="C28" s="3466"/>
      <c r="D28" s="3466"/>
      <c r="E28" s="3466"/>
      <c r="F28" s="3466"/>
      <c r="G28" s="3466"/>
      <c r="H28" s="3584" t="s">
        <v>183</v>
      </c>
      <c r="I28" s="3419"/>
      <c r="J28" s="3419"/>
      <c r="K28" s="3419"/>
      <c r="L28" s="3419"/>
      <c r="M28" s="3419"/>
      <c r="N28" s="146"/>
      <c r="O28" s="3421">
        <f ca="1">SUM(O23:P27)</f>
        <v>26.22</v>
      </c>
      <c r="P28" s="3422"/>
      <c r="R28" s="778"/>
    </row>
    <row r="29" spans="1:18" x14ac:dyDescent="0.4">
      <c r="A29" s="43">
        <v>11</v>
      </c>
      <c r="B29" s="2414" t="s">
        <v>104</v>
      </c>
      <c r="C29" s="2414"/>
      <c r="D29" s="2414"/>
      <c r="E29" s="2414"/>
      <c r="F29" s="2414"/>
      <c r="G29" s="2414"/>
      <c r="H29" s="2414"/>
      <c r="I29" s="2414"/>
      <c r="J29" s="2414"/>
      <c r="K29" s="2414"/>
      <c r="L29" s="2414"/>
      <c r="M29" s="2414"/>
      <c r="N29" s="2414"/>
      <c r="O29" s="3376">
        <f ca="1">KALKULATION!H459</f>
        <v>1.5</v>
      </c>
      <c r="P29" s="3377"/>
      <c r="R29" s="778"/>
    </row>
    <row r="30" spans="1:18" x14ac:dyDescent="0.4">
      <c r="A30" s="43">
        <v>12</v>
      </c>
      <c r="B30" s="3458" t="s">
        <v>43</v>
      </c>
      <c r="C30" s="3458"/>
      <c r="D30" s="3458"/>
      <c r="E30" s="3458"/>
      <c r="F30" s="3458"/>
      <c r="G30" s="3458"/>
      <c r="H30" s="3415" t="s">
        <v>44</v>
      </c>
      <c r="I30" s="3415"/>
      <c r="J30" s="3416"/>
      <c r="K30" s="3435">
        <f ca="1">KALKULATION!H460</f>
        <v>0.30270000000000002</v>
      </c>
      <c r="L30" s="3436"/>
      <c r="M30" s="3431"/>
      <c r="N30" s="3432"/>
      <c r="O30" s="3376">
        <f ca="1">K30*O28</f>
        <v>7.94</v>
      </c>
      <c r="P30" s="3377"/>
      <c r="R30" s="778"/>
    </row>
    <row r="31" spans="1:18" x14ac:dyDescent="0.4">
      <c r="A31" s="43">
        <v>13</v>
      </c>
      <c r="B31" s="3458" t="s">
        <v>45</v>
      </c>
      <c r="C31" s="3458"/>
      <c r="D31" s="3458"/>
      <c r="E31" s="3458"/>
      <c r="F31" s="3458"/>
      <c r="G31" s="3458"/>
      <c r="H31" s="3415" t="s">
        <v>44</v>
      </c>
      <c r="I31" s="3415"/>
      <c r="J31" s="3416"/>
      <c r="K31" s="3435">
        <f ca="1">KALKULATION!H461</f>
        <v>0.66</v>
      </c>
      <c r="L31" s="3436"/>
      <c r="M31" s="3431"/>
      <c r="N31" s="3432"/>
      <c r="O31" s="3376">
        <f ca="1">K31*O28</f>
        <v>17.309999999999999</v>
      </c>
      <c r="P31" s="3377"/>
      <c r="R31" s="778"/>
    </row>
    <row r="32" spans="1:18" ht="15.4" thickBot="1" x14ac:dyDescent="0.45">
      <c r="A32" s="43">
        <v>14</v>
      </c>
      <c r="B32" s="3460" t="s">
        <v>46</v>
      </c>
      <c r="C32" s="3461"/>
      <c r="D32" s="3461"/>
      <c r="E32" s="3461"/>
      <c r="F32" s="3461"/>
      <c r="G32" s="3461"/>
      <c r="H32" s="3462" t="s">
        <v>44</v>
      </c>
      <c r="I32" s="3462"/>
      <c r="J32" s="3463"/>
      <c r="K32" s="3437">
        <f ca="1">O32/O28</f>
        <v>2.7000000000000001E-3</v>
      </c>
      <c r="L32" s="3438"/>
      <c r="M32" s="3433"/>
      <c r="N32" s="3434"/>
      <c r="O32" s="3390">
        <f ca="1">KALKULATION!H462</f>
        <v>7.0000000000000007E-2</v>
      </c>
      <c r="P32" s="3391"/>
      <c r="R32" s="778"/>
    </row>
    <row r="33" spans="1:19" x14ac:dyDescent="0.4">
      <c r="A33" s="43">
        <v>15</v>
      </c>
      <c r="B33" s="3465" t="s">
        <v>47</v>
      </c>
      <c r="C33" s="3466"/>
      <c r="D33" s="3466"/>
      <c r="E33" s="3466"/>
      <c r="F33" s="3466"/>
      <c r="G33" s="3466"/>
      <c r="H33" s="3584" t="s">
        <v>184</v>
      </c>
      <c r="I33" s="3419"/>
      <c r="J33" s="3419"/>
      <c r="K33" s="3419"/>
      <c r="L33" s="3419"/>
      <c r="M33" s="3419"/>
      <c r="N33" s="3419"/>
      <c r="O33" s="3421">
        <f ca="1">SUM(O28:P32)</f>
        <v>53.04</v>
      </c>
      <c r="P33" s="3422"/>
      <c r="R33" s="778"/>
    </row>
    <row r="34" spans="1:19"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IF(_Anzeige_Prozent=_Nein,KALKULATION!G463+KALKULATION!H463/O33,KALKULATION!G463)</f>
        <v>4.7500000000000001E-2</v>
      </c>
      <c r="L34" s="3430"/>
      <c r="M34" s="3423">
        <f ca="1">IF(_Anzeige_Prozent=_Nein,"",KALKULATION!H463)</f>
        <v>3.21</v>
      </c>
      <c r="N34" s="3424"/>
      <c r="O34" s="3423">
        <f ca="1">SUM(KALKULATION!H463,KALKULATION!G463*O33)</f>
        <v>5.73</v>
      </c>
      <c r="P34" s="3424"/>
      <c r="R34" s="778"/>
    </row>
    <row r="35" spans="1:19"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78"/>
    </row>
    <row r="36" spans="1:19" x14ac:dyDescent="0.4">
      <c r="A36" s="79" t="s">
        <v>49</v>
      </c>
      <c r="B36" s="3472" t="str">
        <f>IF(SUM(K36:N36)=0,"",KALKULATION!A466)</f>
        <v/>
      </c>
      <c r="C36" s="3473"/>
      <c r="D36" s="3473"/>
      <c r="E36" s="3473"/>
      <c r="F36" s="3473"/>
      <c r="G36" s="3473"/>
      <c r="H36" s="3473"/>
      <c r="I36" s="3473"/>
      <c r="J36" s="3474"/>
      <c r="K36" s="3595" t="str">
        <f>IF(KALKULATION!A466="","",IF(_Anzeige_Prozent=_Nein,"",KALKULATION!G466))</f>
        <v/>
      </c>
      <c r="L36" s="3596"/>
      <c r="M36" s="3609" t="str">
        <f>IF(KALKULATION!A466="","",SUM(KALKULATION!F466,KALKULATION!H466))</f>
        <v/>
      </c>
      <c r="N36" s="3610"/>
      <c r="O36" s="3599"/>
      <c r="P36" s="3600"/>
      <c r="R36" s="778"/>
      <c r="S36" s="764"/>
    </row>
    <row r="37" spans="1:19" x14ac:dyDescent="0.4">
      <c r="A37" s="79" t="s">
        <v>50</v>
      </c>
      <c r="B37" s="3400" t="str">
        <f>IF(SUM(K37:N37)=0,"",KALKULATION!A467)</f>
        <v/>
      </c>
      <c r="C37" s="3401"/>
      <c r="D37" s="3401"/>
      <c r="E37" s="3401"/>
      <c r="F37" s="3401"/>
      <c r="G37" s="3401"/>
      <c r="H37" s="3401"/>
      <c r="I37" s="3401"/>
      <c r="J37" s="3402"/>
      <c r="K37" s="3603" t="str">
        <f>IF(KALKULATION!A467="","",IF(_Anzeige_Prozent=_Nein,"",KALKULATION!G467))</f>
        <v/>
      </c>
      <c r="L37" s="3604"/>
      <c r="M37" s="3546" t="str">
        <f>IF(KALKULATION!A467="","",SUM(KALKULATION!F467,KALKULATION!H467))</f>
        <v/>
      </c>
      <c r="N37" s="3547"/>
      <c r="O37" s="3599"/>
      <c r="P37" s="3600"/>
      <c r="R37" s="778"/>
    </row>
    <row r="38" spans="1:19" ht="15.4" thickBot="1" x14ac:dyDescent="0.45">
      <c r="A38" s="79" t="s">
        <v>51</v>
      </c>
      <c r="B38" s="3475" t="str">
        <f>IF(SUM(K38:N38)=0,"",KALKULATION!A468)</f>
        <v/>
      </c>
      <c r="C38" s="3476"/>
      <c r="D38" s="3476"/>
      <c r="E38" s="3476"/>
      <c r="F38" s="3476"/>
      <c r="G38" s="3476"/>
      <c r="H38" s="3476"/>
      <c r="I38" s="3476"/>
      <c r="J38" s="3477"/>
      <c r="K38" s="3605" t="str">
        <f>IF(KALKULATION!A468="","",IF(_Anzeige_Prozent=_Nein,"",KALKULATION!G468))</f>
        <v/>
      </c>
      <c r="L38" s="3606"/>
      <c r="M38" s="3607" t="str">
        <f>IF(KALKULATION!A468="","",SUM(KALKULATION!F468,KALKULATION!H468))</f>
        <v/>
      </c>
      <c r="N38" s="3608"/>
      <c r="O38" s="3601"/>
      <c r="P38" s="3602"/>
      <c r="R38" s="778"/>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f ca="1">SUM(O33:P34)</f>
        <v>58.77</v>
      </c>
      <c r="P39" s="3612"/>
      <c r="R39" s="778"/>
    </row>
    <row r="40" spans="1:19"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f ca="1">SUM(M39:P39)</f>
        <v>58.77</v>
      </c>
      <c r="O40" s="3591"/>
      <c r="P40" s="376"/>
      <c r="R40" s="778"/>
    </row>
    <row r="41" spans="1:19" hidden="1" x14ac:dyDescent="0.4">
      <c r="A41" s="43"/>
      <c r="B41" s="102" t="s">
        <v>55</v>
      </c>
      <c r="C41" s="4"/>
      <c r="D41" s="4"/>
      <c r="E41" s="4"/>
      <c r="F41" s="4"/>
      <c r="G41" s="4"/>
      <c r="H41" s="5"/>
      <c r="I41" s="1"/>
      <c r="K41" s="3"/>
      <c r="L41" s="3"/>
      <c r="M41" s="25"/>
      <c r="N41" s="26"/>
      <c r="O41" s="26"/>
      <c r="P41" s="27"/>
      <c r="R41" s="778"/>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778"/>
    </row>
    <row r="43" spans="1:19" ht="15.4" thickBot="1" x14ac:dyDescent="0.45">
      <c r="A43" s="43">
        <v>20</v>
      </c>
      <c r="B43" s="3460"/>
      <c r="C43" s="3461"/>
      <c r="D43" s="3461"/>
      <c r="E43" s="3461"/>
      <c r="F43" s="3461"/>
      <c r="G43" s="3461"/>
      <c r="H43" s="3464"/>
      <c r="I43" s="3386" t="str">
        <f>IF(M39="","",KALKULATION!H470)</f>
        <v/>
      </c>
      <c r="J43" s="3387"/>
      <c r="K43" s="3386">
        <f>KALKULATION!H473</f>
        <v>0.28000000000000003</v>
      </c>
      <c r="L43" s="3387"/>
      <c r="M43" s="3586" t="str">
        <f>IFERROR(I43*M39,"")</f>
        <v/>
      </c>
      <c r="N43" s="3587"/>
      <c r="O43" s="3586">
        <f ca="1">K43*O39</f>
        <v>16.46</v>
      </c>
      <c r="P43" s="3587"/>
      <c r="R43" s="778"/>
    </row>
    <row r="44" spans="1:19" x14ac:dyDescent="0.4">
      <c r="A44" s="43">
        <v>21</v>
      </c>
      <c r="B44" s="1148" t="s">
        <v>894</v>
      </c>
      <c r="C44" s="1154"/>
      <c r="D44" s="1154"/>
      <c r="E44" s="1154"/>
      <c r="F44" s="1154"/>
      <c r="G44" s="1154"/>
      <c r="H44" s="1154"/>
      <c r="I44" s="1152"/>
      <c r="J44" s="1152"/>
      <c r="K44" s="1152"/>
      <c r="L44" s="1153"/>
      <c r="M44" s="3439" t="str">
        <f>IFERROR(IF(M39="","",SUM(M39,M43)),"")</f>
        <v/>
      </c>
      <c r="N44" s="3440"/>
      <c r="O44" s="3439">
        <f ca="1">SUM(O39:P43)</f>
        <v>75.23</v>
      </c>
      <c r="P44" s="3440"/>
      <c r="R44" s="778"/>
    </row>
    <row r="45" spans="1:19" ht="27.85" customHeight="1" x14ac:dyDescent="0.4">
      <c r="A45" s="44">
        <v>22</v>
      </c>
      <c r="B45" s="3588" t="str">
        <f>KALKULATION!C475</f>
        <v>Regielohnpreis gesamt für [LG 2 Qualifizierter Facharbeiter]</v>
      </c>
      <c r="C45" s="3589"/>
      <c r="D45" s="3589"/>
      <c r="E45" s="3589"/>
      <c r="F45" s="3589"/>
      <c r="G45" s="3589"/>
      <c r="H45" s="3589"/>
      <c r="I45" s="3589"/>
      <c r="J45" s="3590"/>
      <c r="K45" s="3459" t="s">
        <v>186</v>
      </c>
      <c r="L45" s="2229"/>
      <c r="M45" s="1161"/>
      <c r="N45" s="3585">
        <f ca="1">IFERROR(SUM(M44:P44),"??")</f>
        <v>75.23</v>
      </c>
      <c r="O45" s="3585"/>
      <c r="P45" s="1162"/>
      <c r="R45" s="778"/>
    </row>
    <row r="46" spans="1:19" hidden="1" x14ac:dyDescent="0.4">
      <c r="A46" s="101"/>
      <c r="B46" s="102" t="s">
        <v>55</v>
      </c>
      <c r="C46" s="1"/>
      <c r="D46" s="1"/>
      <c r="E46" s="1"/>
      <c r="F46" s="1"/>
      <c r="G46" s="1"/>
      <c r="H46" s="1"/>
      <c r="I46" s="2"/>
      <c r="J46" s="23"/>
      <c r="K46" s="23"/>
      <c r="M46" s="22"/>
      <c r="N46" s="22"/>
      <c r="O46" s="21"/>
      <c r="R46" s="778"/>
    </row>
    <row r="47" spans="1:19" ht="55.9" customHeight="1" x14ac:dyDescent="0.4">
      <c r="A47" s="3417" t="str">
        <f>"Lizenziert für:
"&amp;'Lizenz u lies mich'!B32</f>
        <v>Lizenziert für:
Vers V4.1</v>
      </c>
      <c r="B47" s="3418"/>
      <c r="C47" s="3418"/>
      <c r="D47" s="3449" t="str">
        <f ca="1">' K3 PP'!D47</f>
        <v xml:space="preserve">Mittellohnpreisbroschüre EuM 2025 </v>
      </c>
      <c r="E47" s="3449"/>
      <c r="F47" s="3449"/>
      <c r="G47" s="3449"/>
      <c r="H47" s="3450"/>
      <c r="I47" s="3448"/>
      <c r="J47" s="3448"/>
      <c r="K47" s="3448"/>
      <c r="L47" s="3448"/>
      <c r="M47" s="3448"/>
      <c r="N47" s="3445" t="s">
        <v>260</v>
      </c>
      <c r="O47" s="3446"/>
      <c r="P47" s="3447"/>
      <c r="R47" s="778"/>
    </row>
    <row r="48" spans="1:19"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g5L5/iUv1bMM5afwkwCnbVZBk/AvTHrS0vY6xzVs6NA3x/bk2mYAmhzn4vamCHBRXbEWD7i3zjhgt7b7/QcDow==" saltValue="OQLqfgEfn01l1Sza4FbBuw==" spinCount="100000" sheet="1" formatColumns="0" selectLockedCells="1"/>
  <mergeCells count="154">
    <mergeCell ref="H33:N33"/>
    <mergeCell ref="O33:P33"/>
    <mergeCell ref="M36:N36"/>
    <mergeCell ref="M39:N39"/>
    <mergeCell ref="B35:J35"/>
    <mergeCell ref="K35:L35"/>
    <mergeCell ref="B34:G34"/>
    <mergeCell ref="H34:J34"/>
    <mergeCell ref="K34:L34"/>
    <mergeCell ref="O39:P39"/>
    <mergeCell ref="O34:P34"/>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B20:L20"/>
    <mergeCell ref="M20:N20"/>
    <mergeCell ref="O20:P20"/>
    <mergeCell ref="H21:N21"/>
    <mergeCell ref="O21:P21"/>
    <mergeCell ref="B22:G22"/>
    <mergeCell ref="H22:J22"/>
    <mergeCell ref="K22:L22"/>
    <mergeCell ref="M22:N22"/>
    <mergeCell ref="O22:P22"/>
    <mergeCell ref="B18:E18"/>
    <mergeCell ref="F18:G18"/>
    <mergeCell ref="I18:J18"/>
    <mergeCell ref="I19:J19"/>
    <mergeCell ref="K19:O19"/>
    <mergeCell ref="B16:E16"/>
    <mergeCell ref="F16:G16"/>
    <mergeCell ref="I16:J16"/>
    <mergeCell ref="B17:E17"/>
    <mergeCell ref="F17:G17"/>
    <mergeCell ref="I17:J17"/>
    <mergeCell ref="K16:N18"/>
    <mergeCell ref="K10:N10"/>
    <mergeCell ref="K11:N11"/>
    <mergeCell ref="B15:E15"/>
    <mergeCell ref="F15:G15"/>
    <mergeCell ref="I15:J15"/>
    <mergeCell ref="K15:N15"/>
    <mergeCell ref="B13:E13"/>
    <mergeCell ref="F13:G13"/>
    <mergeCell ref="I13:J13"/>
    <mergeCell ref="B14:E14"/>
    <mergeCell ref="F14:G14"/>
    <mergeCell ref="I14:J14"/>
    <mergeCell ref="K12:N14"/>
    <mergeCell ref="M8:N8"/>
    <mergeCell ref="O8:P8"/>
    <mergeCell ref="K6:L6"/>
    <mergeCell ref="M6:P6"/>
    <mergeCell ref="B8:L8"/>
    <mergeCell ref="K3:P3"/>
    <mergeCell ref="B6:E6"/>
    <mergeCell ref="F5:J5"/>
    <mergeCell ref="B5:E5"/>
    <mergeCell ref="F6:J6"/>
    <mergeCell ref="F7:J7"/>
    <mergeCell ref="K4:P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36</vt:i4>
      </vt:variant>
    </vt:vector>
  </HeadingPairs>
  <TitlesOfParts>
    <vt:vector size="51"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K2GZWerte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Andreas Kropik</cp:lastModifiedBy>
  <cp:lastPrinted>2024-11-20T14:11:28Z</cp:lastPrinted>
  <dcterms:created xsi:type="dcterms:W3CDTF">2003-03-04T08:55:28Z</dcterms:created>
  <dcterms:modified xsi:type="dcterms:W3CDTF">2025-01-14T13:01:00Z</dcterms:modified>
  <cp:contentStatus/>
</cp:coreProperties>
</file>