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DieseArbeitsmappe" defaultThemeVersion="124226"/>
  <mc:AlternateContent xmlns:mc="http://schemas.openxmlformats.org/markup-compatibility/2006">
    <mc:Choice Requires="x15">
      <x15ac:absPath xmlns:x15ac="http://schemas.microsoft.com/office/spreadsheetml/2010/11/ac" url="\\MYCLOUDEX2ULTRA\Daten\Literatur\WEB-K3-Beispiele\"/>
    </mc:Choice>
  </mc:AlternateContent>
  <xr:revisionPtr revIDLastSave="0" documentId="13_ncr:1_{1F93A813-F4C1-4799-B74B-5132BAD4DB7C}" xr6:coauthVersionLast="47" xr6:coauthVersionMax="47" xr10:uidLastSave="{00000000-0000-0000-0000-000000000000}"/>
  <workbookProtection workbookPassword="962C" lockStructure="1"/>
  <bookViews>
    <workbookView xWindow="-120" yWindow="-120" windowWidth="29040" windowHeight="15720" tabRatio="805" firstSheet="2" activeTab="3" xr2:uid="{00000000-000D-0000-FFFF-FFFF00000000}"/>
  </bookViews>
  <sheets>
    <sheet name="Lizenz u lies mich" sheetId="29" r:id="rId1"/>
    <sheet name="L-Rechner" sheetId="31" state="hidden" r:id="rId2"/>
    <sheet name="Stammdaten" sheetId="17" r:id="rId3"/>
    <sheet name="KALKULATION" sheetId="19" r:id="rId4"/>
    <sheet name="Report" sheetId="33" r:id="rId5"/>
    <sheet name="K2 GZ" sheetId="20" r:id="rId6"/>
    <sheet name="K2a Z f ..." sheetId="32" r:id="rId7"/>
    <sheet name=" K3 PP" sheetId="16" r:id="rId8"/>
    <sheet name=" K3 Regie1" sheetId="27" r:id="rId9"/>
    <sheet name=" K3 Regie2" sheetId="28" r:id="rId10"/>
    <sheet name=" K3 Regie3" sheetId="34" r:id="rId11"/>
    <sheet name=" K3 Regie4" sheetId="37" r:id="rId12"/>
    <sheet name=" K3 Regie5" sheetId="38" r:id="rId13"/>
    <sheet name=" K3 Regie6" sheetId="40" r:id="rId14"/>
    <sheet name="TEXT" sheetId="39" state="hidden" r:id="rId15"/>
  </sheets>
  <externalReferences>
    <externalReference r:id="rId16"/>
    <externalReference r:id="rId17"/>
  </externalReferences>
  <definedNames>
    <definedName name="_Anzeige_Prozent">KALKULATION!$F$351</definedName>
    <definedName name="_FELD_REGIE">KALKULATION!$A$417:$I$835</definedName>
    <definedName name="_Ja">KALKULATION!$Q$31</definedName>
    <definedName name="_KV_AKV_Entg.">KALKULATION!$R$32</definedName>
    <definedName name="_KV_Entgelt">KALKULATION!$R$31</definedName>
    <definedName name="_Nein">KALKULATION!$Q$32</definedName>
    <definedName name="_OK?" comment="Lizent OK, dann OK!">'Lizenz u lies mich'!$Q$16</definedName>
    <definedName name="_OK_KV?">Stammdaten!$P$12</definedName>
    <definedName name="_ProdPers">KALKULATION!$AD$67</definedName>
    <definedName name="_Test">'Lizenz u lies mich'!$H$30</definedName>
    <definedName name="_Verband" comment="Kennzeichen für Universallizenz">'Lizenz u lies mich'!$O$9</definedName>
    <definedName name="_Verband_KollV2">'Lizenz u lies mich'!$R$20</definedName>
    <definedName name="_Verband_KollV3">'Lizenz u lies mich'!$R$21</definedName>
    <definedName name="_Verband_KollV4">'Lizenz u lies mich'!$R$22</definedName>
    <definedName name="_Verband_KollV5">'Lizenz u lies mich'!$R$23</definedName>
    <definedName name="AufzahlungsSTD" localSheetId="6">'[1]Stamm KV-Daten'!$A$50:$A$59</definedName>
    <definedName name="AufzahlungsSTD" localSheetId="1">'L-Rechner'!#REF!</definedName>
    <definedName name="AufzahlungsSTD">Stammdaten!$A$50:$A$54</definedName>
    <definedName name="AufzahlungsStdEURO" localSheetId="6">'[1]Stamm KV-Daten'!$A$61:$A$65</definedName>
    <definedName name="AufzahlungsStdEURO" localSheetId="1">'L-Rechner'!#REF!</definedName>
    <definedName name="AufzahlungsStdEURO">Stammdaten!$A$57:$A$61</definedName>
    <definedName name="DD_Aufrunden">KALKULATION!$Q$35:$Q$36</definedName>
    <definedName name="DD_Ent_Std">INDIRECT("Kalkulation!$M$"&amp;KALKULATION!$N$175&amp;":$M$"&amp;KALKULATION!$N$176)</definedName>
    <definedName name="DD_Ent_Tag">INDIRECT("Kalkulation!$M$"&amp;KALKULATION!$N$190&amp;":$M$"&amp;KALKULATION!$N$191)</definedName>
    <definedName name="DD_Ent_Wo">INDIRECT("Kalkulation!$M$"&amp;KALKULATION!$N$204&amp;":$M$"&amp;KALKULATION!$N$205)</definedName>
    <definedName name="DD_GZ">INDIRECT("Kalkulation!$M$"&amp;KALKULATION!$N$351&amp;":$M$"&amp;KALKULATION!$N$352)</definedName>
    <definedName name="DD_JN">KALKULATION!$Q$31:$Q$32</definedName>
    <definedName name="DD_KV_AKV">KALKULATION!$R$31:$R$32</definedName>
    <definedName name="DD_Personal">INDIRECT("Kalkulation!$M$"&amp;KALKULATION!$N$63&amp;":$M$"&amp;KALKULATION!$N$64)</definedName>
    <definedName name="DD_UE_STD">INDIRECT("Kalkulation!$M$"&amp;KALKULATION!$N$88&amp;":$M$"&amp;KALKULATION!$N$89)</definedName>
    <definedName name="DD_Umlagen">INDIRECT("Kalkulation!$F$"&amp;KALKULATION!$H$332&amp;":$F$"&amp;KALKULATION!$H$333)</definedName>
    <definedName name="DD_VStd_Euro">INDIRECT("Kalkulation!$M$"&amp;KALKULATION!$N$110&amp;":$M$"&amp;KALKULATION!$N$111)</definedName>
    <definedName name="DD_VStd_Proz">INDIRECT("Kalkulation!$M$"&amp;KALKULATION!$N$99&amp;":$M$"&amp;KALKULATION!$N$100)</definedName>
    <definedName name="DD_Zulagen">INDIRECT("Kalkulation!$M$"&amp;KALKULATION!$N$146&amp;":$M$"&amp;KALKULATION!$N$147)</definedName>
    <definedName name="DienstreiseSTD" localSheetId="6">'[1]Stamm KV-Daten'!$A$117:$A$119</definedName>
    <definedName name="DienstreiseSTD" localSheetId="0">'Lizenz u lies mich'!#REF!</definedName>
    <definedName name="DienstreiseSTD" localSheetId="1">'L-Rechner'!#REF!</definedName>
    <definedName name="DienstreiseSTD">Stammdaten!$A$116:$A$118</definedName>
    <definedName name="DienstreiseTAG" localSheetId="6">'[1]Stamm KV-Daten'!$A$103:$A$114</definedName>
    <definedName name="DienstreiseTAG" localSheetId="1">'L-Rechner'!#REF!</definedName>
    <definedName name="DienstreiseTAG">Stammdaten!$A$102:$A$113</definedName>
    <definedName name="DienstreiseWOCHE" localSheetId="6">'[1]Stamm KV-Daten'!$A$122:$A$127</definedName>
    <definedName name="DienstreiseWOCHE" localSheetId="1">'L-Rechner'!#REF!</definedName>
    <definedName name="DienstreiseWOCHE">Stammdaten!$A$122:$A$127</definedName>
    <definedName name="_xlnm.Print_Area" localSheetId="7">' K3 PP'!$A$1:$P$47</definedName>
    <definedName name="_xlnm.Print_Area" localSheetId="8">' K3 Regie1'!$A$1:$P$47</definedName>
    <definedName name="_xlnm.Print_Area" localSheetId="9">' K3 Regie2'!$A$1:$P$47</definedName>
    <definedName name="_xlnm.Print_Area" localSheetId="10">' K3 Regie3'!$A$1:$P$47</definedName>
    <definedName name="_xlnm.Print_Area" localSheetId="11">' K3 Regie4'!$A$1:$P$47</definedName>
    <definedName name="_xlnm.Print_Area" localSheetId="12">' K3 Regie5'!$A$1:$P$47</definedName>
    <definedName name="_xlnm.Print_Area" localSheetId="13">' K3 Regie6'!$A$1:$P$47</definedName>
    <definedName name="_xlnm.Print_Area" localSheetId="5">'K2 GZ'!$A$3:$M$33</definedName>
    <definedName name="_xlnm.Print_Area" localSheetId="6">'K2a Z f ...'!$A$1:$L$32</definedName>
    <definedName name="_xlnm.Print_Area" localSheetId="3">KALKULATION!$A$1:$I$885</definedName>
    <definedName name="_xlnm.Print_Area" localSheetId="0">'Lizenz u lies mich'!#REF!</definedName>
    <definedName name="_xlnm.Print_Area" localSheetId="1">'L-Rechner'!#REF!</definedName>
    <definedName name="_xlnm.Print_Area" localSheetId="4">Report!$A$1:$I$392</definedName>
    <definedName name="_xlnm.Print_Area" localSheetId="2">Stammdaten!$A$1:$F$160</definedName>
    <definedName name="ErschwernisZul" localSheetId="6">'[1]Stamm KV-Daten'!$A$71:$A$97</definedName>
    <definedName name="ErschwernisZul" localSheetId="0">'Lizenz u lies mich'!#REF!</definedName>
    <definedName name="ErschwernisZul" localSheetId="1">'L-Rechner'!#REF!</definedName>
    <definedName name="ErschwernisZul">Stammdaten!$A$70:$A$96</definedName>
    <definedName name="HB_Grundl1">[2]SV_SATZ.XLS!$E$39</definedName>
    <definedName name="HTML_CodePage" hidden="1">1252</definedName>
    <definedName name="HTML_Control" hidden="1">{"'Zusammenfassung für ÖSTAT'!$A$1:$G$55"}</definedName>
    <definedName name="HTML_Description" hidden="1">""</definedName>
    <definedName name="HTML_Email" hidden="1">""</definedName>
    <definedName name="HTML_Header" hidden="1">"Zusammenfassung für ÖSTAT"</definedName>
    <definedName name="HTML_LastUpdate" hidden="1">"23.12.99"</definedName>
    <definedName name="HTML_LineAfter" hidden="1">TRUE</definedName>
    <definedName name="HTML_LineBefore" hidden="1">TRUE</definedName>
    <definedName name="HTML_Name" hidden="1">"Andreas Kropik"</definedName>
    <definedName name="HTML_OBDlg2" hidden="1">TRUE</definedName>
    <definedName name="HTML_OBDlg4" hidden="1">TRUE</definedName>
    <definedName name="HTML_OS" hidden="1">0</definedName>
    <definedName name="HTML_PathFile" hidden="1">"D:\Eigene Dateien\internetpublikation\sk_tab01012000.htm"</definedName>
    <definedName name="HTML_Title" hidden="1">"FM"</definedName>
    <definedName name="K2GZWerte">'K2 GZ'!$I$25:$I$32</definedName>
    <definedName name="KVBezeichnung" localSheetId="6">'[1]Stamm KV-Daten'!$A$7:$A$33</definedName>
    <definedName name="KVBezeichnung" localSheetId="0">'Lizenz u lies mich'!#REF!</definedName>
    <definedName name="KVBezeichnung" localSheetId="1">'L-Rechner'!#REF!</definedName>
    <definedName name="KVBezeichnung">Stammdaten!$A$7:$A$33</definedName>
    <definedName name="MehrarbeitsStd" localSheetId="6">'[1]Stamm KV-Daten'!$A$39:$A$48</definedName>
    <definedName name="MehrarbeitsStd" localSheetId="0">'Lizenz u lies mich'!#REF!</definedName>
    <definedName name="MehrarbeitsStd" localSheetId="1">'L-Rechner'!#REF!</definedName>
    <definedName name="MehrarbeitsStd">Stammdaten!$A$39:$A$48</definedName>
    <definedName name="sdsddsdsds" hidden="1">{"'Zusammenfassung für ÖSTAT'!$A$1:$G$55"}</definedName>
    <definedName name="SV_AB">[2]SV_SATZ.XLS!$H$15</definedName>
    <definedName name="UmlagenK3spalteA" localSheetId="6">[1]Projekt!$A$242:$A$246</definedName>
    <definedName name="wwwww" hidden="1">{"'Zusammenfassung für ÖSTAT'!$A$1:$G$55"}</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95" i="33" l="1"/>
  <c r="A415" i="33"/>
  <c r="C413" i="19" l="1"/>
  <c r="A413" i="19"/>
  <c r="I811" i="19"/>
  <c r="I810" i="19"/>
  <c r="I737" i="19"/>
  <c r="I736" i="19"/>
  <c r="I663" i="19"/>
  <c r="I662" i="19"/>
  <c r="I595" i="19"/>
  <c r="I594" i="19"/>
  <c r="I527" i="19"/>
  <c r="I526" i="19"/>
  <c r="I459" i="19"/>
  <c r="I458" i="19"/>
  <c r="P72" i="19"/>
  <c r="A859" i="33"/>
  <c r="F12" i="29"/>
  <c r="H34" i="40" l="1"/>
  <c r="H34" i="38"/>
  <c r="H34" i="37"/>
  <c r="H34" i="34"/>
  <c r="H34" i="28"/>
  <c r="H34" i="27"/>
  <c r="H34" i="16"/>
  <c r="A975" i="33"/>
  <c r="A829" i="33"/>
  <c r="A680" i="33"/>
  <c r="A618" i="33"/>
  <c r="J89" i="19"/>
  <c r="J50" i="19"/>
  <c r="A477" i="33" s="1"/>
  <c r="P73" i="19"/>
  <c r="P71" i="19"/>
  <c r="I61" i="19"/>
  <c r="G61" i="19"/>
  <c r="E156" i="19" l="1"/>
  <c r="J61" i="19"/>
  <c r="F366" i="19"/>
  <c r="F293" i="19" l="1"/>
  <c r="E293" i="19"/>
  <c r="G302" i="19"/>
  <c r="J284" i="19" l="1"/>
  <c r="I294" i="19"/>
  <c r="F297" i="19"/>
  <c r="E366" i="19"/>
  <c r="A986" i="33" s="1"/>
  <c r="J291" i="19"/>
  <c r="E297" i="19" l="1"/>
  <c r="A888" i="33"/>
  <c r="J365" i="19"/>
  <c r="P413" i="19"/>
  <c r="P412" i="19"/>
  <c r="J199" i="19" l="1"/>
  <c r="J198" i="19"/>
  <c r="J197" i="19"/>
  <c r="J196" i="19"/>
  <c r="J188" i="19"/>
  <c r="J187" i="19"/>
  <c r="J186" i="19"/>
  <c r="J185" i="19"/>
  <c r="J149" i="19"/>
  <c r="J128" i="19"/>
  <c r="J127" i="19"/>
  <c r="J126" i="19"/>
  <c r="J125" i="19"/>
  <c r="E52" i="19" l="1"/>
  <c r="T72" i="19"/>
  <c r="S72" i="19"/>
  <c r="N20" i="29" l="1"/>
  <c r="N19" i="29"/>
  <c r="G11" i="29" l="1"/>
  <c r="J323" i="19" l="1"/>
  <c r="J189" i="19"/>
  <c r="A769" i="33"/>
  <c r="I18" i="39" l="1"/>
  <c r="A151" i="19"/>
  <c r="M203" i="19" l="1"/>
  <c r="N203" i="19" s="1"/>
  <c r="M174" i="19"/>
  <c r="N174" i="19" s="1"/>
  <c r="H21" i="32" l="1"/>
  <c r="F21" i="32"/>
  <c r="D21" i="32"/>
  <c r="A873" i="19" l="1"/>
  <c r="J240" i="19" l="1"/>
  <c r="A630" i="33" l="1"/>
  <c r="J97" i="19"/>
  <c r="J221" i="19" l="1"/>
  <c r="A60" i="33"/>
  <c r="P214" i="19"/>
  <c r="P216" i="19"/>
  <c r="J114" i="19" l="1"/>
  <c r="A72" i="33" l="1"/>
  <c r="A73" i="33"/>
  <c r="A70" i="33"/>
  <c r="A71" i="33"/>
  <c r="A69" i="33"/>
  <c r="A872" i="19" l="1"/>
  <c r="A867" i="19"/>
  <c r="E962" i="33" l="1"/>
  <c r="E964" i="33"/>
  <c r="A967" i="33"/>
  <c r="A969" i="33"/>
  <c r="F343" i="33"/>
  <c r="F329" i="33"/>
  <c r="F317" i="33"/>
  <c r="F304" i="33"/>
  <c r="A864" i="33"/>
  <c r="A862" i="33"/>
  <c r="F279" i="33"/>
  <c r="F251" i="33"/>
  <c r="F763" i="33"/>
  <c r="F225" i="33" l="1"/>
  <c r="F206" i="33"/>
  <c r="F178" i="33"/>
  <c r="F160" i="33"/>
  <c r="F151" i="33"/>
  <c r="A921" i="33"/>
  <c r="F921" i="33" s="1"/>
  <c r="A922" i="33"/>
  <c r="F922" i="33" s="1"/>
  <c r="A920" i="33"/>
  <c r="F920" i="33" s="1"/>
  <c r="J689" i="19"/>
  <c r="J763" i="19"/>
  <c r="B40" i="40"/>
  <c r="B883" i="19"/>
  <c r="E881" i="19"/>
  <c r="C881" i="19"/>
  <c r="D881" i="19"/>
  <c r="E883" i="19"/>
  <c r="C880" i="19"/>
  <c r="B882" i="19"/>
  <c r="C879" i="19"/>
  <c r="H883" i="19"/>
  <c r="E880" i="19"/>
  <c r="C882" i="19"/>
  <c r="E882" i="19"/>
  <c r="D879" i="19"/>
  <c r="D880" i="19"/>
  <c r="H884" i="19"/>
  <c r="B884" i="19"/>
  <c r="H882" i="19"/>
  <c r="B879" i="19"/>
  <c r="H880" i="19"/>
  <c r="E884" i="19"/>
  <c r="C883" i="19"/>
  <c r="B881" i="19"/>
  <c r="E879" i="19"/>
  <c r="D884" i="19"/>
  <c r="C884" i="19"/>
  <c r="D883" i="19"/>
  <c r="B880" i="19"/>
  <c r="H879" i="19"/>
  <c r="D882" i="19"/>
  <c r="H881" i="19"/>
  <c r="F923" i="33" l="1"/>
  <c r="G923" i="33" s="1"/>
  <c r="B40" i="38"/>
  <c r="F7" i="40"/>
  <c r="F7" i="38"/>
  <c r="J276" i="19"/>
  <c r="N837" i="19" l="1"/>
  <c r="J440" i="19"/>
  <c r="Q798" i="19"/>
  <c r="N798" i="19"/>
  <c r="M798" i="19"/>
  <c r="N802" i="19" s="1"/>
  <c r="Q797" i="19"/>
  <c r="P797" i="19"/>
  <c r="M797" i="19"/>
  <c r="Q796" i="19"/>
  <c r="P796" i="19"/>
  <c r="M796" i="19"/>
  <c r="Q795" i="19"/>
  <c r="P795" i="19"/>
  <c r="N795" i="19"/>
  <c r="M795" i="19"/>
  <c r="Q794" i="19"/>
  <c r="P794" i="19"/>
  <c r="M794" i="19"/>
  <c r="Q724" i="19"/>
  <c r="N724" i="19"/>
  <c r="M724" i="19"/>
  <c r="N728" i="19" s="1"/>
  <c r="Q723" i="19"/>
  <c r="P723" i="19"/>
  <c r="M723" i="19"/>
  <c r="Q722" i="19"/>
  <c r="P722" i="19"/>
  <c r="M722" i="19"/>
  <c r="Q721" i="19"/>
  <c r="P721" i="19"/>
  <c r="N721" i="19"/>
  <c r="M721" i="19"/>
  <c r="Q720" i="19"/>
  <c r="P720" i="19"/>
  <c r="M720" i="19"/>
  <c r="Q650" i="19"/>
  <c r="N650" i="19"/>
  <c r="M650" i="19"/>
  <c r="N654" i="19" s="1"/>
  <c r="Q649" i="19"/>
  <c r="P649" i="19"/>
  <c r="M649" i="19"/>
  <c r="Q648" i="19"/>
  <c r="P648" i="19"/>
  <c r="M648" i="19"/>
  <c r="Q647" i="19"/>
  <c r="P647" i="19"/>
  <c r="N647" i="19"/>
  <c r="M647" i="19"/>
  <c r="Q646" i="19"/>
  <c r="P646" i="19"/>
  <c r="M646" i="19"/>
  <c r="Q582" i="19"/>
  <c r="N582" i="19"/>
  <c r="M582" i="19"/>
  <c r="N586" i="19" s="1"/>
  <c r="Q581" i="19"/>
  <c r="P581" i="19"/>
  <c r="M581" i="19"/>
  <c r="Q580" i="19"/>
  <c r="P580" i="19"/>
  <c r="M580" i="19"/>
  <c r="Q579" i="19"/>
  <c r="P579" i="19"/>
  <c r="N579" i="19"/>
  <c r="M579" i="19"/>
  <c r="Q578" i="19"/>
  <c r="P578" i="19"/>
  <c r="M578" i="19"/>
  <c r="N514" i="19"/>
  <c r="Q514" i="19"/>
  <c r="P513" i="19"/>
  <c r="Q513" i="19"/>
  <c r="P512" i="19"/>
  <c r="Q512" i="19"/>
  <c r="N511" i="19"/>
  <c r="P511" i="19"/>
  <c r="Q511" i="19"/>
  <c r="M514" i="19"/>
  <c r="I516" i="19" s="1"/>
  <c r="M513" i="19"/>
  <c r="M512" i="19"/>
  <c r="Q510" i="19"/>
  <c r="P510" i="19"/>
  <c r="M510" i="19"/>
  <c r="M511" i="19"/>
  <c r="M600" i="19"/>
  <c r="N600" i="19" s="1"/>
  <c r="N450" i="19"/>
  <c r="N449" i="19"/>
  <c r="N448" i="19"/>
  <c r="K11" i="27" s="1"/>
  <c r="J274" i="19"/>
  <c r="J214" i="19"/>
  <c r="N517" i="19" l="1"/>
  <c r="N518" i="19"/>
  <c r="I512" i="19"/>
  <c r="I520" i="19"/>
  <c r="I584" i="19"/>
  <c r="N585" i="19"/>
  <c r="N587" i="19" s="1"/>
  <c r="N588" i="19" s="1"/>
  <c r="I588" i="19"/>
  <c r="N727" i="19"/>
  <c r="N729" i="19" s="1"/>
  <c r="N730" i="19" s="1"/>
  <c r="I648" i="19"/>
  <c r="I652" i="19"/>
  <c r="I656" i="19"/>
  <c r="I722" i="19"/>
  <c r="I726" i="19"/>
  <c r="I580" i="19"/>
  <c r="I730" i="19"/>
  <c r="N584" i="19"/>
  <c r="K11" i="34" s="1"/>
  <c r="N800" i="19"/>
  <c r="N726" i="19"/>
  <c r="N516" i="19"/>
  <c r="J508" i="19"/>
  <c r="J576" i="19"/>
  <c r="J644" i="19"/>
  <c r="J718" i="19"/>
  <c r="J792" i="19"/>
  <c r="N652" i="19"/>
  <c r="K11" i="37" s="1"/>
  <c r="N451" i="19"/>
  <c r="N452" i="19" s="1"/>
  <c r="N801" i="19"/>
  <c r="N653" i="19"/>
  <c r="I264" i="19"/>
  <c r="J249" i="19"/>
  <c r="K208" i="19"/>
  <c r="J207" i="19"/>
  <c r="J131" i="19"/>
  <c r="T74" i="19"/>
  <c r="S74" i="19"/>
  <c r="T71" i="19"/>
  <c r="S71" i="19"/>
  <c r="N519" i="19" l="1"/>
  <c r="N520" i="19" s="1"/>
  <c r="N540" i="19" s="1"/>
  <c r="K12" i="27"/>
  <c r="N472" i="19"/>
  <c r="K12" i="34"/>
  <c r="N608" i="19"/>
  <c r="K12" i="38"/>
  <c r="N751" i="19"/>
  <c r="K11" i="28"/>
  <c r="N803" i="19"/>
  <c r="N804" i="19" s="1"/>
  <c r="N655" i="19"/>
  <c r="N656" i="19" s="1"/>
  <c r="T73" i="19"/>
  <c r="T75" i="19" s="1"/>
  <c r="S73" i="19"/>
  <c r="S75" i="19" s="1"/>
  <c r="O230" i="19"/>
  <c r="R55" i="19"/>
  <c r="R57" i="19" s="1"/>
  <c r="H52" i="19"/>
  <c r="G52" i="19"/>
  <c r="A52" i="19"/>
  <c r="K12" i="28" l="1"/>
  <c r="K12" i="40"/>
  <c r="N825" i="19"/>
  <c r="K12" i="37"/>
  <c r="N676" i="19"/>
  <c r="R56" i="19"/>
  <c r="S58" i="19" s="1"/>
  <c r="A58" i="19" s="1"/>
  <c r="G213" i="19"/>
  <c r="H213" i="19"/>
  <c r="H193" i="19"/>
  <c r="G193" i="19"/>
  <c r="D193" i="19"/>
  <c r="H182" i="19"/>
  <c r="G182" i="19"/>
  <c r="D182" i="19"/>
  <c r="A193" i="19"/>
  <c r="A182" i="19"/>
  <c r="I452" i="19"/>
  <c r="I448" i="19"/>
  <c r="I444" i="19"/>
  <c r="I443" i="19"/>
  <c r="I438" i="19"/>
  <c r="M791" i="19"/>
  <c r="M792" i="19"/>
  <c r="N792" i="19"/>
  <c r="N790" i="19"/>
  <c r="M790" i="19"/>
  <c r="I790" i="19" s="1"/>
  <c r="M717" i="19"/>
  <c r="M718" i="19"/>
  <c r="N718" i="19"/>
  <c r="N716" i="19"/>
  <c r="M716" i="19"/>
  <c r="I716" i="19" s="1"/>
  <c r="M643" i="19"/>
  <c r="M644" i="19"/>
  <c r="N644" i="19"/>
  <c r="N642" i="19"/>
  <c r="M642" i="19"/>
  <c r="I642" i="19" s="1"/>
  <c r="A659" i="19"/>
  <c r="H659" i="19"/>
  <c r="G659" i="19"/>
  <c r="E659" i="19"/>
  <c r="A591" i="19"/>
  <c r="M575" i="19"/>
  <c r="M576" i="19"/>
  <c r="N576" i="19"/>
  <c r="N574" i="19"/>
  <c r="M574" i="19"/>
  <c r="I574" i="19" s="1"/>
  <c r="H591" i="19"/>
  <c r="G591" i="19"/>
  <c r="E591" i="19"/>
  <c r="H523" i="19"/>
  <c r="G523" i="19"/>
  <c r="E523" i="19"/>
  <c r="A523" i="19"/>
  <c r="N508" i="19"/>
  <c r="N506" i="19"/>
  <c r="M508" i="19"/>
  <c r="M507" i="19"/>
  <c r="M506" i="19"/>
  <c r="I506" i="19" s="1"/>
  <c r="I804" i="19"/>
  <c r="I795" i="19"/>
  <c r="I721" i="19"/>
  <c r="I647" i="19"/>
  <c r="I579" i="19"/>
  <c r="I511" i="19"/>
  <c r="E11" i="29"/>
  <c r="C12" i="29" s="1"/>
  <c r="G9" i="29"/>
  <c r="G7" i="29"/>
  <c r="H807" i="19"/>
  <c r="G807" i="19"/>
  <c r="H733" i="19"/>
  <c r="G733" i="19"/>
  <c r="G351" i="19"/>
  <c r="D134" i="17"/>
  <c r="H8" i="33"/>
  <c r="O189" i="19"/>
  <c r="P189" i="19" s="1"/>
  <c r="O145" i="19"/>
  <c r="P145" i="19" s="1"/>
  <c r="M109" i="19"/>
  <c r="N109" i="19" s="1"/>
  <c r="M98" i="19"/>
  <c r="N98" i="19" s="1"/>
  <c r="F33" i="17"/>
  <c r="D113" i="17"/>
  <c r="D119" i="17"/>
  <c r="D128" i="17"/>
  <c r="N362" i="19"/>
  <c r="O747" i="19"/>
  <c r="A683" i="19"/>
  <c r="A682" i="19"/>
  <c r="A615" i="19"/>
  <c r="A614" i="19"/>
  <c r="A547" i="19"/>
  <c r="A546" i="19"/>
  <c r="N686" i="19"/>
  <c r="N673" i="19"/>
  <c r="N672" i="19"/>
  <c r="N618" i="19"/>
  <c r="N605" i="19"/>
  <c r="N604" i="19"/>
  <c r="N550" i="19"/>
  <c r="N537" i="19"/>
  <c r="N536" i="19"/>
  <c r="N482" i="19"/>
  <c r="N468" i="19"/>
  <c r="N469" i="19"/>
  <c r="N763" i="19"/>
  <c r="M775" i="19"/>
  <c r="J764" i="19"/>
  <c r="J690" i="19"/>
  <c r="J693" i="19"/>
  <c r="B40" i="37"/>
  <c r="B40" i="34"/>
  <c r="B40" i="28"/>
  <c r="B40" i="27"/>
  <c r="J789" i="19" l="1"/>
  <c r="J715" i="19"/>
  <c r="I796" i="19"/>
  <c r="J573" i="19"/>
  <c r="I800" i="19"/>
  <c r="J437" i="19"/>
  <c r="J641" i="19"/>
  <c r="J505" i="19"/>
  <c r="P674" i="19"/>
  <c r="P538" i="19"/>
  <c r="P470" i="19"/>
  <c r="P606" i="19"/>
  <c r="N674" i="19"/>
  <c r="N606" i="19"/>
  <c r="N538" i="19"/>
  <c r="N470" i="19"/>
  <c r="O822" i="19" l="1"/>
  <c r="O821" i="19"/>
  <c r="O748" i="19"/>
  <c r="Q748" i="19" s="1"/>
  <c r="H9" i="40"/>
  <c r="A783" i="19"/>
  <c r="A782" i="19"/>
  <c r="A709" i="19"/>
  <c r="A708" i="19"/>
  <c r="A635" i="19"/>
  <c r="A634" i="19"/>
  <c r="A567" i="19"/>
  <c r="A566" i="19"/>
  <c r="A868" i="19"/>
  <c r="Q822" i="19" l="1"/>
  <c r="K38" i="28"/>
  <c r="K37" i="28"/>
  <c r="M38" i="28"/>
  <c r="M37" i="28"/>
  <c r="I785" i="19"/>
  <c r="I784" i="19"/>
  <c r="I711" i="19"/>
  <c r="I710" i="19"/>
  <c r="I637" i="19"/>
  <c r="I636" i="19"/>
  <c r="I569" i="19" l="1"/>
  <c r="I568" i="19"/>
  <c r="I501" i="19"/>
  <c r="I500" i="19"/>
  <c r="I432" i="19"/>
  <c r="M38" i="40"/>
  <c r="K38" i="40"/>
  <c r="K37" i="40"/>
  <c r="B12" i="40"/>
  <c r="B13" i="40"/>
  <c r="B14" i="40"/>
  <c r="B15" i="40"/>
  <c r="B11" i="40"/>
  <c r="F2" i="40"/>
  <c r="F2" i="38"/>
  <c r="A47" i="40"/>
  <c r="F6" i="40"/>
  <c r="B6" i="40"/>
  <c r="I825" i="19"/>
  <c r="A824" i="19"/>
  <c r="G820" i="19"/>
  <c r="H820" i="19" s="1"/>
  <c r="F820" i="19"/>
  <c r="G819" i="19"/>
  <c r="F819" i="19"/>
  <c r="H817" i="19"/>
  <c r="I815" i="19"/>
  <c r="J812" i="19"/>
  <c r="F806" i="19"/>
  <c r="J805" i="19"/>
  <c r="J803" i="19"/>
  <c r="A803" i="19"/>
  <c r="J799" i="19"/>
  <c r="J796" i="19"/>
  <c r="E777" i="19"/>
  <c r="E774" i="19"/>
  <c r="J767" i="19"/>
  <c r="I300" i="19"/>
  <c r="I289" i="19"/>
  <c r="G746" i="19"/>
  <c r="F746" i="19"/>
  <c r="G745" i="19"/>
  <c r="F745" i="19"/>
  <c r="G672" i="19"/>
  <c r="F672" i="19"/>
  <c r="G671" i="19"/>
  <c r="F671" i="19"/>
  <c r="G604" i="19"/>
  <c r="F604" i="19"/>
  <c r="G603" i="19"/>
  <c r="F603" i="19"/>
  <c r="G536" i="19"/>
  <c r="F536" i="19"/>
  <c r="G535" i="19"/>
  <c r="F535" i="19"/>
  <c r="F467" i="19"/>
  <c r="G467" i="19"/>
  <c r="F468" i="19"/>
  <c r="G468" i="19"/>
  <c r="Q79" i="19"/>
  <c r="Q81" i="19"/>
  <c r="R81" i="19" s="1"/>
  <c r="Q82" i="19"/>
  <c r="R82" i="19" s="1"/>
  <c r="Q83" i="19"/>
  <c r="R83" i="19" s="1"/>
  <c r="Q84" i="19"/>
  <c r="R84" i="19" s="1"/>
  <c r="Q80" i="19"/>
  <c r="R80" i="19" s="1"/>
  <c r="S80" i="19"/>
  <c r="A884" i="19"/>
  <c r="H779" i="19" l="1"/>
  <c r="O823" i="19"/>
  <c r="F769" i="19"/>
  <c r="K11" i="40"/>
  <c r="A874" i="19" s="1"/>
  <c r="D788" i="19"/>
  <c r="D826" i="19" s="1"/>
  <c r="F773" i="19"/>
  <c r="F772" i="19"/>
  <c r="F771" i="19"/>
  <c r="F770" i="19"/>
  <c r="J774" i="19"/>
  <c r="F776" i="19"/>
  <c r="F777" i="19" s="1"/>
  <c r="J779" i="19"/>
  <c r="G779" i="19"/>
  <c r="C782" i="19" s="1"/>
  <c r="K11" i="16"/>
  <c r="T80" i="19"/>
  <c r="M335" i="19"/>
  <c r="O338" i="19"/>
  <c r="K38" i="38"/>
  <c r="K37" i="38"/>
  <c r="M38" i="37"/>
  <c r="K38" i="37"/>
  <c r="M37" i="37"/>
  <c r="K37" i="37"/>
  <c r="M38" i="34"/>
  <c r="K38" i="34"/>
  <c r="M37" i="34"/>
  <c r="K37" i="34"/>
  <c r="K38" i="27"/>
  <c r="K37" i="27"/>
  <c r="S83" i="19"/>
  <c r="S82" i="19"/>
  <c r="S84" i="19"/>
  <c r="S81" i="19"/>
  <c r="C783" i="19" l="1"/>
  <c r="F810" i="19"/>
  <c r="F811" i="19"/>
  <c r="A779" i="19"/>
  <c r="J780" i="19"/>
  <c r="U84" i="19"/>
  <c r="K13" i="16"/>
  <c r="K15" i="16"/>
  <c r="K12" i="16"/>
  <c r="P11" i="16"/>
  <c r="T81" i="19"/>
  <c r="T82" i="19"/>
  <c r="T84" i="19"/>
  <c r="T83" i="19"/>
  <c r="O15" i="16" l="1"/>
  <c r="P13" i="16"/>
  <c r="P15" i="16"/>
  <c r="P12" i="16"/>
  <c r="P228" i="19" l="1"/>
  <c r="P227" i="19"/>
  <c r="P226" i="19"/>
  <c r="A215" i="19"/>
  <c r="J738" i="19"/>
  <c r="J664" i="19"/>
  <c r="J596" i="19"/>
  <c r="J528" i="19"/>
  <c r="J236" i="19"/>
  <c r="J460" i="19"/>
  <c r="I751" i="19"/>
  <c r="I677" i="19"/>
  <c r="I609" i="19"/>
  <c r="I541" i="19"/>
  <c r="I473" i="19"/>
  <c r="M343" i="19"/>
  <c r="M344" i="19"/>
  <c r="M345" i="19"/>
  <c r="M346" i="19"/>
  <c r="M347" i="19"/>
  <c r="M348" i="19"/>
  <c r="M349" i="19"/>
  <c r="M350" i="19"/>
  <c r="A750" i="19"/>
  <c r="A676" i="19"/>
  <c r="A608" i="19"/>
  <c r="A540" i="19"/>
  <c r="I478" i="19"/>
  <c r="J356" i="19"/>
  <c r="J355" i="19"/>
  <c r="F6" i="27"/>
  <c r="F6" i="28"/>
  <c r="F6" i="34"/>
  <c r="F6" i="37"/>
  <c r="F6" i="38"/>
  <c r="F6" i="16"/>
  <c r="B6" i="27"/>
  <c r="B6" i="28"/>
  <c r="B6" i="34"/>
  <c r="B6" i="37"/>
  <c r="B6" i="38"/>
  <c r="B6" i="16"/>
  <c r="J28" i="19"/>
  <c r="M33" i="19"/>
  <c r="B40" i="16" s="1"/>
  <c r="B371" i="19" l="1"/>
  <c r="N344" i="19"/>
  <c r="N345" i="19"/>
  <c r="N346" i="19"/>
  <c r="N348" i="19"/>
  <c r="N349" i="19"/>
  <c r="N350" i="19"/>
  <c r="N343" i="19"/>
  <c r="A143" i="19"/>
  <c r="J110" i="19"/>
  <c r="B6" i="19"/>
  <c r="I354" i="19"/>
  <c r="E295" i="19"/>
  <c r="F295" i="19"/>
  <c r="A887" i="33" l="1"/>
  <c r="A907" i="33" s="1"/>
  <c r="J295" i="19"/>
  <c r="N351" i="19"/>
  <c r="N352" i="19"/>
  <c r="A257" i="19"/>
  <c r="A259" i="19"/>
  <c r="A258" i="19"/>
  <c r="O174" i="19"/>
  <c r="P230" i="19"/>
  <c r="P229" i="19"/>
  <c r="G265" i="19" l="1"/>
  <c r="F732" i="19" l="1"/>
  <c r="A729" i="19"/>
  <c r="F658" i="19"/>
  <c r="A655" i="19"/>
  <c r="F590" i="19"/>
  <c r="A587" i="19"/>
  <c r="A332" i="19" l="1"/>
  <c r="A333" i="19"/>
  <c r="A331" i="19"/>
  <c r="C331" i="19" s="1"/>
  <c r="A330" i="19"/>
  <c r="A329" i="19"/>
  <c r="G338" i="19" s="1"/>
  <c r="C922" i="33" s="1"/>
  <c r="F522" i="19"/>
  <c r="J521" i="19"/>
  <c r="J519" i="19"/>
  <c r="A519" i="19"/>
  <c r="J515" i="19"/>
  <c r="J512" i="19"/>
  <c r="A451" i="19"/>
  <c r="F389" i="19"/>
  <c r="G818" i="19" l="1"/>
  <c r="G744" i="19"/>
  <c r="G336" i="19"/>
  <c r="C920" i="33" s="1"/>
  <c r="G466" i="19"/>
  <c r="K36" i="27" s="1"/>
  <c r="G337" i="19"/>
  <c r="C921" i="33" s="1"/>
  <c r="G534" i="19"/>
  <c r="K36" i="28" s="1"/>
  <c r="G602" i="19"/>
  <c r="K36" i="34" s="1"/>
  <c r="B333" i="19"/>
  <c r="K38" i="16"/>
  <c r="C332" i="19"/>
  <c r="H535" i="19"/>
  <c r="H671" i="19"/>
  <c r="H603" i="19"/>
  <c r="H467" i="19"/>
  <c r="M37" i="27" s="1"/>
  <c r="B332" i="19"/>
  <c r="C333" i="19"/>
  <c r="G670" i="19" s="1"/>
  <c r="K36" i="37" s="1"/>
  <c r="B331" i="19"/>
  <c r="F338" i="19" s="1"/>
  <c r="A63" i="19"/>
  <c r="B17" i="32"/>
  <c r="B16" i="32"/>
  <c r="B15" i="32"/>
  <c r="B14" i="32"/>
  <c r="B13" i="32"/>
  <c r="B12" i="32"/>
  <c r="B11" i="32"/>
  <c r="B10" i="32"/>
  <c r="K14" i="16"/>
  <c r="P14" i="16"/>
  <c r="B922" i="33" l="1"/>
  <c r="D922" i="33" s="1"/>
  <c r="A928" i="33" s="1"/>
  <c r="H744" i="19"/>
  <c r="K36" i="38"/>
  <c r="H818" i="19"/>
  <c r="K36" i="40"/>
  <c r="D333" i="19"/>
  <c r="E333" i="19" s="1"/>
  <c r="D331" i="19"/>
  <c r="E331" i="19" s="1"/>
  <c r="D332" i="19"/>
  <c r="E332" i="19" s="1"/>
  <c r="M35" i="40" l="1"/>
  <c r="K35" i="40"/>
  <c r="M34" i="19"/>
  <c r="B45" i="16" s="1"/>
  <c r="A30" i="19" s="1"/>
  <c r="I741" i="19"/>
  <c r="I667" i="19"/>
  <c r="I599" i="19"/>
  <c r="I531" i="19"/>
  <c r="I463" i="19"/>
  <c r="A662" i="33"/>
  <c r="A663" i="33"/>
  <c r="A661" i="33"/>
  <c r="A629" i="33"/>
  <c r="A628" i="33"/>
  <c r="A627" i="33"/>
  <c r="A626" i="33"/>
  <c r="A625" i="33"/>
  <c r="A624" i="33"/>
  <c r="A623" i="33"/>
  <c r="A580" i="33"/>
  <c r="A579" i="33"/>
  <c r="A578" i="33"/>
  <c r="A577" i="33"/>
  <c r="A576" i="33"/>
  <c r="A575" i="33"/>
  <c r="A560" i="33"/>
  <c r="A559" i="33"/>
  <c r="A558" i="33"/>
  <c r="A557" i="33"/>
  <c r="A556" i="33"/>
  <c r="A1054" i="33"/>
  <c r="B26" i="20"/>
  <c r="B27" i="20"/>
  <c r="B28" i="20"/>
  <c r="B29" i="20"/>
  <c r="B30" i="20"/>
  <c r="B31" i="20"/>
  <c r="B32" i="20"/>
  <c r="B25" i="20"/>
  <c r="A1036" i="33"/>
  <c r="I22" i="32"/>
  <c r="G22" i="32"/>
  <c r="H20" i="20"/>
  <c r="K2" i="17"/>
  <c r="A631" i="33" l="1"/>
  <c r="A409" i="19"/>
  <c r="K1000" i="33"/>
  <c r="A664" i="33"/>
  <c r="A665" i="33" s="1"/>
  <c r="A666" i="33" s="1"/>
  <c r="A410" i="19" l="1"/>
  <c r="D141" i="33"/>
  <c r="J18" i="19"/>
  <c r="B595" i="33" l="1"/>
  <c r="B594" i="33"/>
  <c r="B593" i="33"/>
  <c r="B566" i="33"/>
  <c r="B567" i="33"/>
  <c r="B568" i="33"/>
  <c r="B569" i="33"/>
  <c r="B565" i="33"/>
  <c r="A303" i="19"/>
  <c r="D596" i="33" l="1"/>
  <c r="E596" i="33"/>
  <c r="A581" i="33"/>
  <c r="A582" i="33" s="1"/>
  <c r="A583" i="33" s="1"/>
  <c r="E570" i="33"/>
  <c r="D570" i="33"/>
  <c r="A561" i="33"/>
  <c r="A562" i="33" s="1"/>
  <c r="A563" i="33" s="1"/>
  <c r="J209" i="19"/>
  <c r="A597" i="33" l="1"/>
  <c r="A571" i="33"/>
  <c r="J354" i="19"/>
  <c r="C407" i="19"/>
  <c r="D407" i="19"/>
  <c r="B407" i="19"/>
  <c r="J731" i="19"/>
  <c r="J729" i="19"/>
  <c r="J725" i="19"/>
  <c r="J722" i="19"/>
  <c r="B12" i="38"/>
  <c r="B15" i="38"/>
  <c r="B14" i="38"/>
  <c r="B13" i="38"/>
  <c r="B11" i="38"/>
  <c r="K11" i="38" s="1"/>
  <c r="H9" i="38"/>
  <c r="J657" i="19"/>
  <c r="J655" i="19"/>
  <c r="J651" i="19"/>
  <c r="J648" i="19"/>
  <c r="J589" i="19"/>
  <c r="J587" i="19"/>
  <c r="J583" i="19"/>
  <c r="J580" i="19"/>
  <c r="J444" i="19"/>
  <c r="U10" i="38" l="1"/>
  <c r="J453" i="19"/>
  <c r="J451" i="19"/>
  <c r="J447" i="19"/>
  <c r="N467" i="19" l="1"/>
  <c r="N477" i="19" s="1"/>
  <c r="N535" i="19"/>
  <c r="N671" i="19"/>
  <c r="N603" i="19"/>
  <c r="O820" i="19"/>
  <c r="M765" i="19" s="1"/>
  <c r="O746" i="19"/>
  <c r="M691" i="19" s="1"/>
  <c r="N832" i="19" l="1"/>
  <c r="N830" i="19"/>
  <c r="N831" i="19"/>
  <c r="N833" i="19"/>
  <c r="N476" i="19"/>
  <c r="N478" i="19"/>
  <c r="N614" i="19"/>
  <c r="N612" i="19"/>
  <c r="N613" i="19"/>
  <c r="N682" i="19"/>
  <c r="N680" i="19"/>
  <c r="N681" i="19"/>
  <c r="N544" i="19"/>
  <c r="N545" i="19"/>
  <c r="C543" i="19" s="1"/>
  <c r="B45" i="28" s="1"/>
  <c r="N546" i="19"/>
  <c r="N758" i="19"/>
  <c r="N756" i="19"/>
  <c r="C827" i="19" l="1"/>
  <c r="A302" i="19"/>
  <c r="A301" i="19"/>
  <c r="A300" i="19"/>
  <c r="E817" i="33"/>
  <c r="A723" i="33"/>
  <c r="A722" i="33"/>
  <c r="A721" i="33"/>
  <c r="A762" i="33"/>
  <c r="A751" i="33"/>
  <c r="A750" i="33"/>
  <c r="A749" i="33"/>
  <c r="A748" i="33"/>
  <c r="A747" i="33"/>
  <c r="A737" i="33"/>
  <c r="A736" i="33"/>
  <c r="A735" i="33"/>
  <c r="A734" i="33"/>
  <c r="A733" i="33"/>
  <c r="J210" i="19"/>
  <c r="I223" i="19"/>
  <c r="I138" i="33"/>
  <c r="H138" i="33"/>
  <c r="C409" i="33"/>
  <c r="B409" i="33"/>
  <c r="E425" i="33"/>
  <c r="A752" i="33" l="1"/>
  <c r="A753" i="33" s="1"/>
  <c r="A754" i="33" s="1"/>
  <c r="A738" i="33"/>
  <c r="A739" i="33" s="1"/>
  <c r="A740" i="33" s="1"/>
  <c r="A724" i="33"/>
  <c r="A725" i="33" s="1"/>
  <c r="A726" i="33" s="1"/>
  <c r="D409" i="33"/>
  <c r="C410" i="33" s="1"/>
  <c r="A411" i="33" s="1"/>
  <c r="I299" i="19"/>
  <c r="I214" i="19" l="1"/>
  <c r="J200" i="19" l="1"/>
  <c r="J178" i="19"/>
  <c r="A60" i="19"/>
  <c r="J162" i="19"/>
  <c r="J157" i="19"/>
  <c r="F15" i="32" l="1"/>
  <c r="G15" i="32" s="1"/>
  <c r="I15" i="32" s="1"/>
  <c r="J15" i="32" s="1"/>
  <c r="L15" i="32" s="1"/>
  <c r="F16" i="32"/>
  <c r="G16" i="32" s="1"/>
  <c r="I16" i="32" s="1"/>
  <c r="J16" i="32" s="1"/>
  <c r="L16" i="32" s="1"/>
  <c r="F17" i="32"/>
  <c r="G17" i="32" s="1"/>
  <c r="I17" i="32" s="1"/>
  <c r="J17" i="32" s="1"/>
  <c r="L17" i="32" s="1"/>
  <c r="B31" i="32" s="1"/>
  <c r="I32" i="20"/>
  <c r="I29" i="20"/>
  <c r="I30" i="20"/>
  <c r="I31" i="20"/>
  <c r="C22" i="32"/>
  <c r="C31" i="32" s="1"/>
  <c r="N1" i="19"/>
  <c r="B29" i="32" l="1"/>
  <c r="B30" i="32"/>
  <c r="C29" i="32"/>
  <c r="E29" i="32" s="1"/>
  <c r="C30" i="32"/>
  <c r="E30" i="32" s="1"/>
  <c r="G30" i="32" s="1"/>
  <c r="I30" i="32" s="1"/>
  <c r="J30" i="32" s="1"/>
  <c r="G31" i="32"/>
  <c r="I31" i="32" s="1"/>
  <c r="E31" i="32"/>
  <c r="G29" i="32" l="1"/>
  <c r="I29" i="32" s="1"/>
  <c r="J29" i="32" s="1"/>
  <c r="K29" i="32" s="1"/>
  <c r="F17" i="20" s="1"/>
  <c r="K30" i="32"/>
  <c r="F18" i="20" s="1"/>
  <c r="G18" i="20" s="1"/>
  <c r="H18" i="20" s="1"/>
  <c r="J31" i="32"/>
  <c r="K31" i="32" s="1"/>
  <c r="F19" i="20" s="1"/>
  <c r="A543" i="33"/>
  <c r="J18" i="20" l="1"/>
  <c r="K18" i="20" s="1"/>
  <c r="A498" i="33"/>
  <c r="M18" i="20" l="1"/>
  <c r="C31" i="20" s="1"/>
  <c r="G1" i="16"/>
  <c r="F2" i="16"/>
  <c r="C4" i="16"/>
  <c r="G4" i="16"/>
  <c r="F2" i="37"/>
  <c r="F2" i="34"/>
  <c r="F2" i="28"/>
  <c r="F2" i="27"/>
  <c r="C4" i="28" l="1"/>
  <c r="C4" i="40"/>
  <c r="G4" i="28"/>
  <c r="G4" i="40"/>
  <c r="G3" i="20"/>
  <c r="G1" i="40"/>
  <c r="E31" i="20"/>
  <c r="G31" i="20"/>
  <c r="A403" i="33"/>
  <c r="A152" i="33" s="1"/>
  <c r="G1" i="34"/>
  <c r="G1" i="27"/>
  <c r="G1" i="38"/>
  <c r="G1" i="37"/>
  <c r="G1" i="28"/>
  <c r="G4" i="27"/>
  <c r="G4" i="38"/>
  <c r="G4" i="37"/>
  <c r="H5" i="20"/>
  <c r="G3" i="32" s="1"/>
  <c r="C4" i="27"/>
  <c r="G4" i="34"/>
  <c r="H6" i="20"/>
  <c r="G4" i="32" s="1"/>
  <c r="C4" i="38"/>
  <c r="C4" i="37"/>
  <c r="C4" i="34"/>
  <c r="H31" i="20" l="1"/>
  <c r="M31" i="20" s="1"/>
  <c r="S31" i="20"/>
  <c r="T31" i="20" s="1"/>
  <c r="U31" i="20" s="1"/>
  <c r="F14" i="32"/>
  <c r="G14" i="32" s="1"/>
  <c r="I14" i="32" s="1"/>
  <c r="J14" i="32" s="1"/>
  <c r="F13" i="32"/>
  <c r="G13" i="32" s="1"/>
  <c r="I13" i="32" s="1"/>
  <c r="J13" i="32" s="1"/>
  <c r="F12" i="32"/>
  <c r="G12" i="32" s="1"/>
  <c r="I12" i="32" s="1"/>
  <c r="J12" i="32" s="1"/>
  <c r="F11" i="32"/>
  <c r="G11" i="32" s="1"/>
  <c r="I11" i="32" s="1"/>
  <c r="J11" i="32" s="1"/>
  <c r="F10" i="32"/>
  <c r="G10" i="32" s="1"/>
  <c r="I10" i="32" s="1"/>
  <c r="J10" i="32" s="1"/>
  <c r="F1" i="32"/>
  <c r="A1023" i="33" l="1"/>
  <c r="P31" i="20"/>
  <c r="O31" i="20"/>
  <c r="N30" i="32"/>
  <c r="V31" i="20"/>
  <c r="W31" i="20"/>
  <c r="L12" i="32"/>
  <c r="L10" i="32"/>
  <c r="B24" i="32" s="1"/>
  <c r="L14" i="32"/>
  <c r="B28" i="32" s="1"/>
  <c r="L13" i="32"/>
  <c r="B27" i="32" s="1"/>
  <c r="L11" i="32"/>
  <c r="I4" i="17"/>
  <c r="D4" i="17"/>
  <c r="D99" i="17"/>
  <c r="B60" i="17"/>
  <c r="B3" i="17"/>
  <c r="D33" i="17" l="1"/>
  <c r="B8" i="40"/>
  <c r="C24" i="32"/>
  <c r="C27" i="32"/>
  <c r="E27" i="32" s="1"/>
  <c r="C28" i="32"/>
  <c r="E28" i="32" s="1"/>
  <c r="B26" i="32"/>
  <c r="B25" i="32"/>
  <c r="B4" i="17"/>
  <c r="B59" i="17"/>
  <c r="I6" i="17" l="1"/>
  <c r="H11" i="17"/>
  <c r="A2" i="17" s="1"/>
  <c r="D142" i="33" s="1"/>
  <c r="O8" i="40"/>
  <c r="C26" i="32"/>
  <c r="E26" i="32" s="1"/>
  <c r="C25" i="32"/>
  <c r="E25" i="32" s="1"/>
  <c r="G28" i="32"/>
  <c r="G17" i="20"/>
  <c r="H17" i="20" s="1"/>
  <c r="G27" i="32"/>
  <c r="I27" i="32" s="1"/>
  <c r="E24" i="32"/>
  <c r="B10" i="27"/>
  <c r="B10" i="37"/>
  <c r="B10" i="34"/>
  <c r="B10" i="28"/>
  <c r="A3" i="17" l="1"/>
  <c r="J17" i="20"/>
  <c r="K17" i="20" s="1"/>
  <c r="G26" i="32"/>
  <c r="I26" i="32" s="1"/>
  <c r="J26" i="32" s="1"/>
  <c r="K26" i="32" s="1"/>
  <c r="F14" i="20" s="1"/>
  <c r="I28" i="32"/>
  <c r="J28" i="32" s="1"/>
  <c r="K28" i="32" s="1"/>
  <c r="F16" i="20" s="1"/>
  <c r="G25" i="32"/>
  <c r="I25" i="32" s="1"/>
  <c r="J27" i="32"/>
  <c r="K27" i="32" s="1"/>
  <c r="F15" i="20" s="1"/>
  <c r="G24" i="32"/>
  <c r="I24" i="32" s="1"/>
  <c r="M17" i="20" l="1"/>
  <c r="C30" i="20" s="1"/>
  <c r="J25" i="32"/>
  <c r="K25" i="32" s="1"/>
  <c r="F13" i="20" s="1"/>
  <c r="J24" i="32"/>
  <c r="E30" i="20" l="1"/>
  <c r="G30" i="20"/>
  <c r="K24" i="32"/>
  <c r="F12" i="20" s="1"/>
  <c r="H30" i="20" l="1"/>
  <c r="M30" i="20" s="1"/>
  <c r="S30" i="20"/>
  <c r="T30" i="20" s="1"/>
  <c r="A47" i="27"/>
  <c r="A47" i="28"/>
  <c r="A47" i="34"/>
  <c r="A47" i="37"/>
  <c r="A47" i="38"/>
  <c r="A47" i="16"/>
  <c r="A32" i="32" s="1"/>
  <c r="N29" i="32" l="1"/>
  <c r="P30" i="20"/>
  <c r="O30" i="20"/>
  <c r="A1022" i="33"/>
  <c r="U30" i="20"/>
  <c r="W30" i="20"/>
  <c r="V30" i="20"/>
  <c r="L151" i="19"/>
  <c r="G154" i="19" l="1"/>
  <c r="I263" i="19" l="1"/>
  <c r="A869" i="19"/>
  <c r="D436" i="19" l="1"/>
  <c r="C474" i="19" s="1"/>
  <c r="D504" i="19"/>
  <c r="C542" i="19" s="1"/>
  <c r="D572" i="19"/>
  <c r="C610" i="19" s="1"/>
  <c r="D640" i="19"/>
  <c r="C678" i="19" s="1"/>
  <c r="E700" i="19"/>
  <c r="J700" i="19" l="1"/>
  <c r="O749" i="19"/>
  <c r="D714" i="19"/>
  <c r="D752" i="19" s="1"/>
  <c r="F699" i="19"/>
  <c r="F697" i="19"/>
  <c r="F695" i="19"/>
  <c r="F698" i="19"/>
  <c r="F696" i="19"/>
  <c r="F700" i="19" l="1"/>
  <c r="H19" i="38" s="1"/>
  <c r="N759" i="19"/>
  <c r="N757" i="19"/>
  <c r="F774" i="19"/>
  <c r="H19" i="40" s="1"/>
  <c r="E703" i="19"/>
  <c r="A883" i="19"/>
  <c r="J705" i="19" l="1"/>
  <c r="G705" i="19"/>
  <c r="H705" i="19"/>
  <c r="F702" i="19"/>
  <c r="F703" i="19" s="1"/>
  <c r="I114" i="19"/>
  <c r="C709" i="19" l="1"/>
  <c r="F737" i="19"/>
  <c r="F736" i="19"/>
  <c r="A705" i="19"/>
  <c r="C708" i="19"/>
  <c r="J706" i="19"/>
  <c r="I498" i="33"/>
  <c r="A506" i="33" s="1"/>
  <c r="C10" i="29" l="1"/>
  <c r="C8" i="29"/>
  <c r="B14" i="16" l="1"/>
  <c r="B15" i="16"/>
  <c r="B16" i="16"/>
  <c r="B17" i="16"/>
  <c r="B18" i="16"/>
  <c r="A33" i="20" l="1"/>
  <c r="H10" i="37" l="1"/>
  <c r="H19" i="37" s="1"/>
  <c r="E629" i="19"/>
  <c r="E626" i="19"/>
  <c r="H10" i="34"/>
  <c r="H19" i="34" s="1"/>
  <c r="A858" i="19"/>
  <c r="E561" i="19"/>
  <c r="E558" i="19"/>
  <c r="L165" i="19"/>
  <c r="A881" i="19"/>
  <c r="A882" i="19"/>
  <c r="F628" i="19" l="1"/>
  <c r="J562" i="19"/>
  <c r="F560" i="19"/>
  <c r="F561" i="19" s="1"/>
  <c r="H631" i="19"/>
  <c r="J631" i="19"/>
  <c r="A864" i="19"/>
  <c r="A859" i="19"/>
  <c r="A863" i="19"/>
  <c r="H563" i="19"/>
  <c r="G563" i="19"/>
  <c r="G631" i="19"/>
  <c r="F663" i="19" l="1"/>
  <c r="F662" i="19"/>
  <c r="F594" i="19"/>
  <c r="F595" i="19"/>
  <c r="A563" i="19"/>
  <c r="A631" i="19"/>
  <c r="J632" i="19"/>
  <c r="J563" i="19"/>
  <c r="F629" i="19"/>
  <c r="C39" i="17"/>
  <c r="B34" i="19" l="1"/>
  <c r="B8" i="38"/>
  <c r="B8" i="37"/>
  <c r="B8" i="34"/>
  <c r="N21" i="29" l="1"/>
  <c r="N22" i="29" s="1"/>
  <c r="N14" i="29"/>
  <c r="O14" i="29"/>
  <c r="P14" i="29" s="1"/>
  <c r="Q14" i="29" l="1"/>
  <c r="B3" i="31" l="1"/>
  <c r="B25" i="31" s="1"/>
  <c r="C25" i="31" s="1"/>
  <c r="B2" i="31"/>
  <c r="B7" i="31" s="1"/>
  <c r="C7" i="31" s="1"/>
  <c r="D1036" i="33" l="1"/>
  <c r="D1054" i="33"/>
  <c r="B14" i="29"/>
  <c r="B15" i="29" s="1"/>
  <c r="B17" i="31"/>
  <c r="C17" i="31" s="1"/>
  <c r="B21" i="31"/>
  <c r="C21" i="31" s="1"/>
  <c r="B22" i="31"/>
  <c r="C22" i="31" s="1"/>
  <c r="D22" i="31" s="1"/>
  <c r="B19" i="31"/>
  <c r="C19" i="31" s="1"/>
  <c r="D19" i="31" s="1"/>
  <c r="E19" i="31" s="1"/>
  <c r="B23" i="31"/>
  <c r="C23" i="31" s="1"/>
  <c r="D23" i="31" s="1"/>
  <c r="E23" i="31" s="1"/>
  <c r="B15" i="31"/>
  <c r="C15" i="31" s="1"/>
  <c r="D15" i="31" s="1"/>
  <c r="E15" i="31" s="1"/>
  <c r="B11" i="31"/>
  <c r="C11" i="31" s="1"/>
  <c r="D11" i="31" s="1"/>
  <c r="B13" i="31"/>
  <c r="C13" i="31" s="1"/>
  <c r="F2" i="31"/>
  <c r="A52" i="31" s="1"/>
  <c r="B6" i="31"/>
  <c r="D7" i="31"/>
  <c r="E7" i="31" s="1"/>
  <c r="D25" i="31"/>
  <c r="E25" i="31" s="1"/>
  <c r="B8" i="31"/>
  <c r="B10" i="31"/>
  <c r="B14" i="31"/>
  <c r="B18" i="31"/>
  <c r="B24" i="31"/>
  <c r="F3" i="31"/>
  <c r="B16" i="31"/>
  <c r="B20" i="31"/>
  <c r="A51" i="31"/>
  <c r="B4" i="31" l="1"/>
  <c r="D21" i="31"/>
  <c r="E21" i="31" s="1"/>
  <c r="D13" i="31"/>
  <c r="E13" i="31" s="1"/>
  <c r="F4" i="31"/>
  <c r="B9" i="31" s="1"/>
  <c r="C9" i="31" s="1"/>
  <c r="D9" i="31" s="1"/>
  <c r="B5" i="31"/>
  <c r="C10" i="31"/>
  <c r="E22" i="31"/>
  <c r="C8" i="31"/>
  <c r="D8" i="31" s="1"/>
  <c r="E8" i="31" s="1"/>
  <c r="D17" i="31"/>
  <c r="E17" i="31" s="1"/>
  <c r="C20" i="31"/>
  <c r="B12" i="31"/>
  <c r="C14" i="31"/>
  <c r="D14" i="31" s="1"/>
  <c r="E14" i="31" s="1"/>
  <c r="C16" i="31"/>
  <c r="C18" i="31"/>
  <c r="E11" i="31"/>
  <c r="C24" i="31"/>
  <c r="C6" i="31"/>
  <c r="D6" i="31" s="1"/>
  <c r="E6" i="31" s="1"/>
  <c r="D18" i="31" l="1"/>
  <c r="E18" i="31" s="1"/>
  <c r="D24" i="31"/>
  <c r="E24" i="31" s="1"/>
  <c r="D20" i="31"/>
  <c r="E20" i="31" s="1"/>
  <c r="D10" i="31"/>
  <c r="E10" i="31" s="1"/>
  <c r="D16" i="31"/>
  <c r="E16" i="31" s="1"/>
  <c r="C5" i="31"/>
  <c r="D5" i="31" s="1"/>
  <c r="C12" i="31"/>
  <c r="E9" i="31"/>
  <c r="E5" i="31" l="1"/>
  <c r="D12" i="31"/>
  <c r="E12" i="31" l="1"/>
  <c r="A849" i="19"/>
  <c r="A854" i="19" l="1"/>
  <c r="E490" i="19"/>
  <c r="Q15" i="29" l="1"/>
  <c r="H6" i="19"/>
  <c r="C411" i="19" l="1"/>
  <c r="E411" i="19" s="1"/>
  <c r="I166" i="19"/>
  <c r="I433" i="19" l="1"/>
  <c r="I235" i="19"/>
  <c r="I225" i="19"/>
  <c r="I71" i="19"/>
  <c r="F317" i="19" l="1"/>
  <c r="B329" i="19" s="1"/>
  <c r="D329" i="19" l="1"/>
  <c r="E329" i="19" s="1"/>
  <c r="J315" i="19"/>
  <c r="G12" i="20"/>
  <c r="E425" i="19" l="1"/>
  <c r="A879" i="19"/>
  <c r="J426" i="19" l="1"/>
  <c r="F424" i="19"/>
  <c r="A853" i="19" l="1"/>
  <c r="E493" i="19"/>
  <c r="A880" i="19"/>
  <c r="H495" i="19" l="1"/>
  <c r="F492" i="19"/>
  <c r="J494" i="19"/>
  <c r="G495" i="19"/>
  <c r="A495" i="19" s="1"/>
  <c r="G14" i="20"/>
  <c r="H14" i="20" s="1"/>
  <c r="G15" i="20"/>
  <c r="H15" i="20" s="1"/>
  <c r="G16" i="20"/>
  <c r="H16" i="20" s="1"/>
  <c r="G19" i="20"/>
  <c r="H19" i="20" s="1"/>
  <c r="F526" i="19" l="1"/>
  <c r="F527" i="19"/>
  <c r="J495" i="19"/>
  <c r="J16" i="20"/>
  <c r="K16" i="20" s="1"/>
  <c r="J15" i="20"/>
  <c r="K15" i="20" s="1"/>
  <c r="M15" i="20" s="1"/>
  <c r="C28" i="20" s="1"/>
  <c r="E28" i="20" s="1"/>
  <c r="J14" i="20"/>
  <c r="J19" i="20"/>
  <c r="K19" i="20" s="1"/>
  <c r="F493" i="19"/>
  <c r="H10" i="28"/>
  <c r="K14" i="20" l="1"/>
  <c r="M14" i="20" s="1"/>
  <c r="M16" i="20"/>
  <c r="C29" i="20" s="1"/>
  <c r="M19" i="20"/>
  <c r="C32" i="20" s="1"/>
  <c r="G28" i="20"/>
  <c r="S28" i="20" s="1"/>
  <c r="T28" i="20" s="1"/>
  <c r="W28" i="20" s="1"/>
  <c r="H19" i="28"/>
  <c r="G13" i="20"/>
  <c r="H13" i="20" s="1"/>
  <c r="C27" i="20" l="1"/>
  <c r="E29" i="20"/>
  <c r="G29" i="20"/>
  <c r="J13" i="20"/>
  <c r="K13" i="20" s="1"/>
  <c r="H28" i="20"/>
  <c r="M28" i="20" s="1"/>
  <c r="E32" i="20"/>
  <c r="G32" i="20"/>
  <c r="V28" i="20"/>
  <c r="U28" i="20"/>
  <c r="E27" i="20" l="1"/>
  <c r="G27" i="20"/>
  <c r="P28" i="20"/>
  <c r="O28" i="20"/>
  <c r="H29" i="20"/>
  <c r="M29" i="20" s="1"/>
  <c r="S29" i="20"/>
  <c r="T29" i="20" s="1"/>
  <c r="V29" i="20" s="1"/>
  <c r="M13" i="20"/>
  <c r="A1020" i="33"/>
  <c r="H32" i="20"/>
  <c r="M32" i="20" s="1"/>
  <c r="S32" i="20"/>
  <c r="A848" i="19"/>
  <c r="L5" i="20"/>
  <c r="K3" i="32" s="1"/>
  <c r="H27" i="20" l="1"/>
  <c r="M27" i="20" s="1"/>
  <c r="A1019" i="33" s="1"/>
  <c r="S27" i="20"/>
  <c r="T27" i="20" s="1"/>
  <c r="C26" i="20"/>
  <c r="E26" i="20" s="1"/>
  <c r="A1021" i="33"/>
  <c r="P29" i="20"/>
  <c r="O29" i="20"/>
  <c r="A1024" i="33"/>
  <c r="O32" i="20"/>
  <c r="P32" i="20"/>
  <c r="U29" i="20"/>
  <c r="W29" i="20"/>
  <c r="N31" i="32"/>
  <c r="T32" i="20"/>
  <c r="U27" i="20" l="1"/>
  <c r="V27" i="20"/>
  <c r="O27" i="20" s="1"/>
  <c r="W27" i="20"/>
  <c r="P27" i="20" s="1"/>
  <c r="G26" i="20"/>
  <c r="S26" i="20" s="1"/>
  <c r="T26" i="20" s="1"/>
  <c r="U26" i="20" s="1"/>
  <c r="W32" i="20"/>
  <c r="V32" i="20"/>
  <c r="U32" i="20"/>
  <c r="E422" i="19"/>
  <c r="I26" i="20"/>
  <c r="I27" i="20"/>
  <c r="I28" i="20"/>
  <c r="N28" i="32"/>
  <c r="I25" i="20"/>
  <c r="H12" i="20"/>
  <c r="J12" i="20" s="1"/>
  <c r="E1036" i="33" l="1"/>
  <c r="E1054" i="33"/>
  <c r="H26" i="20"/>
  <c r="M26" i="20" s="1"/>
  <c r="G822" i="19"/>
  <c r="G825" i="19"/>
  <c r="G751" i="19"/>
  <c r="G677" i="19"/>
  <c r="G541" i="19"/>
  <c r="G748" i="19"/>
  <c r="G674" i="19"/>
  <c r="G606" i="19"/>
  <c r="W26" i="20"/>
  <c r="V26" i="20"/>
  <c r="N26" i="32"/>
  <c r="N27" i="32"/>
  <c r="H427" i="19"/>
  <c r="G427" i="19"/>
  <c r="F459" i="19" l="1"/>
  <c r="F458" i="19"/>
  <c r="P26" i="20"/>
  <c r="O26" i="20"/>
  <c r="N25" i="32"/>
  <c r="A1018" i="33"/>
  <c r="A427" i="19"/>
  <c r="J427" i="19"/>
  <c r="H10" i="27"/>
  <c r="B11" i="16"/>
  <c r="B12" i="16"/>
  <c r="B13" i="16"/>
  <c r="B10" i="16"/>
  <c r="M6" i="16"/>
  <c r="K12" i="20"/>
  <c r="M12" i="20" s="1"/>
  <c r="F1054" i="33" s="1"/>
  <c r="F1036" i="33" l="1"/>
  <c r="M6" i="28"/>
  <c r="M6" i="34"/>
  <c r="M6" i="37"/>
  <c r="M6" i="38"/>
  <c r="M6" i="40"/>
  <c r="M6" i="27"/>
  <c r="D425" i="33"/>
  <c r="D817" i="33" s="1"/>
  <c r="C25" i="20"/>
  <c r="E25" i="20" s="1"/>
  <c r="G1036" i="33" l="1"/>
  <c r="G1054" i="33"/>
  <c r="F425" i="19"/>
  <c r="G25" i="20"/>
  <c r="H1054" i="33" l="1"/>
  <c r="H1036" i="33"/>
  <c r="H25" i="20"/>
  <c r="M25" i="20" s="1"/>
  <c r="S25" i="20"/>
  <c r="H19" i="27"/>
  <c r="G609" i="19" l="1"/>
  <c r="I1054" i="33"/>
  <c r="G538" i="19"/>
  <c r="G470" i="19"/>
  <c r="G473" i="19"/>
  <c r="I1036" i="33"/>
  <c r="G345" i="19"/>
  <c r="T25" i="20"/>
  <c r="K345" i="19" l="1"/>
  <c r="H13" i="33" s="1"/>
  <c r="A955" i="33"/>
  <c r="G1055" i="33"/>
  <c r="E1055" i="33"/>
  <c r="H1055" i="33"/>
  <c r="I1055" i="33"/>
  <c r="D1055" i="33"/>
  <c r="F1055" i="33"/>
  <c r="J345" i="19"/>
  <c r="B965" i="33"/>
  <c r="H825" i="19"/>
  <c r="H751" i="19"/>
  <c r="H677" i="19"/>
  <c r="H609" i="19"/>
  <c r="H541" i="19"/>
  <c r="A345" i="19"/>
  <c r="H473" i="19"/>
  <c r="A1017" i="33"/>
  <c r="C380" i="19"/>
  <c r="I1037" i="33"/>
  <c r="H1037" i="33"/>
  <c r="G1037" i="33"/>
  <c r="E1037" i="33"/>
  <c r="D1037" i="33"/>
  <c r="F1037" i="33"/>
  <c r="V25" i="20"/>
  <c r="O25" i="20" s="1"/>
  <c r="W25" i="20"/>
  <c r="P25" i="20" s="1"/>
  <c r="U25" i="20"/>
  <c r="D44" i="33"/>
  <c r="K43" i="16"/>
  <c r="C385" i="19" s="1"/>
  <c r="G883" i="19"/>
  <c r="G882" i="19"/>
  <c r="G881" i="19"/>
  <c r="G884" i="19"/>
  <c r="G879" i="19"/>
  <c r="G880" i="19"/>
  <c r="A1025" i="33" l="1"/>
  <c r="A1026" i="33" s="1"/>
  <c r="A1027" i="33" s="1"/>
  <c r="A1029" i="33" s="1"/>
  <c r="J825" i="19"/>
  <c r="K43" i="40"/>
  <c r="J541" i="19"/>
  <c r="K43" i="28"/>
  <c r="J609" i="19"/>
  <c r="K43" i="34"/>
  <c r="K43" i="37"/>
  <c r="J677" i="19"/>
  <c r="J751" i="19"/>
  <c r="K43" i="38"/>
  <c r="J473" i="19"/>
  <c r="K43" i="27"/>
  <c r="N24" i="32"/>
  <c r="B31" i="31"/>
  <c r="B41" i="31"/>
  <c r="B30" i="31"/>
  <c r="B26" i="31"/>
  <c r="B46" i="31"/>
  <c r="B28" i="31"/>
  <c r="B27" i="31"/>
  <c r="B29" i="31"/>
  <c r="B32" i="31" l="1"/>
  <c r="A55" i="31" s="1"/>
  <c r="C27" i="31"/>
  <c r="C26" i="31"/>
  <c r="C30" i="31"/>
  <c r="D30" i="31" s="1"/>
  <c r="E30" i="31" s="1"/>
  <c r="C29" i="31"/>
  <c r="D29" i="31" s="1"/>
  <c r="E29" i="31" s="1"/>
  <c r="C28" i="31"/>
  <c r="C31" i="31"/>
  <c r="D31" i="31" l="1"/>
  <c r="E31" i="31" s="1"/>
  <c r="D27" i="31"/>
  <c r="E27" i="31" s="1"/>
  <c r="D28" i="31"/>
  <c r="E28" i="31" s="1"/>
  <c r="D26" i="31"/>
  <c r="C32" i="31"/>
  <c r="D32" i="31" l="1"/>
  <c r="B37" i="31" s="1"/>
  <c r="C37" i="31" s="1"/>
  <c r="D37" i="31" s="1"/>
  <c r="E37" i="31" s="1"/>
  <c r="F37" i="31" s="1"/>
  <c r="G37" i="31" s="1"/>
  <c r="H37" i="31" s="1"/>
  <c r="E26" i="31"/>
  <c r="E32" i="31" s="1"/>
  <c r="B35" i="31"/>
  <c r="C35" i="31" s="1"/>
  <c r="D35" i="31" s="1"/>
  <c r="E35" i="31" s="1"/>
  <c r="F35" i="31" s="1"/>
  <c r="G35" i="31" s="1"/>
  <c r="H35" i="31" s="1"/>
  <c r="C33" i="31"/>
  <c r="B42" i="31" s="1"/>
  <c r="B38" i="31"/>
  <c r="C38" i="31" s="1"/>
  <c r="D38" i="31" s="1"/>
  <c r="E38" i="31" s="1"/>
  <c r="F38" i="31" s="1"/>
  <c r="G38" i="31" s="1"/>
  <c r="H38" i="31" s="1"/>
  <c r="D33" i="31" l="1"/>
  <c r="B43" i="31" s="1"/>
  <c r="F32" i="31"/>
  <c r="F33" i="31" s="1"/>
  <c r="B45" i="31" s="1"/>
  <c r="E33" i="31"/>
  <c r="B44" i="31" s="1"/>
  <c r="B36" i="31"/>
  <c r="C36" i="31" s="1"/>
  <c r="D36" i="31" s="1"/>
  <c r="E36" i="31" s="1"/>
  <c r="F36" i="31" s="1"/>
  <c r="G36" i="31" s="1"/>
  <c r="H36" i="31" s="1"/>
  <c r="B51" i="31" l="1"/>
  <c r="B55" i="31" s="1"/>
  <c r="C55" i="31" s="1"/>
  <c r="D55" i="31" s="1"/>
  <c r="E55" i="31" s="1"/>
  <c r="F55" i="31" s="1"/>
  <c r="G55" i="31" s="1"/>
  <c r="H55" i="31" s="1"/>
  <c r="B39" i="31"/>
  <c r="C39" i="31" s="1"/>
  <c r="D39" i="31" s="1"/>
  <c r="E39" i="31" s="1"/>
  <c r="F39" i="31" s="1"/>
  <c r="G39" i="31" s="1"/>
  <c r="H39" i="31" s="1"/>
  <c r="B48" i="31" s="1"/>
  <c r="Q11" i="29" s="1"/>
  <c r="B52" i="31" l="1"/>
  <c r="F48" i="31"/>
  <c r="E49" i="31" s="1"/>
  <c r="E48" i="31"/>
  <c r="C52" i="31" l="1"/>
  <c r="D52" i="31" s="1"/>
  <c r="E52" i="31" s="1"/>
  <c r="F52" i="31" s="1"/>
  <c r="G52" i="31" s="1"/>
  <c r="H52" i="31" s="1"/>
  <c r="E50" i="31"/>
  <c r="A53" i="31" l="1"/>
  <c r="B53" i="31" s="1"/>
  <c r="C53" i="31" s="1"/>
  <c r="D53" i="31" s="1"/>
  <c r="E53" i="31" s="1"/>
  <c r="F53" i="31" s="1"/>
  <c r="G53" i="31" s="1"/>
  <c r="H53" i="31" l="1"/>
  <c r="A54" i="31"/>
  <c r="B54" i="31" s="1"/>
  <c r="C54" i="31" s="1"/>
  <c r="D54" i="31" s="1"/>
  <c r="E54" i="31" s="1"/>
  <c r="F54" i="31" s="1"/>
  <c r="G54" i="31" s="1"/>
  <c r="H54" i="31" s="1"/>
  <c r="B8" i="28"/>
  <c r="B8" i="16"/>
  <c r="B8" i="27"/>
  <c r="B27" i="17"/>
  <c r="B73" i="17"/>
  <c r="B23" i="17"/>
  <c r="C21" i="17"/>
  <c r="A106" i="17"/>
  <c r="C124" i="17"/>
  <c r="B52" i="17"/>
  <c r="A86" i="17"/>
  <c r="A11" i="17"/>
  <c r="E12" i="17"/>
  <c r="E8" i="17"/>
  <c r="C76" i="17"/>
  <c r="A8" i="17"/>
  <c r="B17" i="17"/>
  <c r="C40" i="17"/>
  <c r="C47" i="17"/>
  <c r="C107" i="17"/>
  <c r="A125" i="17"/>
  <c r="C28" i="17"/>
  <c r="B78" i="17"/>
  <c r="A10" i="17"/>
  <c r="C72" i="17"/>
  <c r="B93" i="17"/>
  <c r="C87" i="17"/>
  <c r="B88" i="17"/>
  <c r="C106" i="17"/>
  <c r="C24" i="17"/>
  <c r="C127" i="17"/>
  <c r="B46" i="17"/>
  <c r="C82" i="17"/>
  <c r="A22" i="17"/>
  <c r="B85" i="17"/>
  <c r="C110" i="17"/>
  <c r="E28" i="17"/>
  <c r="E26" i="17"/>
  <c r="A32" i="17"/>
  <c r="C17" i="17"/>
  <c r="B87" i="17"/>
  <c r="A76" i="17"/>
  <c r="B77" i="17"/>
  <c r="B47" i="17"/>
  <c r="C73" i="17"/>
  <c r="B95" i="17"/>
  <c r="C43" i="17"/>
  <c r="C104" i="17"/>
  <c r="A24" i="17"/>
  <c r="C16" i="17"/>
  <c r="C123" i="17"/>
  <c r="E7" i="17"/>
  <c r="B76" i="17"/>
  <c r="C23" i="17"/>
  <c r="B61" i="17"/>
  <c r="A75" i="17"/>
  <c r="A74" i="17"/>
  <c r="A103" i="17"/>
  <c r="A91" i="17"/>
  <c r="A43" i="17"/>
  <c r="C22" i="17"/>
  <c r="A51" i="17"/>
  <c r="A13" i="17"/>
  <c r="A118" i="17"/>
  <c r="C18" i="17"/>
  <c r="C13" i="17"/>
  <c r="C103" i="17"/>
  <c r="C71" i="17"/>
  <c r="E21" i="17"/>
  <c r="B11" i="17"/>
  <c r="C116" i="17"/>
  <c r="B51" i="17"/>
  <c r="C94" i="17"/>
  <c r="A89" i="17"/>
  <c r="A21" i="17"/>
  <c r="B80" i="17"/>
  <c r="A20" i="17"/>
  <c r="A126" i="17"/>
  <c r="B12" i="17"/>
  <c r="A94" i="17"/>
  <c r="E9" i="17"/>
  <c r="A78" i="17"/>
  <c r="A87" i="17"/>
  <c r="B84" i="17"/>
  <c r="E15" i="17"/>
  <c r="A109" i="17"/>
  <c r="C15" i="17"/>
  <c r="B92" i="17"/>
  <c r="A45" i="17"/>
  <c r="B94" i="17"/>
  <c r="B45" i="17"/>
  <c r="B32" i="17"/>
  <c r="C29" i="17"/>
  <c r="C88" i="17"/>
  <c r="A79" i="17"/>
  <c r="B25" i="17"/>
  <c r="A83" i="17"/>
  <c r="E30" i="17"/>
  <c r="E18" i="17"/>
  <c r="B54" i="17"/>
  <c r="B40" i="17"/>
  <c r="B44" i="17"/>
  <c r="B74" i="17"/>
  <c r="C8" i="17"/>
  <c r="A95" i="17"/>
  <c r="A90" i="17"/>
  <c r="A112" i="17"/>
  <c r="A107" i="17"/>
  <c r="C80" i="17"/>
  <c r="A44" i="17"/>
  <c r="C81" i="17"/>
  <c r="B89" i="17"/>
  <c r="C112" i="17"/>
  <c r="E32" i="17"/>
  <c r="C20" i="17"/>
  <c r="C46" i="17"/>
  <c r="C122" i="17"/>
  <c r="A53" i="17"/>
  <c r="C75" i="17"/>
  <c r="C14" i="17"/>
  <c r="C125" i="17"/>
  <c r="C86" i="17"/>
  <c r="A26" i="17"/>
  <c r="B110" i="17"/>
  <c r="E20" i="17"/>
  <c r="B58" i="17"/>
  <c r="B43" i="17"/>
  <c r="E25" i="17"/>
  <c r="C30" i="17"/>
  <c r="C10" i="17"/>
  <c r="A28" i="17"/>
  <c r="A18" i="17"/>
  <c r="E17" i="17"/>
  <c r="A42" i="17"/>
  <c r="B42" i="17"/>
  <c r="B79" i="17"/>
  <c r="C105" i="17"/>
  <c r="C118" i="17"/>
  <c r="B39" i="17"/>
  <c r="E29" i="17"/>
  <c r="A9" i="17"/>
  <c r="A61" i="17"/>
  <c r="A46" i="17"/>
  <c r="B71" i="17"/>
  <c r="B82" i="17"/>
  <c r="B81" i="17"/>
  <c r="C25" i="17"/>
  <c r="B18" i="17"/>
  <c r="C109" i="17"/>
  <c r="A19" i="17"/>
  <c r="C12" i="17"/>
  <c r="B15" i="17"/>
  <c r="C111" i="17"/>
  <c r="A54" i="17"/>
  <c r="A92" i="17"/>
  <c r="A123" i="17"/>
  <c r="C85" i="17"/>
  <c r="A104" i="17"/>
  <c r="B125" i="17"/>
  <c r="C52" i="17"/>
  <c r="C84" i="17"/>
  <c r="C32" i="17"/>
  <c r="B24" i="17"/>
  <c r="A23" i="17"/>
  <c r="A127" i="17"/>
  <c r="A71" i="17"/>
  <c r="A12" i="17"/>
  <c r="A124" i="17"/>
  <c r="A85" i="17"/>
  <c r="B28" i="17"/>
  <c r="B133" i="17"/>
  <c r="C53" i="17"/>
  <c r="C50" i="17"/>
  <c r="B86" i="17"/>
  <c r="A29" i="17"/>
  <c r="A117" i="17"/>
  <c r="A72" i="17"/>
  <c r="C74" i="17"/>
  <c r="C79" i="17"/>
  <c r="B21" i="17"/>
  <c r="A93" i="17"/>
  <c r="B53" i="17"/>
  <c r="E24" i="17"/>
  <c r="A80" i="17"/>
  <c r="E19" i="17"/>
  <c r="B99" i="17"/>
  <c r="A15" i="17"/>
  <c r="A31" i="17"/>
  <c r="A30" i="17"/>
  <c r="C41" i="17"/>
  <c r="A73" i="17"/>
  <c r="A60" i="17"/>
  <c r="B41" i="17"/>
  <c r="A77" i="17"/>
  <c r="C7" i="17"/>
  <c r="C27" i="17"/>
  <c r="A14" i="17"/>
  <c r="C91" i="17"/>
  <c r="C126" i="17"/>
  <c r="C51" i="17"/>
  <c r="A111" i="17"/>
  <c r="A81" i="17"/>
  <c r="E16" i="17"/>
  <c r="C11" i="17"/>
  <c r="E10" i="17"/>
  <c r="C9" i="17"/>
  <c r="E23" i="17"/>
  <c r="C102" i="17"/>
  <c r="E22" i="17"/>
  <c r="B70" i="17"/>
  <c r="C54" i="17"/>
  <c r="C93" i="17"/>
  <c r="A47" i="17"/>
  <c r="C90" i="17"/>
  <c r="C108" i="17"/>
  <c r="C89" i="17"/>
  <c r="A40" i="17"/>
  <c r="C83" i="17"/>
  <c r="B91" i="17"/>
  <c r="B57" i="17"/>
  <c r="C44" i="17"/>
  <c r="A41" i="17"/>
  <c r="E13" i="17"/>
  <c r="A88" i="17"/>
  <c r="C45" i="17"/>
  <c r="A110" i="17"/>
  <c r="E14" i="17"/>
  <c r="A58" i="17"/>
  <c r="B50" i="17"/>
  <c r="C95" i="17"/>
  <c r="A59" i="17"/>
  <c r="C92" i="17"/>
  <c r="E27" i="17"/>
  <c r="C26" i="17"/>
  <c r="A16" i="17"/>
  <c r="B72" i="17"/>
  <c r="C70" i="17"/>
  <c r="E31" i="17"/>
  <c r="B75" i="17"/>
  <c r="A82" i="17"/>
  <c r="C77" i="17"/>
  <c r="A108" i="17"/>
  <c r="C42" i="17"/>
  <c r="E11" i="17"/>
  <c r="B83" i="17"/>
  <c r="A52" i="17"/>
  <c r="B90" i="17"/>
  <c r="A27" i="17"/>
  <c r="C31" i="17"/>
  <c r="C78" i="17"/>
  <c r="C19" i="17"/>
  <c r="A105" i="17"/>
  <c r="A25" i="17"/>
  <c r="A84" i="17"/>
  <c r="C117" i="17"/>
  <c r="A17" i="17"/>
  <c r="B56" i="31" l="1"/>
  <c r="Q10" i="29" s="1"/>
  <c r="M97" i="19"/>
  <c r="N97" i="19" s="1"/>
  <c r="O80" i="19"/>
  <c r="P80" i="19" s="1"/>
  <c r="O83" i="19"/>
  <c r="P83" i="19" s="1"/>
  <c r="O82" i="19"/>
  <c r="P82" i="19" s="1"/>
  <c r="O84" i="19"/>
  <c r="P84" i="19" s="1"/>
  <c r="O79" i="19"/>
  <c r="P79" i="19" s="1"/>
  <c r="O85" i="19"/>
  <c r="P85" i="19" s="1"/>
  <c r="O87" i="19"/>
  <c r="P87" i="19" s="1"/>
  <c r="O81" i="19"/>
  <c r="P81" i="19" s="1"/>
  <c r="O86" i="19"/>
  <c r="P86" i="19" s="1"/>
  <c r="O184" i="19"/>
  <c r="P184" i="19" s="1"/>
  <c r="O179" i="19"/>
  <c r="P179" i="19" s="1"/>
  <c r="O180" i="19"/>
  <c r="P180" i="19" s="1"/>
  <c r="O188" i="19"/>
  <c r="P188" i="19" s="1"/>
  <c r="O186" i="19"/>
  <c r="P186" i="19" s="1"/>
  <c r="O185" i="19"/>
  <c r="P185" i="19" s="1"/>
  <c r="O182" i="19"/>
  <c r="P182" i="19" s="1"/>
  <c r="O183" i="19"/>
  <c r="P183" i="19" s="1"/>
  <c r="O181" i="19"/>
  <c r="P181" i="19" s="1"/>
  <c r="O187" i="19"/>
  <c r="P187" i="19" s="1"/>
  <c r="M198" i="19"/>
  <c r="N198" i="19" s="1"/>
  <c r="M200" i="19"/>
  <c r="N200" i="19" s="1"/>
  <c r="M202" i="19"/>
  <c r="N202" i="19" s="1"/>
  <c r="M201" i="19"/>
  <c r="N201" i="19" s="1"/>
  <c r="M199" i="19"/>
  <c r="N199" i="19" s="1"/>
  <c r="M173" i="19"/>
  <c r="N173" i="19" s="1"/>
  <c r="M172" i="19"/>
  <c r="N172" i="19" s="1"/>
  <c r="O41" i="19"/>
  <c r="P41" i="19" s="1"/>
  <c r="O47" i="19"/>
  <c r="P47" i="19" s="1"/>
  <c r="O48" i="19"/>
  <c r="P48" i="19" s="1"/>
  <c r="O52" i="19"/>
  <c r="P52" i="19" s="1"/>
  <c r="O51" i="19"/>
  <c r="P51" i="19" s="1"/>
  <c r="O62" i="19"/>
  <c r="P62" i="19" s="1"/>
  <c r="O54" i="19"/>
  <c r="P54" i="19" s="1"/>
  <c r="O40" i="19"/>
  <c r="P40" i="19" s="1"/>
  <c r="O39" i="19"/>
  <c r="P39" i="19" s="1"/>
  <c r="O43" i="19"/>
  <c r="P43" i="19" s="1"/>
  <c r="O42" i="19"/>
  <c r="P42" i="19" s="1"/>
  <c r="O55" i="19"/>
  <c r="P55" i="19" s="1"/>
  <c r="O50" i="19"/>
  <c r="P50" i="19" s="1"/>
  <c r="O58" i="19"/>
  <c r="P58" i="19" s="1"/>
  <c r="O37" i="19"/>
  <c r="P37" i="19" s="1"/>
  <c r="O61" i="19"/>
  <c r="P61" i="19" s="1"/>
  <c r="O38" i="19"/>
  <c r="P38" i="19" s="1"/>
  <c r="O57" i="19"/>
  <c r="P57" i="19" s="1"/>
  <c r="O59" i="19"/>
  <c r="P59" i="19" s="1"/>
  <c r="O45" i="19"/>
  <c r="P45" i="19" s="1"/>
  <c r="O56" i="19"/>
  <c r="P56" i="19" s="1"/>
  <c r="O60" i="19"/>
  <c r="P60" i="19" s="1"/>
  <c r="O49" i="19"/>
  <c r="P49" i="19" s="1"/>
  <c r="O46" i="19"/>
  <c r="P46" i="19" s="1"/>
  <c r="O53" i="19"/>
  <c r="P53" i="19" s="1"/>
  <c r="O44" i="19"/>
  <c r="P44" i="19" s="1"/>
  <c r="M94" i="19"/>
  <c r="N94" i="19" s="1"/>
  <c r="M95" i="19"/>
  <c r="N95" i="19" s="1"/>
  <c r="M96" i="19"/>
  <c r="N96" i="19" s="1"/>
  <c r="M108" i="19"/>
  <c r="N108" i="19" s="1"/>
  <c r="M106" i="19"/>
  <c r="N106" i="19" s="1"/>
  <c r="M105" i="19"/>
  <c r="N105" i="19" s="1"/>
  <c r="M107" i="19"/>
  <c r="N107" i="19" s="1"/>
  <c r="O138" i="19"/>
  <c r="P138" i="19" s="1"/>
  <c r="O136" i="19"/>
  <c r="P136" i="19" s="1"/>
  <c r="O137" i="19"/>
  <c r="P137" i="19" s="1"/>
  <c r="O143" i="19"/>
  <c r="P143" i="19" s="1"/>
  <c r="O142" i="19"/>
  <c r="P142" i="19" s="1"/>
  <c r="O141" i="19"/>
  <c r="P141" i="19" s="1"/>
  <c r="O144" i="19"/>
  <c r="P144" i="19" s="1"/>
  <c r="O140" i="19"/>
  <c r="P140" i="19" s="1"/>
  <c r="O139" i="19"/>
  <c r="P139" i="19" s="1"/>
  <c r="O131" i="19"/>
  <c r="P131" i="19" s="1"/>
  <c r="O129" i="19"/>
  <c r="O120" i="19"/>
  <c r="P120" i="19" s="1"/>
  <c r="O124" i="19"/>
  <c r="P124" i="19" s="1"/>
  <c r="O122" i="19"/>
  <c r="P122" i="19" s="1"/>
  <c r="O121" i="19"/>
  <c r="P121" i="19" s="1"/>
  <c r="O125" i="19"/>
  <c r="P125" i="19" s="1"/>
  <c r="O133" i="19"/>
  <c r="P133" i="19" s="1"/>
  <c r="O135" i="19"/>
  <c r="P135" i="19" s="1"/>
  <c r="O123" i="19"/>
  <c r="P123" i="19" s="1"/>
  <c r="O134" i="19"/>
  <c r="P134" i="19" s="1"/>
  <c r="O127" i="19"/>
  <c r="P127" i="19" s="1"/>
  <c r="O128" i="19"/>
  <c r="P128" i="19" s="1"/>
  <c r="O130" i="19"/>
  <c r="P130" i="19" s="1"/>
  <c r="O132" i="19"/>
  <c r="P132" i="19" s="1"/>
  <c r="O126" i="19"/>
  <c r="P126" i="19" s="1"/>
  <c r="B697" i="33"/>
  <c r="D18" i="17"/>
  <c r="F18" i="17" s="1"/>
  <c r="D24" i="17"/>
  <c r="F24" i="17" s="1"/>
  <c r="D15" i="17"/>
  <c r="F15" i="17" s="1"/>
  <c r="D28" i="17"/>
  <c r="F28" i="17" s="1"/>
  <c r="D110" i="17"/>
  <c r="D25" i="17"/>
  <c r="F25" i="17" s="1"/>
  <c r="D32" i="17"/>
  <c r="F32" i="17" s="1"/>
  <c r="D27" i="17"/>
  <c r="F27" i="17" s="1"/>
  <c r="D21" i="17"/>
  <c r="F21" i="17" s="1"/>
  <c r="D12" i="17"/>
  <c r="F12" i="17" s="1"/>
  <c r="D125" i="17"/>
  <c r="D17" i="17"/>
  <c r="F17" i="17" s="1"/>
  <c r="D11" i="17"/>
  <c r="F11" i="17" s="1"/>
  <c r="D23" i="17"/>
  <c r="F23" i="17" s="1"/>
  <c r="B108" i="17"/>
  <c r="B102" i="17"/>
  <c r="B112" i="17"/>
  <c r="B109" i="17"/>
  <c r="B126" i="17"/>
  <c r="B103" i="17"/>
  <c r="B29" i="17"/>
  <c r="B14" i="17"/>
  <c r="B116" i="17"/>
  <c r="H14" i="29" l="1"/>
  <c r="Q16" i="29"/>
  <c r="J237" i="19" s="1"/>
  <c r="I5" i="17"/>
  <c r="O8" i="38"/>
  <c r="H34" i="19"/>
  <c r="J32" i="19" s="1"/>
  <c r="O8" i="37"/>
  <c r="O8" i="34"/>
  <c r="D102" i="17"/>
  <c r="D103" i="17"/>
  <c r="D112" i="17"/>
  <c r="D126" i="17"/>
  <c r="D14" i="17"/>
  <c r="F14" i="17" s="1"/>
  <c r="D108" i="17"/>
  <c r="D29" i="17"/>
  <c r="F29" i="17" s="1"/>
  <c r="D109" i="17"/>
  <c r="D116" i="17"/>
  <c r="O8" i="27"/>
  <c r="O8" i="28"/>
  <c r="O8" i="16"/>
  <c r="B20" i="17"/>
  <c r="B10" i="17"/>
  <c r="B8" i="17"/>
  <c r="B31" i="17"/>
  <c r="B13" i="17"/>
  <c r="B124" i="17"/>
  <c r="B16" i="17"/>
  <c r="B26" i="17"/>
  <c r="B123" i="17"/>
  <c r="B111" i="17"/>
  <c r="B127" i="17"/>
  <c r="B30" i="17"/>
  <c r="B122" i="17"/>
  <c r="B118" i="17"/>
  <c r="B104" i="17"/>
  <c r="B9" i="17"/>
  <c r="B105" i="17"/>
  <c r="A39" i="17"/>
  <c r="B106" i="17"/>
  <c r="B22" i="17"/>
  <c r="B117" i="17"/>
  <c r="B19" i="17"/>
  <c r="B107" i="17"/>
  <c r="J134" i="19" l="1"/>
  <c r="Q5" i="19"/>
  <c r="Q4" i="19"/>
  <c r="Q2" i="19"/>
  <c r="Q3" i="19"/>
  <c r="N18" i="29"/>
  <c r="N23" i="29" s="1"/>
  <c r="A17" i="29" s="1"/>
  <c r="I45" i="19"/>
  <c r="J46" i="19" s="1"/>
  <c r="D14" i="29"/>
  <c r="H6" i="29"/>
  <c r="B22" i="29"/>
  <c r="J24" i="33"/>
  <c r="T94" i="19"/>
  <c r="U94" i="19" s="1"/>
  <c r="T93" i="19"/>
  <c r="U93" i="19" s="1"/>
  <c r="T91" i="19"/>
  <c r="U91" i="19" s="1"/>
  <c r="T92" i="19"/>
  <c r="U92" i="19" s="1"/>
  <c r="T90" i="19"/>
  <c r="U90" i="19" s="1"/>
  <c r="E797" i="19"/>
  <c r="E581" i="19"/>
  <c r="E513" i="19"/>
  <c r="E445" i="19"/>
  <c r="E798" i="19"/>
  <c r="O78" i="19"/>
  <c r="P78" i="19" s="1"/>
  <c r="E723" i="19"/>
  <c r="E649" i="19"/>
  <c r="E724" i="19"/>
  <c r="E650" i="19"/>
  <c r="E582" i="19"/>
  <c r="E514" i="19"/>
  <c r="G90" i="19"/>
  <c r="G94" i="19"/>
  <c r="G92" i="19"/>
  <c r="G93" i="19"/>
  <c r="G91" i="19"/>
  <c r="C425" i="33"/>
  <c r="N3" i="19"/>
  <c r="N2" i="19"/>
  <c r="E446" i="19"/>
  <c r="D20" i="17"/>
  <c r="F20" i="17" s="1"/>
  <c r="D13" i="17"/>
  <c r="F13" i="17" s="1"/>
  <c r="D117" i="17"/>
  <c r="D9" i="17"/>
  <c r="F9" i="17" s="1"/>
  <c r="D10" i="17"/>
  <c r="F10" i="17" s="1"/>
  <c r="D26" i="17"/>
  <c r="F26" i="17" s="1"/>
  <c r="D22" i="17"/>
  <c r="F22" i="17" s="1"/>
  <c r="D31" i="17"/>
  <c r="F31" i="17" s="1"/>
  <c r="D105" i="17"/>
  <c r="D106" i="17"/>
  <c r="D127" i="17"/>
  <c r="D118" i="17"/>
  <c r="D122" i="17"/>
  <c r="D30" i="17"/>
  <c r="F30" i="17" s="1"/>
  <c r="D111" i="17"/>
  <c r="D104" i="17"/>
  <c r="D16" i="17"/>
  <c r="F16" i="17" s="1"/>
  <c r="D8" i="17"/>
  <c r="F8" i="17" s="1"/>
  <c r="D107" i="17"/>
  <c r="D123" i="17"/>
  <c r="D19" i="17"/>
  <c r="F19" i="17" s="1"/>
  <c r="D124" i="17"/>
  <c r="A102" i="17"/>
  <c r="L6" i="19" l="1"/>
  <c r="L27" i="19"/>
  <c r="B23" i="29"/>
  <c r="D12" i="19" s="1"/>
  <c r="A3" i="32" s="1"/>
  <c r="B24" i="29"/>
  <c r="D13" i="19" s="1"/>
  <c r="A4" i="32" s="1"/>
  <c r="H11" i="19"/>
  <c r="U95" i="19"/>
  <c r="J84" i="19" s="1"/>
  <c r="J797" i="19"/>
  <c r="D171" i="19"/>
  <c r="O178" i="19"/>
  <c r="P178" i="19" s="1"/>
  <c r="P129" i="19"/>
  <c r="J513" i="19"/>
  <c r="J723" i="19"/>
  <c r="J649" i="19"/>
  <c r="J581" i="19"/>
  <c r="J445" i="19"/>
  <c r="F425" i="33"/>
  <c r="G425" i="33"/>
  <c r="G426" i="33" s="1"/>
  <c r="C545" i="33"/>
  <c r="H186" i="19"/>
  <c r="H188" i="19"/>
  <c r="G188" i="19"/>
  <c r="G186" i="19"/>
  <c r="H185" i="19"/>
  <c r="G187" i="19"/>
  <c r="H184" i="19"/>
  <c r="H187" i="19"/>
  <c r="G185" i="19"/>
  <c r="G184" i="19"/>
  <c r="M87" i="19"/>
  <c r="M82" i="19"/>
  <c r="M80" i="19"/>
  <c r="M81" i="19"/>
  <c r="M85" i="19"/>
  <c r="M86" i="19"/>
  <c r="M178" i="19"/>
  <c r="A122" i="17"/>
  <c r="M84" i="19"/>
  <c r="M83" i="19"/>
  <c r="D92" i="19" l="1"/>
  <c r="U83" i="19" s="1"/>
  <c r="O14" i="16" s="1"/>
  <c r="E188" i="19"/>
  <c r="K188" i="19" s="1"/>
  <c r="E45" i="19"/>
  <c r="D52" i="19" s="1"/>
  <c r="E185" i="19"/>
  <c r="K185" i="19" s="1"/>
  <c r="D93" i="19"/>
  <c r="J93" i="19" s="1"/>
  <c r="E187" i="19"/>
  <c r="K187" i="19" s="1"/>
  <c r="E186" i="19"/>
  <c r="K186" i="19" s="1"/>
  <c r="D90" i="19"/>
  <c r="J90" i="19" s="1"/>
  <c r="D94" i="19"/>
  <c r="J94" i="19" s="1"/>
  <c r="D91" i="19"/>
  <c r="U81" i="19" s="1"/>
  <c r="O12" i="16" s="1"/>
  <c r="E184" i="19"/>
  <c r="K184" i="19" s="1"/>
  <c r="K4" i="16"/>
  <c r="K4" i="28" s="1"/>
  <c r="A5" i="20"/>
  <c r="A6" i="20"/>
  <c r="K5" i="16"/>
  <c r="K5" i="38" s="1"/>
  <c r="G198" i="19"/>
  <c r="H199" i="19"/>
  <c r="H197" i="19"/>
  <c r="G197" i="19"/>
  <c r="G199" i="19"/>
  <c r="H196" i="19"/>
  <c r="G196" i="19"/>
  <c r="H198" i="19"/>
  <c r="H195" i="19"/>
  <c r="G195" i="19"/>
  <c r="E198" i="19"/>
  <c r="K198" i="19" s="1"/>
  <c r="E197" i="19"/>
  <c r="K197" i="19" s="1"/>
  <c r="E199" i="19"/>
  <c r="K199" i="19" s="1"/>
  <c r="E196" i="19"/>
  <c r="K196" i="19" s="1"/>
  <c r="E195" i="19"/>
  <c r="K195" i="19" s="1"/>
  <c r="U82" i="19"/>
  <c r="O13" i="16" s="1"/>
  <c r="N87" i="19"/>
  <c r="N81" i="19"/>
  <c r="N83" i="19"/>
  <c r="N85" i="19"/>
  <c r="N84" i="19"/>
  <c r="N80" i="19"/>
  <c r="N82" i="19"/>
  <c r="N86" i="19"/>
  <c r="M197" i="19"/>
  <c r="N197" i="19" s="1"/>
  <c r="A427" i="33"/>
  <c r="A426" i="33"/>
  <c r="G189" i="19"/>
  <c r="C698" i="33" s="1"/>
  <c r="A708" i="33" s="1"/>
  <c r="H189" i="19"/>
  <c r="A190" i="19" s="1"/>
  <c r="M186" i="19"/>
  <c r="M185" i="19"/>
  <c r="M182" i="19"/>
  <c r="M189" i="19"/>
  <c r="M180" i="19"/>
  <c r="M183" i="19"/>
  <c r="M184" i="19"/>
  <c r="M181" i="19"/>
  <c r="M79" i="19"/>
  <c r="M188" i="19"/>
  <c r="M179" i="19"/>
  <c r="M187" i="19"/>
  <c r="C157" i="17"/>
  <c r="E55" i="19" l="1"/>
  <c r="A33" i="19" s="1"/>
  <c r="J92" i="19"/>
  <c r="A46" i="19"/>
  <c r="U80" i="19"/>
  <c r="O11" i="16" s="1"/>
  <c r="K4" i="34"/>
  <c r="K4" i="40"/>
  <c r="AD67" i="19"/>
  <c r="AA67" i="19" s="1"/>
  <c r="K5" i="34"/>
  <c r="K4" i="37"/>
  <c r="K4" i="38"/>
  <c r="J91" i="19"/>
  <c r="K5" i="40"/>
  <c r="K4" i="27"/>
  <c r="P93" i="19"/>
  <c r="P109" i="19" s="1"/>
  <c r="K5" i="37"/>
  <c r="K5" i="27"/>
  <c r="K5" i="28"/>
  <c r="J147" i="19"/>
  <c r="J148" i="19"/>
  <c r="N204" i="19"/>
  <c r="N205" i="19"/>
  <c r="A56" i="19"/>
  <c r="N79" i="19"/>
  <c r="AD69" i="19"/>
  <c r="AC68" i="19" s="1"/>
  <c r="N182" i="19"/>
  <c r="N188" i="19"/>
  <c r="N187" i="19"/>
  <c r="N189" i="19"/>
  <c r="N181" i="19"/>
  <c r="N184" i="19"/>
  <c r="N180" i="19"/>
  <c r="N183" i="19"/>
  <c r="N179" i="19"/>
  <c r="N186" i="19"/>
  <c r="N185" i="19"/>
  <c r="O227" i="19"/>
  <c r="D741" i="33"/>
  <c r="E741" i="33"/>
  <c r="A428" i="33"/>
  <c r="G57" i="19"/>
  <c r="G200" i="19"/>
  <c r="D755" i="33" s="1"/>
  <c r="H200" i="19"/>
  <c r="A201" i="19" s="1"/>
  <c r="E157" i="17"/>
  <c r="A50" i="17"/>
  <c r="O218" i="19" l="1"/>
  <c r="A669" i="33"/>
  <c r="A470" i="33"/>
  <c r="A484" i="33"/>
  <c r="E141" i="19"/>
  <c r="J142" i="19" s="1"/>
  <c r="J140" i="19"/>
  <c r="H57" i="19"/>
  <c r="C69" i="19" s="1"/>
  <c r="J55" i="19"/>
  <c r="H7" i="33" s="1"/>
  <c r="J57" i="19"/>
  <c r="D95" i="19"/>
  <c r="A742" i="33"/>
  <c r="G101" i="19"/>
  <c r="T102" i="19"/>
  <c r="U102" i="19" s="1"/>
  <c r="T103" i="19"/>
  <c r="U103" i="19" s="1"/>
  <c r="T101" i="19"/>
  <c r="U101" i="19" s="1"/>
  <c r="G102" i="19"/>
  <c r="G103" i="19"/>
  <c r="D103" i="19"/>
  <c r="J103" i="19" s="1"/>
  <c r="D102" i="19"/>
  <c r="J102" i="19" s="1"/>
  <c r="D101" i="19"/>
  <c r="AE69" i="19"/>
  <c r="AF69" i="19" s="1"/>
  <c r="E801" i="19"/>
  <c r="P801" i="19" s="1"/>
  <c r="C485" i="33"/>
  <c r="A492" i="33" s="1"/>
  <c r="E585" i="19"/>
  <c r="P585" i="19" s="1"/>
  <c r="E517" i="19"/>
  <c r="P517" i="19" s="1"/>
  <c r="E449" i="19"/>
  <c r="P449" i="19" s="1"/>
  <c r="E802" i="19"/>
  <c r="E727" i="19"/>
  <c r="P727" i="19" s="1"/>
  <c r="E653" i="19"/>
  <c r="P653" i="19" s="1"/>
  <c r="E755" i="33"/>
  <c r="A756" i="33" s="1"/>
  <c r="O228" i="19"/>
  <c r="M93" i="19"/>
  <c r="N93" i="19" s="1"/>
  <c r="E728" i="19"/>
  <c r="E654" i="19"/>
  <c r="E586" i="19"/>
  <c r="E518" i="19"/>
  <c r="E61" i="19"/>
  <c r="J195" i="19" s="1"/>
  <c r="E450" i="19"/>
  <c r="E256" i="19"/>
  <c r="A57" i="17"/>
  <c r="A486" i="33" l="1"/>
  <c r="A57" i="19"/>
  <c r="J124" i="19"/>
  <c r="J175" i="19"/>
  <c r="J208" i="19"/>
  <c r="H61" i="19"/>
  <c r="C68" i="19" s="1"/>
  <c r="J184" i="19"/>
  <c r="J174" i="19"/>
  <c r="J176" i="19"/>
  <c r="J137" i="19"/>
  <c r="J123" i="19"/>
  <c r="J129" i="19"/>
  <c r="D109" i="19"/>
  <c r="J109" i="19" s="1"/>
  <c r="D108" i="19"/>
  <c r="J108" i="19" s="1"/>
  <c r="D107" i="19"/>
  <c r="J107" i="19" s="1"/>
  <c r="U104" i="19"/>
  <c r="J98" i="19" s="1"/>
  <c r="P110" i="19"/>
  <c r="J101" i="19"/>
  <c r="N100" i="19"/>
  <c r="N99" i="19"/>
  <c r="E805" i="19"/>
  <c r="P802" i="19" s="1"/>
  <c r="J801" i="19"/>
  <c r="E589" i="19"/>
  <c r="E657" i="19"/>
  <c r="E521" i="19"/>
  <c r="E453" i="19"/>
  <c r="P450" i="19" s="1"/>
  <c r="E731" i="19"/>
  <c r="P728" i="19" s="1"/>
  <c r="C536" i="33"/>
  <c r="J585" i="19"/>
  <c r="J653" i="19"/>
  <c r="M104" i="19"/>
  <c r="N104" i="19" s="1"/>
  <c r="J727" i="19"/>
  <c r="J517" i="19"/>
  <c r="J449" i="19"/>
  <c r="A70" i="17"/>
  <c r="E137" i="19" l="1"/>
  <c r="AD68" i="19"/>
  <c r="AF67" i="19" s="1"/>
  <c r="H63" i="19"/>
  <c r="F63" i="19"/>
  <c r="C67" i="19" s="1"/>
  <c r="A499" i="33" s="1"/>
  <c r="O13" i="37"/>
  <c r="P654" i="19"/>
  <c r="F137" i="19"/>
  <c r="E149" i="19"/>
  <c r="E147" i="19"/>
  <c r="E148" i="19"/>
  <c r="P586" i="19"/>
  <c r="P518" i="19"/>
  <c r="N110" i="19"/>
  <c r="N111" i="19"/>
  <c r="G792" i="19"/>
  <c r="E792" i="19"/>
  <c r="F792" i="19" s="1"/>
  <c r="G718" i="19"/>
  <c r="E718" i="19"/>
  <c r="F718" i="19" s="1"/>
  <c r="G644" i="19"/>
  <c r="E644" i="19"/>
  <c r="F644" i="19" s="1"/>
  <c r="G576" i="19"/>
  <c r="E576" i="19"/>
  <c r="F576" i="19" s="1"/>
  <c r="G508" i="19"/>
  <c r="E508" i="19"/>
  <c r="F508" i="19" s="1"/>
  <c r="E440" i="19"/>
  <c r="F440" i="19" s="1"/>
  <c r="E128" i="19"/>
  <c r="E127" i="19"/>
  <c r="E126" i="19"/>
  <c r="E129" i="19"/>
  <c r="E125" i="19"/>
  <c r="E124" i="19"/>
  <c r="E123" i="19"/>
  <c r="G440" i="19"/>
  <c r="O12" i="37"/>
  <c r="O13" i="27"/>
  <c r="O12" i="27"/>
  <c r="O119" i="19"/>
  <c r="P119" i="19" s="1"/>
  <c r="G149" i="19"/>
  <c r="H149" i="19" s="1"/>
  <c r="G148" i="19"/>
  <c r="H148" i="19" s="1"/>
  <c r="G147" i="19"/>
  <c r="G129" i="19"/>
  <c r="H129" i="19" s="1"/>
  <c r="G128" i="19"/>
  <c r="H128" i="19" s="1"/>
  <c r="G127" i="19"/>
  <c r="H127" i="19" s="1"/>
  <c r="G126" i="19"/>
  <c r="H126" i="19" s="1"/>
  <c r="G125" i="19"/>
  <c r="H125" i="19" s="1"/>
  <c r="G124" i="19"/>
  <c r="H124" i="19" s="1"/>
  <c r="G123" i="19"/>
  <c r="H123" i="19" s="1"/>
  <c r="M119" i="19"/>
  <c r="C37" i="17"/>
  <c r="D50" i="33" l="1"/>
  <c r="G72" i="33" s="1"/>
  <c r="G275" i="19"/>
  <c r="A275" i="19"/>
  <c r="AA68" i="19"/>
  <c r="AE67" i="19"/>
  <c r="AE68" i="19"/>
  <c r="AF68" i="19" s="1"/>
  <c r="O213" i="19"/>
  <c r="O215" i="19"/>
  <c r="O214" i="19"/>
  <c r="N178" i="19"/>
  <c r="N119" i="19"/>
  <c r="H792" i="19"/>
  <c r="H718" i="19"/>
  <c r="H644" i="19"/>
  <c r="H576" i="19"/>
  <c r="H508" i="19"/>
  <c r="H440" i="19"/>
  <c r="C70" i="19"/>
  <c r="F148" i="19"/>
  <c r="K148" i="19" s="1"/>
  <c r="F149" i="19"/>
  <c r="K149" i="19" s="1"/>
  <c r="F147" i="19"/>
  <c r="C87" i="19"/>
  <c r="H147" i="19"/>
  <c r="H150" i="19" s="1"/>
  <c r="F127" i="19"/>
  <c r="K127" i="19" s="1"/>
  <c r="F128" i="19"/>
  <c r="K128" i="19" s="1"/>
  <c r="F129" i="19"/>
  <c r="K129" i="19" s="1"/>
  <c r="F124" i="19"/>
  <c r="K124" i="19" s="1"/>
  <c r="F125" i="19"/>
  <c r="K125" i="19" s="1"/>
  <c r="F126" i="19"/>
  <c r="K126" i="19" s="1"/>
  <c r="F123" i="19"/>
  <c r="H130" i="19"/>
  <c r="A645" i="33" s="1"/>
  <c r="M122" i="19"/>
  <c r="M142" i="19"/>
  <c r="M136" i="19"/>
  <c r="M130" i="19"/>
  <c r="AB68" i="19" l="1"/>
  <c r="K135" i="19"/>
  <c r="C95" i="19"/>
  <c r="H87" i="19"/>
  <c r="P213" i="19"/>
  <c r="P215" i="19"/>
  <c r="F221" i="19"/>
  <c r="N190" i="19"/>
  <c r="N191" i="19"/>
  <c r="N136" i="19"/>
  <c r="N142" i="19"/>
  <c r="N130" i="19"/>
  <c r="N122" i="19"/>
  <c r="P9" i="40"/>
  <c r="K123" i="19"/>
  <c r="F152" i="19"/>
  <c r="K147" i="19"/>
  <c r="J87" i="19"/>
  <c r="A632" i="33"/>
  <c r="A633" i="33" s="1"/>
  <c r="F132" i="19"/>
  <c r="F130" i="19"/>
  <c r="P9" i="38"/>
  <c r="P9" i="34"/>
  <c r="P9" i="37"/>
  <c r="P9" i="28"/>
  <c r="P9" i="27"/>
  <c r="P9" i="16"/>
  <c r="A534" i="33" s="1"/>
  <c r="M135" i="19"/>
  <c r="M123" i="19"/>
  <c r="M128" i="19"/>
  <c r="M143" i="19"/>
  <c r="C158" i="17"/>
  <c r="M133" i="19"/>
  <c r="M126" i="19"/>
  <c r="M139" i="19"/>
  <c r="M134" i="19"/>
  <c r="M125" i="19"/>
  <c r="M137" i="19"/>
  <c r="M132" i="19"/>
  <c r="M140" i="19"/>
  <c r="M124" i="19"/>
  <c r="M138" i="19"/>
  <c r="M131" i="19"/>
  <c r="M127" i="19"/>
  <c r="M145" i="19"/>
  <c r="M121" i="19"/>
  <c r="M129" i="19"/>
  <c r="M144" i="19"/>
  <c r="M120" i="19"/>
  <c r="M141" i="19"/>
  <c r="A227" i="19" l="1"/>
  <c r="M361" i="19"/>
  <c r="J95" i="19"/>
  <c r="H9" i="33" s="1"/>
  <c r="A228" i="19"/>
  <c r="D321" i="19"/>
  <c r="F321" i="19" s="1"/>
  <c r="P217" i="19"/>
  <c r="A790" i="33"/>
  <c r="N132" i="19"/>
  <c r="N138" i="19"/>
  <c r="N134" i="19"/>
  <c r="N123" i="19"/>
  <c r="N140" i="19"/>
  <c r="N124" i="19"/>
  <c r="N125" i="19"/>
  <c r="N135" i="19"/>
  <c r="N121" i="19"/>
  <c r="N129" i="19"/>
  <c r="N141" i="19"/>
  <c r="N126" i="19"/>
  <c r="N137" i="19"/>
  <c r="N128" i="19"/>
  <c r="N120" i="19"/>
  <c r="N144" i="19"/>
  <c r="N139" i="19"/>
  <c r="N143" i="19"/>
  <c r="N131" i="19"/>
  <c r="N145" i="19"/>
  <c r="N127" i="19"/>
  <c r="N133" i="19"/>
  <c r="H273" i="19"/>
  <c r="D242" i="19"/>
  <c r="A113" i="19"/>
  <c r="P19" i="16"/>
  <c r="A529" i="33" s="1"/>
  <c r="F175" i="19"/>
  <c r="F176" i="19"/>
  <c r="F174" i="19"/>
  <c r="C243" i="19"/>
  <c r="E158" i="17"/>
  <c r="C156" i="17"/>
  <c r="N361" i="19" l="1"/>
  <c r="N363" i="19" s="1"/>
  <c r="N146" i="19"/>
  <c r="N147" i="19"/>
  <c r="B330" i="19"/>
  <c r="H327" i="19"/>
  <c r="J319" i="19"/>
  <c r="A535" i="33"/>
  <c r="C697" i="33"/>
  <c r="E243" i="19"/>
  <c r="H243" i="19" s="1"/>
  <c r="F256" i="19"/>
  <c r="E156" i="17"/>
  <c r="C159" i="17"/>
  <c r="O362" i="19" l="1"/>
  <c r="J350" i="19" s="1"/>
  <c r="F602" i="19"/>
  <c r="F818" i="19"/>
  <c r="E817" i="19" s="1"/>
  <c r="J817" i="19" s="1"/>
  <c r="F337" i="19"/>
  <c r="F670" i="19"/>
  <c r="F534" i="19"/>
  <c r="F466" i="19"/>
  <c r="F336" i="19"/>
  <c r="B920" i="33" s="1"/>
  <c r="F744" i="19"/>
  <c r="D330" i="19"/>
  <c r="E330" i="19" s="1"/>
  <c r="D536" i="33"/>
  <c r="G697" i="33"/>
  <c r="E697" i="33"/>
  <c r="A542" i="33"/>
  <c r="C160" i="17"/>
  <c r="D256" i="19"/>
  <c r="E159" i="17"/>
  <c r="A116" i="17"/>
  <c r="F329" i="19"/>
  <c r="H176" i="19" l="1"/>
  <c r="G175" i="19"/>
  <c r="H175" i="19"/>
  <c r="G176" i="19"/>
  <c r="H174" i="19"/>
  <c r="G174" i="19"/>
  <c r="E176" i="19"/>
  <c r="K176" i="19" s="1"/>
  <c r="E175" i="19"/>
  <c r="K175" i="19" s="1"/>
  <c r="E174" i="19"/>
  <c r="K174" i="19" s="1"/>
  <c r="B921" i="33"/>
  <c r="D921" i="33" s="1"/>
  <c r="A927" i="33" s="1"/>
  <c r="D920" i="33"/>
  <c r="A926" i="33" s="1"/>
  <c r="M36" i="40"/>
  <c r="M36" i="38"/>
  <c r="E743" i="19"/>
  <c r="J743" i="19" s="1"/>
  <c r="G329" i="19"/>
  <c r="K36" i="16"/>
  <c r="E601" i="19"/>
  <c r="J601" i="19" s="1"/>
  <c r="E669" i="19"/>
  <c r="J669" i="19" s="1"/>
  <c r="E465" i="19"/>
  <c r="M171" i="19"/>
  <c r="N171" i="19" s="1"/>
  <c r="B536" i="33"/>
  <c r="E258" i="19"/>
  <c r="G258" i="19"/>
  <c r="G256" i="19"/>
  <c r="A851" i="33" s="1"/>
  <c r="E160" i="17"/>
  <c r="H239" i="19" s="1"/>
  <c r="F331" i="19"/>
  <c r="F330" i="19"/>
  <c r="F333" i="19"/>
  <c r="F332" i="19"/>
  <c r="B7" i="17"/>
  <c r="A241" i="19" l="1"/>
  <c r="N175" i="19"/>
  <c r="N176" i="19"/>
  <c r="B38" i="40"/>
  <c r="B37" i="40"/>
  <c r="B36" i="40"/>
  <c r="J238" i="19"/>
  <c r="G331" i="19"/>
  <c r="G332" i="19"/>
  <c r="G330" i="19"/>
  <c r="G333" i="19"/>
  <c r="E533" i="19"/>
  <c r="J533" i="19" s="1"/>
  <c r="A838" i="33"/>
  <c r="F339" i="19"/>
  <c r="H256" i="19"/>
  <c r="E536" i="33"/>
  <c r="H178" i="19"/>
  <c r="D7" i="17"/>
  <c r="F7" i="17" s="1"/>
  <c r="A7" i="17"/>
  <c r="E42" i="33" l="1"/>
  <c r="G773" i="19"/>
  <c r="H772" i="19"/>
  <c r="G772" i="19"/>
  <c r="H773" i="19"/>
  <c r="H771" i="19"/>
  <c r="G771" i="19"/>
  <c r="G770" i="19"/>
  <c r="H770" i="19"/>
  <c r="H769" i="19"/>
  <c r="G769" i="19"/>
  <c r="H699" i="19"/>
  <c r="G698" i="19"/>
  <c r="G699" i="19"/>
  <c r="H697" i="19"/>
  <c r="H698" i="19"/>
  <c r="G697" i="19"/>
  <c r="H696" i="19"/>
  <c r="G696" i="19"/>
  <c r="H695" i="19"/>
  <c r="G695" i="19"/>
  <c r="D492" i="19"/>
  <c r="J492" i="19" s="1"/>
  <c r="D628" i="19"/>
  <c r="J628" i="19" s="1"/>
  <c r="D702" i="19"/>
  <c r="J702" i="19" s="1"/>
  <c r="D776" i="19"/>
  <c r="J776" i="19" s="1"/>
  <c r="D625" i="19"/>
  <c r="D489" i="19"/>
  <c r="A179" i="19"/>
  <c r="H332" i="19"/>
  <c r="H333" i="19"/>
  <c r="F14" i="40"/>
  <c r="F13" i="40"/>
  <c r="F15" i="40"/>
  <c r="F12" i="40"/>
  <c r="F11" i="40"/>
  <c r="D772" i="19"/>
  <c r="J772" i="19" s="1"/>
  <c r="D770" i="19"/>
  <c r="J770" i="19" s="1"/>
  <c r="D773" i="19"/>
  <c r="J773" i="19" s="1"/>
  <c r="D771" i="19"/>
  <c r="J771" i="19" s="1"/>
  <c r="D769" i="19"/>
  <c r="H776" i="19"/>
  <c r="H777" i="19" s="1"/>
  <c r="E783" i="19" s="1"/>
  <c r="G776" i="19"/>
  <c r="G777" i="19" s="1"/>
  <c r="E727" i="33"/>
  <c r="O226" i="19"/>
  <c r="O36" i="19"/>
  <c r="D696" i="19"/>
  <c r="J696" i="19" s="1"/>
  <c r="D697" i="19"/>
  <c r="J697" i="19" s="1"/>
  <c r="D698" i="19"/>
  <c r="J698" i="19" s="1"/>
  <c r="D699" i="19"/>
  <c r="D695" i="19"/>
  <c r="F12" i="38"/>
  <c r="F15" i="38"/>
  <c r="D424" i="19"/>
  <c r="J424" i="19" s="1"/>
  <c r="D421" i="19"/>
  <c r="D560" i="19"/>
  <c r="J560" i="19" s="1"/>
  <c r="D557" i="19"/>
  <c r="F53" i="19"/>
  <c r="F54" i="19"/>
  <c r="D39" i="19"/>
  <c r="D41" i="19"/>
  <c r="D42" i="19"/>
  <c r="D40" i="19"/>
  <c r="D36" i="19"/>
  <c r="D43" i="19"/>
  <c r="D38" i="19"/>
  <c r="D37" i="19"/>
  <c r="F37" i="19" s="1"/>
  <c r="D44" i="19"/>
  <c r="F14" i="38"/>
  <c r="F13" i="38"/>
  <c r="F11" i="38"/>
  <c r="H702" i="19"/>
  <c r="H703" i="19" s="1"/>
  <c r="E709" i="19" s="1"/>
  <c r="G702" i="19"/>
  <c r="G703" i="19" s="1"/>
  <c r="D709" i="19" s="1"/>
  <c r="F10" i="37"/>
  <c r="I10" i="37" s="1"/>
  <c r="J6" i="19"/>
  <c r="J16" i="19" s="1"/>
  <c r="H625" i="19"/>
  <c r="H626" i="19" s="1"/>
  <c r="E634" i="19" s="1"/>
  <c r="G625" i="19"/>
  <c r="G628" i="19"/>
  <c r="G629" i="19" s="1"/>
  <c r="H628" i="19"/>
  <c r="H629" i="19" s="1"/>
  <c r="E635" i="19" s="1"/>
  <c r="F10" i="34"/>
  <c r="I10" i="34" s="1"/>
  <c r="G557" i="19"/>
  <c r="H557" i="19"/>
  <c r="H558" i="19" s="1"/>
  <c r="E566" i="19" s="1"/>
  <c r="G560" i="19"/>
  <c r="G561" i="19" s="1"/>
  <c r="D567" i="19" s="1"/>
  <c r="G567" i="19" s="1"/>
  <c r="H560" i="19"/>
  <c r="H561" i="19" s="1"/>
  <c r="E567" i="19" s="1"/>
  <c r="F18" i="16"/>
  <c r="F15" i="16"/>
  <c r="F14" i="16"/>
  <c r="F11" i="16"/>
  <c r="H492" i="19"/>
  <c r="H493" i="19" s="1"/>
  <c r="E499" i="19" s="1"/>
  <c r="G489" i="19"/>
  <c r="F13" i="16"/>
  <c r="G492" i="19"/>
  <c r="G493" i="19" s="1"/>
  <c r="H424" i="19"/>
  <c r="H425" i="19" s="1"/>
  <c r="E431" i="19" s="1"/>
  <c r="F12" i="16"/>
  <c r="H421" i="19"/>
  <c r="G421" i="19"/>
  <c r="F16" i="16"/>
  <c r="F10" i="16"/>
  <c r="G424" i="19"/>
  <c r="G425" i="19" s="1"/>
  <c r="D431" i="19" s="1"/>
  <c r="G431" i="19" s="1"/>
  <c r="F17" i="16"/>
  <c r="H489" i="19"/>
  <c r="H490" i="19" s="1"/>
  <c r="E498" i="19" s="1"/>
  <c r="F10" i="28"/>
  <c r="I10" i="28" s="1"/>
  <c r="F10" i="27"/>
  <c r="I10" i="27" s="1"/>
  <c r="J54" i="19" l="1"/>
  <c r="G54" i="19"/>
  <c r="H54" i="19" s="1"/>
  <c r="J53" i="19"/>
  <c r="G53" i="19"/>
  <c r="H53" i="19" s="1"/>
  <c r="M764" i="19"/>
  <c r="A763" i="19" s="1"/>
  <c r="M690" i="19"/>
  <c r="A689" i="19" s="1"/>
  <c r="J38" i="19"/>
  <c r="F38" i="19"/>
  <c r="J43" i="19"/>
  <c r="F43" i="19"/>
  <c r="J40" i="19"/>
  <c r="F40" i="19"/>
  <c r="J42" i="19"/>
  <c r="F42" i="19"/>
  <c r="J41" i="19"/>
  <c r="F41" i="19"/>
  <c r="J44" i="19"/>
  <c r="F44" i="19"/>
  <c r="J39" i="19"/>
  <c r="F39" i="19"/>
  <c r="F36" i="19"/>
  <c r="G36" i="19" s="1"/>
  <c r="J37" i="19"/>
  <c r="J36" i="19"/>
  <c r="H422" i="19"/>
  <c r="E430" i="19" s="1"/>
  <c r="E432" i="19" s="1"/>
  <c r="H431" i="19" s="1"/>
  <c r="H15" i="40"/>
  <c r="I15" i="40" s="1"/>
  <c r="H13" i="40"/>
  <c r="I13" i="40" s="1"/>
  <c r="H14" i="40"/>
  <c r="I14" i="40" s="1"/>
  <c r="H12" i="40"/>
  <c r="I12" i="40" s="1"/>
  <c r="H11" i="38"/>
  <c r="I11" i="38" s="1"/>
  <c r="H11" i="40"/>
  <c r="I11" i="40" s="1"/>
  <c r="D783" i="19"/>
  <c r="G783" i="19" s="1"/>
  <c r="D635" i="19"/>
  <c r="G635" i="19" s="1"/>
  <c r="H774" i="19"/>
  <c r="J769" i="19"/>
  <c r="J699" i="19"/>
  <c r="A621" i="19"/>
  <c r="A553" i="19"/>
  <c r="A485" i="19"/>
  <c r="A417" i="19"/>
  <c r="J695" i="19"/>
  <c r="P36" i="19"/>
  <c r="J489" i="19"/>
  <c r="H12" i="38"/>
  <c r="I12" i="38" s="1"/>
  <c r="H15" i="38"/>
  <c r="I15" i="38" s="1"/>
  <c r="H14" i="38"/>
  <c r="I14" i="38" s="1"/>
  <c r="H13" i="38"/>
  <c r="I13" i="38" s="1"/>
  <c r="J625" i="19"/>
  <c r="J557" i="19"/>
  <c r="J421" i="19"/>
  <c r="D453" i="33" a="1"/>
  <c r="D453" i="33" s="1"/>
  <c r="B453" i="33"/>
  <c r="G709" i="19"/>
  <c r="H700" i="19"/>
  <c r="E708" i="19" s="1"/>
  <c r="E636" i="19"/>
  <c r="H635" i="19" s="1"/>
  <c r="E568" i="19"/>
  <c r="H567" i="19" s="1"/>
  <c r="E500" i="19"/>
  <c r="H499" i="19" s="1"/>
  <c r="M36" i="19"/>
  <c r="H36" i="19" l="1"/>
  <c r="A439" i="33"/>
  <c r="H15" i="16"/>
  <c r="I15" i="16" s="1"/>
  <c r="H41" i="19"/>
  <c r="G41" i="19"/>
  <c r="A440" i="33"/>
  <c r="H16" i="16"/>
  <c r="I16" i="16" s="1"/>
  <c r="H42" i="19"/>
  <c r="G42" i="19"/>
  <c r="H13" i="16"/>
  <c r="I13" i="16" s="1"/>
  <c r="A437" i="33"/>
  <c r="H39" i="19"/>
  <c r="G39" i="19"/>
  <c r="A441" i="33"/>
  <c r="H17" i="16"/>
  <c r="I17" i="16" s="1"/>
  <c r="G43" i="19"/>
  <c r="H43" i="19"/>
  <c r="A438" i="33"/>
  <c r="H14" i="16"/>
  <c r="I14" i="16" s="1"/>
  <c r="G40" i="19"/>
  <c r="H40" i="19"/>
  <c r="A442" i="33"/>
  <c r="H18" i="16"/>
  <c r="I18" i="16" s="1"/>
  <c r="G44" i="19"/>
  <c r="H44" i="19"/>
  <c r="A436" i="33"/>
  <c r="H12" i="16"/>
  <c r="I12" i="16" s="1"/>
  <c r="H38" i="19"/>
  <c r="G38" i="19"/>
  <c r="H10" i="16"/>
  <c r="I10" i="16" s="1"/>
  <c r="A434" i="33"/>
  <c r="A435" i="33"/>
  <c r="H11" i="16"/>
  <c r="I11" i="16" s="1"/>
  <c r="H37" i="19"/>
  <c r="G37" i="19"/>
  <c r="F45" i="19"/>
  <c r="J45" i="19" s="1"/>
  <c r="H55" i="19"/>
  <c r="E69" i="19" s="1"/>
  <c r="G55" i="19"/>
  <c r="D69" i="19" s="1"/>
  <c r="N36" i="19"/>
  <c r="E782" i="19"/>
  <c r="E784" i="19" s="1"/>
  <c r="H783" i="19" s="1"/>
  <c r="E710" i="19"/>
  <c r="H709" i="19" s="1"/>
  <c r="M59" i="19"/>
  <c r="M38" i="19"/>
  <c r="M39" i="19"/>
  <c r="M49" i="19"/>
  <c r="M46" i="19"/>
  <c r="M44" i="19"/>
  <c r="M37" i="19"/>
  <c r="M43" i="19"/>
  <c r="M56" i="19"/>
  <c r="M51" i="19"/>
  <c r="M60" i="19"/>
  <c r="M45" i="19"/>
  <c r="M42" i="19"/>
  <c r="M57" i="19"/>
  <c r="M52" i="19"/>
  <c r="M41" i="19"/>
  <c r="M40" i="19"/>
  <c r="M54" i="19"/>
  <c r="M61" i="19"/>
  <c r="M55" i="19"/>
  <c r="M47" i="19"/>
  <c r="M50" i="19"/>
  <c r="M48" i="19"/>
  <c r="M62" i="19"/>
  <c r="M58" i="19"/>
  <c r="M53" i="19"/>
  <c r="A443" i="33" l="1"/>
  <c r="A444" i="33" s="1"/>
  <c r="A445" i="33" s="1"/>
  <c r="A447" i="33" s="1"/>
  <c r="H45" i="19"/>
  <c r="H453" i="33" s="1"/>
  <c r="H19" i="16"/>
  <c r="F153" i="19"/>
  <c r="H152" i="19" s="1"/>
  <c r="N48" i="19"/>
  <c r="N37" i="19"/>
  <c r="N39" i="19"/>
  <c r="N38" i="19"/>
  <c r="N41" i="19"/>
  <c r="N52" i="19"/>
  <c r="N55" i="19"/>
  <c r="N46" i="19"/>
  <c r="N47" i="19"/>
  <c r="N45" i="19"/>
  <c r="N40" i="19"/>
  <c r="N57" i="19"/>
  <c r="N49" i="19"/>
  <c r="N43" i="19"/>
  <c r="N58" i="19"/>
  <c r="N60" i="19"/>
  <c r="N61" i="19"/>
  <c r="N42" i="19"/>
  <c r="N44" i="19"/>
  <c r="N54" i="19"/>
  <c r="N59" i="19"/>
  <c r="N51" i="19"/>
  <c r="N62" i="19"/>
  <c r="N50" i="19"/>
  <c r="N56" i="19"/>
  <c r="N53" i="19"/>
  <c r="G163" i="19"/>
  <c r="E67" i="19" l="1"/>
  <c r="E68" i="19"/>
  <c r="G700" i="19"/>
  <c r="D708" i="19" s="1"/>
  <c r="J47" i="19"/>
  <c r="G774" i="19"/>
  <c r="I19" i="40" s="1"/>
  <c r="O21" i="40" s="1"/>
  <c r="E793" i="19" s="1"/>
  <c r="N63" i="19"/>
  <c r="N64" i="19"/>
  <c r="I774" i="19"/>
  <c r="I626" i="19"/>
  <c r="I558" i="19"/>
  <c r="I490" i="19"/>
  <c r="D499" i="19"/>
  <c r="I19" i="38" l="1"/>
  <c r="E70" i="19"/>
  <c r="H69" i="19" s="1"/>
  <c r="J777" i="19"/>
  <c r="D782" i="19"/>
  <c r="C871" i="19"/>
  <c r="G805" i="19"/>
  <c r="G45" i="19"/>
  <c r="G708" i="19"/>
  <c r="I700" i="19"/>
  <c r="D11" i="19"/>
  <c r="G14" i="17"/>
  <c r="G626" i="19"/>
  <c r="G422" i="19"/>
  <c r="J425" i="19" s="1"/>
  <c r="G490" i="19"/>
  <c r="J493" i="19" s="1"/>
  <c r="G558" i="19"/>
  <c r="J561" i="19" s="1"/>
  <c r="I422" i="19"/>
  <c r="H17" i="29"/>
  <c r="G499" i="19"/>
  <c r="F453" i="33" l="1"/>
  <c r="A454" i="33" s="1"/>
  <c r="E209" i="19"/>
  <c r="J629" i="19"/>
  <c r="D634" i="19"/>
  <c r="D636" i="19" s="1"/>
  <c r="H634" i="19" s="1"/>
  <c r="J703" i="19"/>
  <c r="D784" i="19"/>
  <c r="H782" i="19" s="1"/>
  <c r="G782" i="19"/>
  <c r="G784" i="19" s="1"/>
  <c r="G786" i="19" s="1"/>
  <c r="K22" i="40" s="1"/>
  <c r="G710" i="19"/>
  <c r="G712" i="19" s="1"/>
  <c r="D566" i="19"/>
  <c r="G566" i="19" s="1"/>
  <c r="G568" i="19" s="1"/>
  <c r="D498" i="19"/>
  <c r="G498" i="19" s="1"/>
  <c r="G500" i="19" s="1"/>
  <c r="D430" i="19"/>
  <c r="D432" i="19" s="1"/>
  <c r="H430" i="19" s="1"/>
  <c r="I19" i="16"/>
  <c r="O21" i="16" s="1"/>
  <c r="A2" i="32"/>
  <c r="O21" i="38"/>
  <c r="E719" i="19" s="1"/>
  <c r="I19" i="28"/>
  <c r="O21" i="28" s="1"/>
  <c r="I19" i="34"/>
  <c r="O21" i="34" s="1"/>
  <c r="I19" i="27"/>
  <c r="O21" i="27" s="1"/>
  <c r="I19" i="37"/>
  <c r="O21" i="37" s="1"/>
  <c r="F793" i="19" s="1"/>
  <c r="B29" i="29"/>
  <c r="A4" i="20"/>
  <c r="K3" i="16"/>
  <c r="D67" i="19"/>
  <c r="F133" i="19"/>
  <c r="D68" i="19"/>
  <c r="E24" i="33" l="1"/>
  <c r="E54" i="33" s="1"/>
  <c r="I453" i="33"/>
  <c r="G209" i="19"/>
  <c r="D763" i="33" s="1"/>
  <c r="H209" i="19"/>
  <c r="E645" i="19"/>
  <c r="F645" i="19" s="1"/>
  <c r="F719" i="19"/>
  <c r="E577" i="19"/>
  <c r="F577" i="19" s="1"/>
  <c r="E509" i="19"/>
  <c r="F509" i="19" s="1"/>
  <c r="H805" i="19"/>
  <c r="E441" i="19"/>
  <c r="F441" i="19" s="1"/>
  <c r="G657" i="19"/>
  <c r="G589" i="19"/>
  <c r="G521" i="19"/>
  <c r="C866" i="19"/>
  <c r="G731" i="19"/>
  <c r="H731" i="19" s="1"/>
  <c r="G570" i="19"/>
  <c r="K22" i="34" s="1"/>
  <c r="O22" i="34" s="1"/>
  <c r="O23" i="34" s="1"/>
  <c r="G502" i="19"/>
  <c r="K22" i="28" s="1"/>
  <c r="O22" i="28" s="1"/>
  <c r="O23" i="28" s="1"/>
  <c r="K3" i="28"/>
  <c r="K3" i="34"/>
  <c r="K3" i="37"/>
  <c r="K3" i="38"/>
  <c r="K3" i="40"/>
  <c r="K3" i="27"/>
  <c r="K22" i="38"/>
  <c r="O22" i="38" s="1"/>
  <c r="O23" i="38" s="1"/>
  <c r="O22" i="40"/>
  <c r="O23" i="40" s="1"/>
  <c r="C851" i="19"/>
  <c r="H132" i="19"/>
  <c r="F109" i="19"/>
  <c r="G109" i="19" s="1"/>
  <c r="H109" i="19" s="1"/>
  <c r="D710" i="19"/>
  <c r="H708" i="19" s="1"/>
  <c r="D500" i="19"/>
  <c r="H498" i="19" s="1"/>
  <c r="G634" i="19"/>
  <c r="G636" i="19" s="1"/>
  <c r="D568" i="19"/>
  <c r="H566" i="19" s="1"/>
  <c r="G430" i="19"/>
  <c r="G432" i="19" s="1"/>
  <c r="G453" i="19"/>
  <c r="H453" i="19" s="1"/>
  <c r="F107" i="19"/>
  <c r="G107" i="19" s="1"/>
  <c r="F108" i="19"/>
  <c r="G108" i="19" s="1"/>
  <c r="H108" i="19" s="1"/>
  <c r="C841" i="19"/>
  <c r="D47" i="16"/>
  <c r="C861" i="19"/>
  <c r="C856" i="19"/>
  <c r="C846" i="19"/>
  <c r="D6" i="19"/>
  <c r="G162" i="19"/>
  <c r="G69" i="19"/>
  <c r="G161" i="19"/>
  <c r="D70" i="19"/>
  <c r="H68" i="19" s="1"/>
  <c r="G68" i="19"/>
  <c r="G84" i="33" l="1"/>
  <c r="H84" i="33" s="1"/>
  <c r="H70" i="19"/>
  <c r="P111" i="19"/>
  <c r="P112" i="19" s="1"/>
  <c r="H107" i="19"/>
  <c r="O229" i="19"/>
  <c r="A210" i="19"/>
  <c r="H220" i="19"/>
  <c r="D871" i="19"/>
  <c r="D866" i="19"/>
  <c r="D856" i="19"/>
  <c r="D851" i="19"/>
  <c r="G434" i="19"/>
  <c r="G638" i="19"/>
  <c r="K22" i="37" s="1"/>
  <c r="O22" i="37" s="1"/>
  <c r="O23" i="37" s="1"/>
  <c r="C32" i="32"/>
  <c r="D47" i="40"/>
  <c r="E763" i="33"/>
  <c r="A764" i="33" s="1"/>
  <c r="H521" i="19"/>
  <c r="H589" i="19"/>
  <c r="H657" i="19"/>
  <c r="G70" i="19"/>
  <c r="G72" i="19" s="1"/>
  <c r="D47" i="37"/>
  <c r="D47" i="34"/>
  <c r="D47" i="28"/>
  <c r="D47" i="38"/>
  <c r="D47" i="27"/>
  <c r="D33" i="20"/>
  <c r="G164" i="19"/>
  <c r="J71" i="19" l="1"/>
  <c r="H73" i="19"/>
  <c r="A433" i="19" s="1"/>
  <c r="A509" i="33"/>
  <c r="E84" i="33"/>
  <c r="F84" i="33" s="1"/>
  <c r="J73" i="19"/>
  <c r="A461" i="33"/>
  <c r="R213" i="19"/>
  <c r="R214" i="19"/>
  <c r="G30" i="33" s="1"/>
  <c r="O231" i="19"/>
  <c r="N226" i="19" s="1"/>
  <c r="Q226" i="19" s="1"/>
  <c r="P113" i="19"/>
  <c r="D110" i="19"/>
  <c r="Q111" i="19"/>
  <c r="H784" i="19"/>
  <c r="H786" i="19" s="1"/>
  <c r="K24" i="40" s="1"/>
  <c r="O24" i="40" s="1"/>
  <c r="H636" i="19"/>
  <c r="H638" i="19" s="1"/>
  <c r="K24" i="37" s="1"/>
  <c r="O24" i="37" s="1"/>
  <c r="D861" i="19"/>
  <c r="K22" i="27"/>
  <c r="O22" i="27" s="1"/>
  <c r="O23" i="27" s="1"/>
  <c r="D846" i="19" s="1"/>
  <c r="D849" i="19" s="1"/>
  <c r="H221" i="19"/>
  <c r="H222" i="19" s="1"/>
  <c r="H292" i="19"/>
  <c r="G451" i="19"/>
  <c r="G799" i="19" l="1"/>
  <c r="H799" i="19" s="1"/>
  <c r="N824" i="19" s="1"/>
  <c r="N828" i="19" s="1"/>
  <c r="N836" i="19" s="1"/>
  <c r="G803" i="19"/>
  <c r="H803" i="19" s="1"/>
  <c r="G806" i="19" s="1"/>
  <c r="A221" i="19"/>
  <c r="H568" i="19"/>
  <c r="H570" i="19" s="1"/>
  <c r="K24" i="34" s="1"/>
  <c r="O24" i="34" s="1"/>
  <c r="H500" i="19"/>
  <c r="H502" i="19" s="1"/>
  <c r="K24" i="28" s="1"/>
  <c r="O24" i="28" s="1"/>
  <c r="H710" i="19"/>
  <c r="H712" i="19" s="1"/>
  <c r="K24" i="38" s="1"/>
  <c r="O24" i="38" s="1"/>
  <c r="H432" i="19"/>
  <c r="H434" i="19" s="1"/>
  <c r="K24" i="27" s="1"/>
  <c r="O24" i="27" s="1"/>
  <c r="G447" i="19" s="1"/>
  <c r="H447" i="19" s="1"/>
  <c r="N471" i="19" s="1"/>
  <c r="A711" i="19"/>
  <c r="A637" i="19"/>
  <c r="A501" i="19"/>
  <c r="K24" i="16"/>
  <c r="A785" i="19"/>
  <c r="F24" i="33"/>
  <c r="G85" i="33" s="1"/>
  <c r="E85" i="33" s="1"/>
  <c r="F85" i="33" s="1"/>
  <c r="A569" i="19"/>
  <c r="L73" i="19"/>
  <c r="H25" i="33"/>
  <c r="H31" i="33" s="1"/>
  <c r="H61" i="33" s="1"/>
  <c r="G25" i="33"/>
  <c r="A515" i="33"/>
  <c r="F26" i="33"/>
  <c r="N230" i="19"/>
  <c r="Q230" i="19" s="1"/>
  <c r="N227" i="19"/>
  <c r="Q227" i="19" s="1"/>
  <c r="N228" i="19"/>
  <c r="Q228" i="19" s="1"/>
  <c r="N229" i="19"/>
  <c r="Q229" i="19" s="1"/>
  <c r="H451" i="19"/>
  <c r="G454" i="19" s="1"/>
  <c r="E26" i="33"/>
  <c r="K22" i="16"/>
  <c r="O22" i="16" s="1"/>
  <c r="A72" i="19" s="1"/>
  <c r="N835" i="19" l="1"/>
  <c r="N834" i="19"/>
  <c r="G725" i="19"/>
  <c r="H725" i="19" s="1"/>
  <c r="N750" i="19" s="1"/>
  <c r="N754" i="19" s="1"/>
  <c r="N761" i="19" s="1"/>
  <c r="G729" i="19"/>
  <c r="H729" i="19" s="1"/>
  <c r="G732" i="19" s="1"/>
  <c r="H85" i="33"/>
  <c r="I24" i="33"/>
  <c r="F54" i="33"/>
  <c r="I54" i="33" s="1"/>
  <c r="F31" i="33"/>
  <c r="F61" i="33" s="1"/>
  <c r="G55" i="33"/>
  <c r="Q231" i="19"/>
  <c r="P233" i="19" s="1"/>
  <c r="P234" i="19" s="1"/>
  <c r="I25" i="33"/>
  <c r="H55" i="33"/>
  <c r="N481" i="19"/>
  <c r="B45" i="40"/>
  <c r="H223" i="19"/>
  <c r="G86" i="33"/>
  <c r="F56" i="33"/>
  <c r="E56" i="33"/>
  <c r="I26" i="33"/>
  <c r="D869" i="19"/>
  <c r="D864" i="19"/>
  <c r="D859" i="19"/>
  <c r="O23" i="16"/>
  <c r="O24" i="16" s="1"/>
  <c r="N762" i="19" l="1"/>
  <c r="N760" i="19"/>
  <c r="C753" i="19" s="1"/>
  <c r="B45" i="38" s="1"/>
  <c r="I55" i="33"/>
  <c r="H86" i="33"/>
  <c r="N480" i="19"/>
  <c r="N479" i="19"/>
  <c r="C475" i="19" s="1"/>
  <c r="B45" i="27" s="1"/>
  <c r="F542" i="33"/>
  <c r="F543" i="33" s="1"/>
  <c r="H224" i="19"/>
  <c r="I56" i="33"/>
  <c r="E86" i="33"/>
  <c r="F86" i="33" s="1"/>
  <c r="D841" i="19"/>
  <c r="D844" i="19" s="1"/>
  <c r="A466" i="33"/>
  <c r="F79" i="19"/>
  <c r="E79" i="19" s="1"/>
  <c r="G79" i="19" s="1"/>
  <c r="O220" i="19" l="1"/>
  <c r="H225" i="19"/>
  <c r="H226" i="19" s="1"/>
  <c r="H229" i="19" s="1"/>
  <c r="A73" i="19"/>
  <c r="A161" i="33"/>
  <c r="E80" i="19"/>
  <c r="F80" i="19"/>
  <c r="F82" i="19"/>
  <c r="F81" i="19" s="1"/>
  <c r="H228" i="19" l="1"/>
  <c r="F93" i="19"/>
  <c r="G80" i="19"/>
  <c r="E810" i="19" l="1"/>
  <c r="H810" i="19" s="1"/>
  <c r="I30" i="33"/>
  <c r="E30" i="33" s="1"/>
  <c r="G131" i="19"/>
  <c r="E662" i="19"/>
  <c r="H662" i="19" s="1"/>
  <c r="E736" i="19"/>
  <c r="H736" i="19" s="1"/>
  <c r="E458" i="19"/>
  <c r="E526" i="19"/>
  <c r="H526" i="19" s="1"/>
  <c r="O27" i="16"/>
  <c r="E594" i="19"/>
  <c r="H594" i="19" s="1"/>
  <c r="G60" i="33"/>
  <c r="O27" i="37" l="1"/>
  <c r="O27" i="34"/>
  <c r="H458" i="19"/>
  <c r="O27" i="27" s="1"/>
  <c r="H137" i="19"/>
  <c r="J138" i="19" s="1"/>
  <c r="H131" i="19"/>
  <c r="G137" i="19"/>
  <c r="G139" i="19" s="1"/>
  <c r="A656" i="33" s="1"/>
  <c r="G151" i="19"/>
  <c r="H151" i="19" s="1"/>
  <c r="G719" i="19"/>
  <c r="H719" i="19" s="1"/>
  <c r="G793" i="19"/>
  <c r="H793" i="19" s="1"/>
  <c r="G577" i="19"/>
  <c r="H577" i="19" s="1"/>
  <c r="G645" i="19"/>
  <c r="H645" i="19" s="1"/>
  <c r="G441" i="19"/>
  <c r="H441" i="19" s="1"/>
  <c r="G509" i="19"/>
  <c r="H509" i="19" s="1"/>
  <c r="O27" i="40"/>
  <c r="O27" i="38"/>
  <c r="E804" i="33"/>
  <c r="N235" i="19"/>
  <c r="B696" i="33"/>
  <c r="E60" i="33"/>
  <c r="I60" i="33" s="1"/>
  <c r="C535" i="33"/>
  <c r="C534" i="33" s="1"/>
  <c r="H138" i="19" l="1"/>
  <c r="F134" i="19" s="1"/>
  <c r="P235" i="19"/>
  <c r="P236" i="19"/>
  <c r="G651" i="19"/>
  <c r="H651" i="19" s="1"/>
  <c r="N675" i="19" s="1"/>
  <c r="G515" i="19"/>
  <c r="H515" i="19" s="1"/>
  <c r="N539" i="19" s="1"/>
  <c r="O27" i="28"/>
  <c r="H93" i="19"/>
  <c r="H134" i="19" l="1"/>
  <c r="N685" i="19"/>
  <c r="D874" i="19"/>
  <c r="F161" i="19" l="1"/>
  <c r="H161" i="19" s="1"/>
  <c r="H154" i="19"/>
  <c r="N683" i="19"/>
  <c r="C679" i="19" s="1"/>
  <c r="B45" i="37" s="1"/>
  <c r="N684" i="19"/>
  <c r="N547" i="19"/>
  <c r="N549" i="19"/>
  <c r="N548" i="19"/>
  <c r="F163" i="19" l="1"/>
  <c r="H163" i="19" s="1"/>
  <c r="F162" i="19"/>
  <c r="H162" i="19" s="1"/>
  <c r="E177" i="19"/>
  <c r="F177" i="19" s="1"/>
  <c r="G177" i="19" s="1"/>
  <c r="G178" i="19" s="1"/>
  <c r="G220" i="19" s="1"/>
  <c r="Q214" i="19" s="1"/>
  <c r="G37" i="33" s="1"/>
  <c r="Q213" i="19" l="1"/>
  <c r="G221" i="19"/>
  <c r="H164" i="19"/>
  <c r="A716" i="33"/>
  <c r="D727" i="33"/>
  <c r="G222" i="19" l="1"/>
  <c r="G223" i="19" s="1"/>
  <c r="A728" i="33"/>
  <c r="A775" i="33" s="1"/>
  <c r="H165" i="19"/>
  <c r="H167" i="19" s="1"/>
  <c r="G224" i="19" l="1"/>
  <c r="J226" i="19" s="1"/>
  <c r="A648" i="33"/>
  <c r="A652" i="33"/>
  <c r="A675" i="33"/>
  <c r="A670" i="33" s="1"/>
  <c r="J168" i="19"/>
  <c r="G67" i="33"/>
  <c r="G225" i="19" l="1"/>
  <c r="A799" i="33" s="1"/>
  <c r="O219" i="19"/>
  <c r="M221" i="19" s="1"/>
  <c r="A635" i="33"/>
  <c r="J167" i="19"/>
  <c r="C27" i="33"/>
  <c r="E27" i="33" s="1"/>
  <c r="E57" i="33" s="1"/>
  <c r="N439" i="19"/>
  <c r="N791" i="19" s="1"/>
  <c r="H790" i="19" s="1"/>
  <c r="H794" i="19" s="1"/>
  <c r="K25" i="40" s="1"/>
  <c r="O25" i="40" s="1"/>
  <c r="K25" i="16"/>
  <c r="O25" i="16" s="1"/>
  <c r="A685" i="33" s="1"/>
  <c r="D27" i="33"/>
  <c r="G27" i="33" s="1"/>
  <c r="G57" i="33" s="1"/>
  <c r="H438" i="19" l="1"/>
  <c r="G226" i="19"/>
  <c r="G229" i="19" s="1"/>
  <c r="A226" i="33"/>
  <c r="N575" i="19"/>
  <c r="H574" i="19" s="1"/>
  <c r="H578" i="19" s="1"/>
  <c r="K25" i="34" s="1"/>
  <c r="O25" i="34" s="1"/>
  <c r="G587" i="19" s="1"/>
  <c r="H587" i="19" s="1"/>
  <c r="G590" i="19" s="1"/>
  <c r="N717" i="19"/>
  <c r="H716" i="19" s="1"/>
  <c r="H720" i="19" s="1"/>
  <c r="K25" i="38" s="1"/>
  <c r="O25" i="38" s="1"/>
  <c r="N643" i="19"/>
  <c r="H642" i="19" s="1"/>
  <c r="H646" i="19" s="1"/>
  <c r="K25" i="37" s="1"/>
  <c r="O25" i="37" s="1"/>
  <c r="G655" i="19" s="1"/>
  <c r="H655" i="19" s="1"/>
  <c r="G658" i="19" s="1"/>
  <c r="N507" i="19"/>
  <c r="H506" i="19" s="1"/>
  <c r="H510" i="19" s="1"/>
  <c r="K25" i="28" s="1"/>
  <c r="O25" i="28" s="1"/>
  <c r="G519" i="19" s="1"/>
  <c r="H519" i="19" s="1"/>
  <c r="G522" i="19" s="1"/>
  <c r="E82" i="19"/>
  <c r="F94" i="19" s="1"/>
  <c r="H94" i="19" s="1"/>
  <c r="A167" i="19"/>
  <c r="C691" i="33"/>
  <c r="I57" i="33"/>
  <c r="I27" i="33"/>
  <c r="F92" i="19"/>
  <c r="H92" i="19" s="1"/>
  <c r="F102" i="19"/>
  <c r="H102" i="19" s="1"/>
  <c r="F103" i="19"/>
  <c r="H103" i="19" s="1"/>
  <c r="F91" i="19"/>
  <c r="H91" i="19" s="1"/>
  <c r="F101" i="19"/>
  <c r="H101" i="19" s="1"/>
  <c r="G227" i="19" l="1"/>
  <c r="O29" i="16" s="1"/>
  <c r="F841" i="19" s="1"/>
  <c r="G583" i="19"/>
  <c r="H583" i="19" s="1"/>
  <c r="N607" i="19" s="1"/>
  <c r="N617" i="19" s="1"/>
  <c r="G82" i="19"/>
  <c r="E81" i="19"/>
  <c r="G81" i="19" s="1"/>
  <c r="F90" i="19"/>
  <c r="H90" i="19" s="1"/>
  <c r="H95" i="19" s="1"/>
  <c r="E737" i="19"/>
  <c r="H737" i="19" s="1"/>
  <c r="E811" i="19"/>
  <c r="H811" i="19" s="1"/>
  <c r="E663" i="19"/>
  <c r="H663" i="19" s="1"/>
  <c r="E459" i="19"/>
  <c r="E595" i="19"/>
  <c r="H595" i="19" s="1"/>
  <c r="E527" i="19"/>
  <c r="H527" i="19" s="1"/>
  <c r="H110" i="19"/>
  <c r="Q110" i="19"/>
  <c r="Q112" i="19" s="1"/>
  <c r="H443" i="19"/>
  <c r="O29" i="40" l="1"/>
  <c r="F871" i="19" s="1"/>
  <c r="O29" i="38"/>
  <c r="F866" i="19" s="1"/>
  <c r="O29" i="37"/>
  <c r="F861" i="19" s="1"/>
  <c r="O29" i="34"/>
  <c r="F856" i="19" s="1"/>
  <c r="O29" i="28"/>
  <c r="F851" i="19" s="1"/>
  <c r="H459" i="19"/>
  <c r="O29" i="27" s="1"/>
  <c r="F846" i="19" s="1"/>
  <c r="H696" i="33"/>
  <c r="D696" i="33" s="1"/>
  <c r="F696" i="33" s="1"/>
  <c r="E696" i="33" s="1"/>
  <c r="G535" i="33"/>
  <c r="G534" i="33" s="1"/>
  <c r="I37" i="33"/>
  <c r="E37" i="33" s="1"/>
  <c r="E67" i="33" s="1"/>
  <c r="I67" i="33" s="1"/>
  <c r="H804" i="33"/>
  <c r="N616" i="19"/>
  <c r="C611" i="19" s="1"/>
  <c r="B45" i="34" s="1"/>
  <c r="N615" i="19"/>
  <c r="B545" i="33"/>
  <c r="E543" i="33"/>
  <c r="G543" i="33" s="1"/>
  <c r="A865" i="33"/>
  <c r="K16" i="16"/>
  <c r="E542" i="33"/>
  <c r="Q93" i="19"/>
  <c r="Q109" i="19" s="1"/>
  <c r="Q113" i="19" s="1"/>
  <c r="N445" i="19" s="1"/>
  <c r="H112" i="19"/>
  <c r="H113" i="19" s="1"/>
  <c r="P800" i="19"/>
  <c r="O11" i="40" s="1"/>
  <c r="H647" i="19"/>
  <c r="H658" i="19" s="1"/>
  <c r="P652" i="19"/>
  <c r="O11" i="37" s="1"/>
  <c r="H454" i="19"/>
  <c r="K26" i="27" s="1"/>
  <c r="O26" i="27" s="1"/>
  <c r="D854" i="19" s="1"/>
  <c r="A700" i="33" l="1"/>
  <c r="A252" i="33" s="1"/>
  <c r="C696" i="33"/>
  <c r="J116" i="19"/>
  <c r="H115" i="19"/>
  <c r="G542" i="33"/>
  <c r="B535" i="33" s="1"/>
  <c r="A546" i="33"/>
  <c r="A586" i="33"/>
  <c r="N797" i="19"/>
  <c r="N649" i="19"/>
  <c r="N581" i="19"/>
  <c r="N723" i="19"/>
  <c r="N513" i="19"/>
  <c r="H721" i="19"/>
  <c r="H732" i="19" s="1"/>
  <c r="K26" i="38" s="1"/>
  <c r="O26" i="38" s="1"/>
  <c r="O28" i="38" s="1"/>
  <c r="E866" i="19" s="1"/>
  <c r="K26" i="37"/>
  <c r="O26" i="37" s="1"/>
  <c r="O28" i="37" s="1"/>
  <c r="E861" i="19" s="1"/>
  <c r="D28" i="33" l="1"/>
  <c r="G28" i="33" s="1"/>
  <c r="K26" i="16"/>
  <c r="O26" i="16" s="1"/>
  <c r="O251" i="19" s="1"/>
  <c r="N444" i="19"/>
  <c r="N722" i="19" s="1"/>
  <c r="P726" i="19" s="1"/>
  <c r="O11" i="38" s="1"/>
  <c r="D29" i="33"/>
  <c r="G29" i="33" s="1"/>
  <c r="G59" i="33" s="1"/>
  <c r="P448" i="19"/>
  <c r="O11" i="27" s="1"/>
  <c r="E869" i="19"/>
  <c r="E864" i="19"/>
  <c r="A601" i="33" l="1"/>
  <c r="A207" i="33" s="1"/>
  <c r="E28" i="33"/>
  <c r="E58" i="33" s="1"/>
  <c r="E29" i="33"/>
  <c r="O28" i="16"/>
  <c r="H268" i="19" s="1"/>
  <c r="A115" i="19"/>
  <c r="N648" i="19"/>
  <c r="N580" i="19"/>
  <c r="O252" i="19"/>
  <c r="H251" i="19" s="1"/>
  <c r="F539" i="33" s="1"/>
  <c r="G539" i="33" s="1"/>
  <c r="N796" i="19"/>
  <c r="H795" i="19" s="1"/>
  <c r="H806" i="19" s="1"/>
  <c r="K26" i="40" s="1"/>
  <c r="O26" i="40" s="1"/>
  <c r="O28" i="40" s="1"/>
  <c r="E871" i="19" s="1"/>
  <c r="N512" i="19"/>
  <c r="G58" i="33"/>
  <c r="G31" i="33"/>
  <c r="P584" i="19" l="1"/>
  <c r="O11" i="34" s="1"/>
  <c r="H579" i="19"/>
  <c r="H590" i="19" s="1"/>
  <c r="K26" i="34" s="1"/>
  <c r="O26" i="34" s="1"/>
  <c r="O28" i="34" s="1"/>
  <c r="E856" i="19" s="1"/>
  <c r="E859" i="19" s="1"/>
  <c r="I28" i="33"/>
  <c r="E31" i="33"/>
  <c r="I31" i="33" s="1"/>
  <c r="E841" i="19"/>
  <c r="E844" i="19" s="1"/>
  <c r="H511" i="19"/>
  <c r="H522" i="19" s="1"/>
  <c r="K26" i="28" s="1"/>
  <c r="O26" i="28" s="1"/>
  <c r="O28" i="28" s="1"/>
  <c r="E851" i="19" s="1"/>
  <c r="E854" i="19" s="1"/>
  <c r="P516" i="19"/>
  <c r="O11" i="28" s="1"/>
  <c r="I29" i="33"/>
  <c r="E59" i="33"/>
  <c r="M235" i="19"/>
  <c r="Q235" i="19" s="1"/>
  <c r="H270" i="19"/>
  <c r="D535" i="33"/>
  <c r="D534" i="33" s="1"/>
  <c r="B805" i="33"/>
  <c r="D692" i="33"/>
  <c r="G33" i="33"/>
  <c r="G63" i="33" s="1"/>
  <c r="G61" i="33"/>
  <c r="G87" i="33" l="1"/>
  <c r="H87" i="33" s="1"/>
  <c r="E33" i="33"/>
  <c r="I33" i="33" s="1"/>
  <c r="E61" i="33"/>
  <c r="H269" i="19"/>
  <c r="H274" i="19" s="1"/>
  <c r="H275" i="19" s="1"/>
  <c r="H276" i="19" s="1"/>
  <c r="Q236" i="19"/>
  <c r="S234" i="19"/>
  <c r="S235" i="19" s="1"/>
  <c r="S236" i="19" s="1"/>
  <c r="M238" i="19"/>
  <c r="I58" i="33"/>
  <c r="I59" i="33"/>
  <c r="E63" i="33" l="1"/>
  <c r="E87" i="33"/>
  <c r="F87" i="33" s="1"/>
  <c r="E814" i="19"/>
  <c r="H814" i="19" s="1"/>
  <c r="O32" i="40" s="1"/>
  <c r="K32" i="40" s="1"/>
  <c r="H277" i="19"/>
  <c r="A252" i="19"/>
  <c r="H252" i="19"/>
  <c r="A856" i="33" s="1"/>
  <c r="H539" i="33"/>
  <c r="I539" i="33" s="1"/>
  <c r="D539" i="33" s="1"/>
  <c r="E539" i="33" s="1"/>
  <c r="E530" i="19"/>
  <c r="H530" i="19" s="1"/>
  <c r="O32" i="28" s="1"/>
  <c r="K32" i="28" s="1"/>
  <c r="E666" i="19"/>
  <c r="H666" i="19" s="1"/>
  <c r="O32" i="37" s="1"/>
  <c r="K32" i="37" s="1"/>
  <c r="E462" i="19"/>
  <c r="E740" i="19"/>
  <c r="H740" i="19" s="1"/>
  <c r="O32" i="38" s="1"/>
  <c r="K32" i="38" s="1"/>
  <c r="O32" i="16"/>
  <c r="K32" i="16" s="1"/>
  <c r="E598" i="19"/>
  <c r="H598" i="19" s="1"/>
  <c r="O32" i="34" s="1"/>
  <c r="K32" i="34" s="1"/>
  <c r="H247" i="19"/>
  <c r="A854" i="33" s="1"/>
  <c r="M240" i="19"/>
  <c r="J243" i="19" s="1"/>
  <c r="F259" i="19" l="1"/>
  <c r="G259" i="19" s="1"/>
  <c r="A869" i="33"/>
  <c r="I814" i="19"/>
  <c r="D257" i="19"/>
  <c r="B537" i="33"/>
  <c r="I63" i="33"/>
  <c r="I61" i="33"/>
  <c r="E257" i="19" l="1"/>
  <c r="D260" i="19"/>
  <c r="E537" i="33"/>
  <c r="E540" i="33" s="1"/>
  <c r="D537" i="33"/>
  <c r="D540" i="33" s="1"/>
  <c r="B540" i="33"/>
  <c r="C537" i="33"/>
  <c r="C540" i="33" s="1"/>
  <c r="G540" i="33" l="1"/>
  <c r="E260" i="19"/>
  <c r="F257" i="19"/>
  <c r="K37" i="16"/>
  <c r="G257" i="19" l="1"/>
  <c r="G260" i="19" s="1"/>
  <c r="F260" i="19"/>
  <c r="H260" i="19" l="1"/>
  <c r="M35" i="38"/>
  <c r="M35" i="28"/>
  <c r="M35" i="16"/>
  <c r="K35" i="34"/>
  <c r="M35" i="37"/>
  <c r="M35" i="27"/>
  <c r="K35" i="27"/>
  <c r="H602" i="19"/>
  <c r="H604" i="19"/>
  <c r="G339" i="19"/>
  <c r="D43" i="33" s="1"/>
  <c r="J465" i="19"/>
  <c r="H261" i="19" l="1"/>
  <c r="H264" i="19" s="1"/>
  <c r="H265" i="19" s="1"/>
  <c r="J265" i="19" s="1"/>
  <c r="J256" i="19"/>
  <c r="I540" i="33"/>
  <c r="I606" i="19"/>
  <c r="A605" i="19"/>
  <c r="M36" i="34"/>
  <c r="H672" i="19"/>
  <c r="H670" i="19"/>
  <c r="E874" i="19"/>
  <c r="K35" i="38"/>
  <c r="K35" i="28"/>
  <c r="K35" i="16"/>
  <c r="M35" i="34"/>
  <c r="K35" i="37"/>
  <c r="H534" i="19"/>
  <c r="A841" i="33" l="1"/>
  <c r="H10" i="33"/>
  <c r="E739" i="19"/>
  <c r="H739" i="19" s="1"/>
  <c r="K31" i="38" s="1"/>
  <c r="O31" i="38" s="1"/>
  <c r="E813" i="19"/>
  <c r="H813" i="19" s="1"/>
  <c r="K31" i="40" s="1"/>
  <c r="O31" i="40" s="1"/>
  <c r="E597" i="19"/>
  <c r="H597" i="19" s="1"/>
  <c r="K31" i="34" s="1"/>
  <c r="O31" i="34" s="1"/>
  <c r="C873" i="33"/>
  <c r="E461" i="19"/>
  <c r="H461" i="19" s="1"/>
  <c r="K31" i="27" s="1"/>
  <c r="E529" i="19"/>
  <c r="H529" i="19" s="1"/>
  <c r="K31" i="28" s="1"/>
  <c r="O31" i="28" s="1"/>
  <c r="E665" i="19"/>
  <c r="H665" i="19" s="1"/>
  <c r="K31" i="37" s="1"/>
  <c r="O31" i="37" s="1"/>
  <c r="K31" i="16"/>
  <c r="D35" i="33"/>
  <c r="G35" i="33" s="1"/>
  <c r="G65" i="33" s="1"/>
  <c r="I674" i="19"/>
  <c r="M36" i="28"/>
  <c r="M36" i="37"/>
  <c r="A673" i="19"/>
  <c r="H746" i="19"/>
  <c r="M38" i="38" s="1"/>
  <c r="O31" i="16" l="1"/>
  <c r="A265" i="19" s="1"/>
  <c r="A832" i="33"/>
  <c r="E35" i="33"/>
  <c r="I35" i="33" s="1"/>
  <c r="I739" i="19"/>
  <c r="I461" i="19"/>
  <c r="I665" i="19"/>
  <c r="I813" i="19"/>
  <c r="I597" i="19"/>
  <c r="I529" i="19"/>
  <c r="E65" i="33" l="1"/>
  <c r="I65" i="33" s="1"/>
  <c r="J278" i="19" l="1"/>
  <c r="D36" i="33"/>
  <c r="D873" i="33"/>
  <c r="E36" i="33" l="1"/>
  <c r="G36" i="33"/>
  <c r="H462" i="19"/>
  <c r="O32" i="27" l="1"/>
  <c r="I598" i="19"/>
  <c r="A277" i="19"/>
  <c r="I666" i="19"/>
  <c r="G66" i="33"/>
  <c r="E66" i="33"/>
  <c r="I36" i="33"/>
  <c r="I462" i="19"/>
  <c r="I740" i="19"/>
  <c r="I530" i="19"/>
  <c r="I66" i="33" l="1"/>
  <c r="H326" i="19" l="1"/>
  <c r="J326" i="19" s="1"/>
  <c r="B37" i="27" l="1"/>
  <c r="B37" i="34"/>
  <c r="B37" i="37"/>
  <c r="B37" i="28"/>
  <c r="B38" i="34"/>
  <c r="B38" i="38"/>
  <c r="B38" i="28"/>
  <c r="B38" i="37"/>
  <c r="H466" i="19"/>
  <c r="H468" i="19"/>
  <c r="M38" i="27" s="1"/>
  <c r="I470" i="19" l="1"/>
  <c r="H303" i="19"/>
  <c r="E303" i="19" s="1"/>
  <c r="J303" i="19" s="1"/>
  <c r="M36" i="27"/>
  <c r="A469" i="19"/>
  <c r="H294" i="19"/>
  <c r="G294" i="19"/>
  <c r="B38" i="27"/>
  <c r="A929" i="33"/>
  <c r="A930" i="33" s="1"/>
  <c r="A931" i="33" s="1"/>
  <c r="A932" i="33" s="1"/>
  <c r="F303" i="19" l="1"/>
  <c r="E300" i="19"/>
  <c r="F300" i="19"/>
  <c r="E301" i="19"/>
  <c r="J301" i="19" s="1"/>
  <c r="F301" i="19"/>
  <c r="J300" i="19" l="1"/>
  <c r="M39" i="37" l="1"/>
  <c r="B36" i="28"/>
  <c r="M39" i="28"/>
  <c r="B36" i="37"/>
  <c r="B36" i="38"/>
  <c r="B36" i="34"/>
  <c r="M39" i="34"/>
  <c r="B36" i="27"/>
  <c r="M39" i="27"/>
  <c r="G862" i="19" l="1"/>
  <c r="G852" i="19"/>
  <c r="G847" i="19"/>
  <c r="G857" i="19"/>
  <c r="M78" i="19"/>
  <c r="N78" i="19" l="1"/>
  <c r="N88" i="19" l="1"/>
  <c r="N89" i="19"/>
  <c r="H442" i="19" l="1"/>
  <c r="K25" i="27" s="1"/>
  <c r="O25" i="27" s="1"/>
  <c r="O28" i="27" s="1"/>
  <c r="K32" i="27" l="1"/>
  <c r="E846" i="19"/>
  <c r="E849" i="19" s="1"/>
  <c r="O31" i="27"/>
  <c r="E72" i="33" l="1"/>
  <c r="G69" i="33" l="1"/>
  <c r="B134" i="17"/>
  <c r="A147" i="17"/>
  <c r="A146" i="17"/>
  <c r="A143" i="17"/>
  <c r="A150" i="17"/>
  <c r="B143" i="17"/>
  <c r="B145" i="17"/>
  <c r="B138" i="17"/>
  <c r="B146" i="17"/>
  <c r="A139" i="17"/>
  <c r="B150" i="17"/>
  <c r="A141" i="17"/>
  <c r="B148" i="17"/>
  <c r="A142" i="17"/>
  <c r="A149" i="17"/>
  <c r="B141" i="17"/>
  <c r="B142" i="17"/>
  <c r="B139" i="17"/>
  <c r="A145" i="17"/>
  <c r="B144" i="17"/>
  <c r="B149" i="17"/>
  <c r="A144" i="17"/>
  <c r="A148" i="17"/>
  <c r="B147" i="17"/>
  <c r="A140" i="17"/>
  <c r="A138" i="17"/>
  <c r="B140" i="17"/>
  <c r="B151" i="17" l="1"/>
  <c r="H234" i="19" s="1"/>
  <c r="A136" i="17"/>
  <c r="I9" i="17"/>
  <c r="I10" i="17"/>
  <c r="G4" i="17" s="1"/>
  <c r="C817" i="33"/>
  <c r="C134" i="17"/>
  <c r="H236" i="19" l="1"/>
  <c r="J260" i="19" s="1"/>
  <c r="H11" i="33" s="1"/>
  <c r="G817" i="33"/>
  <c r="G818" i="33" s="1"/>
  <c r="F817" i="33"/>
  <c r="A234" i="19"/>
  <c r="J234" i="19"/>
  <c r="E528" i="19" l="1"/>
  <c r="H528" i="19" s="1"/>
  <c r="K30" i="28" s="1"/>
  <c r="O30" i="28" s="1"/>
  <c r="B873" i="33"/>
  <c r="E873" i="33" s="1"/>
  <c r="K30" i="16"/>
  <c r="A812" i="33" s="1"/>
  <c r="E664" i="19"/>
  <c r="H664" i="19" s="1"/>
  <c r="K30" i="37" s="1"/>
  <c r="O30" i="37" s="1"/>
  <c r="D34" i="33"/>
  <c r="E34" i="33" s="1"/>
  <c r="E38" i="33" s="1"/>
  <c r="E738" i="19"/>
  <c r="H738" i="19" s="1"/>
  <c r="K30" i="38" s="1"/>
  <c r="O30" i="38" s="1"/>
  <c r="E812" i="19"/>
  <c r="H812" i="19" s="1"/>
  <c r="K30" i="40" s="1"/>
  <c r="O30" i="40" s="1"/>
  <c r="E460" i="19"/>
  <c r="H460" i="19" s="1"/>
  <c r="K30" i="27" s="1"/>
  <c r="O30" i="27" s="1"/>
  <c r="E596" i="19"/>
  <c r="H596" i="19" s="1"/>
  <c r="K30" i="34" s="1"/>
  <c r="O30" i="34" s="1"/>
  <c r="A819" i="33"/>
  <c r="A818" i="33"/>
  <c r="A820" i="33" l="1"/>
  <c r="C875" i="33"/>
  <c r="O30" i="16"/>
  <c r="O33" i="16" s="1"/>
  <c r="H281" i="19" s="1"/>
  <c r="E535" i="33"/>
  <c r="E534" i="33" s="1"/>
  <c r="F534" i="33" s="1"/>
  <c r="H534" i="33" s="1"/>
  <c r="G34" i="33"/>
  <c r="I34" i="33" s="1"/>
  <c r="F862" i="19"/>
  <c r="F863" i="19" s="1"/>
  <c r="F864" i="19" s="1"/>
  <c r="O33" i="37"/>
  <c r="F857" i="19"/>
  <c r="F858" i="19" s="1"/>
  <c r="F859" i="19" s="1"/>
  <c r="O33" i="34"/>
  <c r="F852" i="19"/>
  <c r="F853" i="19" s="1"/>
  <c r="F854" i="19" s="1"/>
  <c r="O33" i="28"/>
  <c r="F847" i="19"/>
  <c r="F848" i="19" s="1"/>
  <c r="F849" i="19" s="1"/>
  <c r="O33" i="27"/>
  <c r="I460" i="19"/>
  <c r="I738" i="19"/>
  <c r="F867" i="19"/>
  <c r="F868" i="19" s="1"/>
  <c r="F869" i="19" s="1"/>
  <c r="O33" i="38"/>
  <c r="H743" i="19" s="1"/>
  <c r="I528" i="19"/>
  <c r="E43" i="33"/>
  <c r="E68" i="33"/>
  <c r="I664" i="19"/>
  <c r="F872" i="19"/>
  <c r="F873" i="19" s="1"/>
  <c r="F874" i="19" s="1"/>
  <c r="O33" i="40"/>
  <c r="B874" i="33"/>
  <c r="C874" i="33"/>
  <c r="D874" i="33"/>
  <c r="I596" i="19"/>
  <c r="G88" i="33"/>
  <c r="E64" i="33"/>
  <c r="I812" i="19"/>
  <c r="A405" i="19" l="1"/>
  <c r="C383" i="19"/>
  <c r="G38" i="33"/>
  <c r="I38" i="33" s="1"/>
  <c r="F535" i="33"/>
  <c r="H535" i="33" s="1"/>
  <c r="I534" i="33" s="1"/>
  <c r="F873" i="33"/>
  <c r="A876" i="33" s="1"/>
  <c r="A280" i="33" s="1"/>
  <c r="D382" i="19"/>
  <c r="E323" i="19"/>
  <c r="H337" i="19" s="1"/>
  <c r="M37" i="16" s="1"/>
  <c r="B37" i="16" s="1"/>
  <c r="F842" i="19"/>
  <c r="F843" i="19" s="1"/>
  <c r="F844" i="19" s="1"/>
  <c r="A236" i="19"/>
  <c r="G64" i="33"/>
  <c r="I64" i="33" s="1"/>
  <c r="H669" i="19"/>
  <c r="H601" i="19"/>
  <c r="H533" i="19"/>
  <c r="H536" i="19" s="1"/>
  <c r="H465" i="19"/>
  <c r="E73" i="33"/>
  <c r="H819" i="19"/>
  <c r="H745" i="19"/>
  <c r="H290" i="19"/>
  <c r="E88" i="33"/>
  <c r="F88" i="33" s="1"/>
  <c r="H88" i="33"/>
  <c r="D405" i="19" l="1"/>
  <c r="A406" i="19"/>
  <c r="C405" i="19"/>
  <c r="B405" i="19"/>
  <c r="G43" i="33"/>
  <c r="G73" i="33" s="1"/>
  <c r="I72" i="33" s="1"/>
  <c r="F114" i="33" s="1"/>
  <c r="G68" i="33"/>
  <c r="F111" i="33" s="1"/>
  <c r="H336" i="19"/>
  <c r="M36" i="16" s="1"/>
  <c r="H324" i="19"/>
  <c r="J324" i="19" s="1"/>
  <c r="H325" i="19"/>
  <c r="J325" i="19" s="1"/>
  <c r="H338" i="19"/>
  <c r="M38" i="16" s="1"/>
  <c r="B38" i="16" s="1"/>
  <c r="I538" i="19"/>
  <c r="A537" i="19"/>
  <c r="A747" i="19"/>
  <c r="I748" i="19"/>
  <c r="M37" i="38"/>
  <c r="I822" i="19"/>
  <c r="M37" i="40"/>
  <c r="M39" i="40" s="1"/>
  <c r="G872" i="19" s="1"/>
  <c r="A821" i="19"/>
  <c r="H301" i="19"/>
  <c r="G303" i="19" s="1"/>
  <c r="G291" i="19"/>
  <c r="H291" i="19"/>
  <c r="D406" i="19" l="1"/>
  <c r="D408" i="19" s="1"/>
  <c r="B406" i="19"/>
  <c r="B408" i="19" s="1"/>
  <c r="C406" i="19"/>
  <c r="C408" i="19" s="1"/>
  <c r="I68" i="33"/>
  <c r="I42" i="33"/>
  <c r="G91" i="33" s="1"/>
  <c r="E91" i="33" s="1"/>
  <c r="G327" i="19"/>
  <c r="H339" i="19"/>
  <c r="A936" i="33" s="1"/>
  <c r="F302" i="19"/>
  <c r="A898" i="33" s="1"/>
  <c r="E302" i="19"/>
  <c r="B37" i="38"/>
  <c r="M39" i="38"/>
  <c r="M39" i="16"/>
  <c r="B36" i="16"/>
  <c r="A340" i="19" l="1"/>
  <c r="E408" i="19"/>
  <c r="B395" i="19" s="1"/>
  <c r="A334" i="19"/>
  <c r="A464" i="19"/>
  <c r="H91" i="33"/>
  <c r="J340" i="19"/>
  <c r="A600" i="19"/>
  <c r="A816" i="19"/>
  <c r="A742" i="19"/>
  <c r="A668" i="19"/>
  <c r="A532" i="19"/>
  <c r="M336" i="19"/>
  <c r="J336" i="19"/>
  <c r="A939" i="33"/>
  <c r="G346" i="19"/>
  <c r="H748" i="19" s="1"/>
  <c r="J753" i="19" s="1"/>
  <c r="F304" i="19"/>
  <c r="F307" i="19" s="1"/>
  <c r="F308" i="19" s="1"/>
  <c r="M34" i="16" s="1"/>
  <c r="J302" i="19"/>
  <c r="E304" i="19"/>
  <c r="E306" i="19" s="1"/>
  <c r="H470" i="19"/>
  <c r="J470" i="19" s="1"/>
  <c r="H538" i="19"/>
  <c r="I43" i="28" s="1"/>
  <c r="M43" i="28" s="1"/>
  <c r="H606" i="19"/>
  <c r="J606" i="19" s="1"/>
  <c r="H674" i="19"/>
  <c r="H822" i="19"/>
  <c r="C962" i="33"/>
  <c r="G842" i="19"/>
  <c r="E384" i="19"/>
  <c r="G867" i="19"/>
  <c r="I43" i="38"/>
  <c r="M43" i="38" s="1"/>
  <c r="M44" i="38" s="1"/>
  <c r="F883" i="19"/>
  <c r="F880" i="19"/>
  <c r="F881" i="19"/>
  <c r="F879" i="19"/>
  <c r="F882" i="19"/>
  <c r="F884" i="19"/>
  <c r="D45" i="33" l="1"/>
  <c r="E45" i="33" s="1"/>
  <c r="J346" i="19"/>
  <c r="A346" i="19" s="1"/>
  <c r="C965" i="33"/>
  <c r="A957" i="33"/>
  <c r="J748" i="19"/>
  <c r="I43" i="16"/>
  <c r="M43" i="16" s="1"/>
  <c r="B1056" i="33" s="1"/>
  <c r="D667" i="19"/>
  <c r="H667" i="19" s="1"/>
  <c r="M34" i="37" s="1"/>
  <c r="D463" i="19"/>
  <c r="H463" i="19" s="1"/>
  <c r="M34" i="27" s="1"/>
  <c r="D815" i="19"/>
  <c r="H815" i="19" s="1"/>
  <c r="M34" i="40" s="1"/>
  <c r="D531" i="19"/>
  <c r="H531" i="19" s="1"/>
  <c r="M34" i="28" s="1"/>
  <c r="D599" i="19"/>
  <c r="H599" i="19" s="1"/>
  <c r="M34" i="34" s="1"/>
  <c r="D741" i="19"/>
  <c r="H741" i="19" s="1"/>
  <c r="M34" i="38" s="1"/>
  <c r="J538" i="19"/>
  <c r="J611" i="19"/>
  <c r="J543" i="19"/>
  <c r="I43" i="34"/>
  <c r="M43" i="34" s="1"/>
  <c r="M44" i="34" s="1"/>
  <c r="J475" i="19"/>
  <c r="I43" i="27"/>
  <c r="M43" i="27" s="1"/>
  <c r="M44" i="27" s="1"/>
  <c r="J679" i="19"/>
  <c r="J674" i="19"/>
  <c r="I43" i="37"/>
  <c r="M43" i="37" s="1"/>
  <c r="M44" i="37" s="1"/>
  <c r="E39" i="33"/>
  <c r="I43" i="40"/>
  <c r="M43" i="40" s="1"/>
  <c r="M44" i="40" s="1"/>
  <c r="J822" i="19"/>
  <c r="J827" i="19"/>
  <c r="M44" i="28"/>
  <c r="G45" i="33" l="1"/>
  <c r="I45" i="33" s="1"/>
  <c r="E69" i="33"/>
  <c r="E385" i="19"/>
  <c r="E386" i="19" s="1"/>
  <c r="H346" i="19"/>
  <c r="C963" i="33"/>
  <c r="C964" i="33" s="1"/>
  <c r="M44" i="16"/>
  <c r="A915" i="33" s="1"/>
  <c r="A950" i="33"/>
  <c r="E75" i="33"/>
  <c r="E47" i="33"/>
  <c r="G47" i="33" l="1"/>
  <c r="I47" i="33" s="1"/>
  <c r="G75" i="33"/>
  <c r="I75" i="33" s="1"/>
  <c r="A318" i="33"/>
  <c r="E77" i="33"/>
  <c r="G77" i="33" l="1"/>
  <c r="I77" i="33" s="1"/>
  <c r="C599" i="19" l="1"/>
  <c r="G599" i="19" s="1"/>
  <c r="D40" i="33" l="1"/>
  <c r="E40" i="33" s="1"/>
  <c r="E70" i="33" s="1"/>
  <c r="C667" i="19"/>
  <c r="G667" i="19" s="1"/>
  <c r="O34" i="37" s="1"/>
  <c r="C815" i="19"/>
  <c r="G815" i="19" s="1"/>
  <c r="K34" i="40" s="1"/>
  <c r="K34" i="34"/>
  <c r="O34" i="34"/>
  <c r="C531" i="19"/>
  <c r="G531" i="19" s="1"/>
  <c r="C741" i="19"/>
  <c r="G741" i="19" s="1"/>
  <c r="E308" i="19"/>
  <c r="K34" i="16"/>
  <c r="C463" i="19"/>
  <c r="G463" i="19" s="1"/>
  <c r="G861" i="19" l="1"/>
  <c r="G863" i="19" s="1"/>
  <c r="O39" i="37"/>
  <c r="G856" i="19"/>
  <c r="G858" i="19" s="1"/>
  <c r="O39" i="34"/>
  <c r="K34" i="37"/>
  <c r="O34" i="40"/>
  <c r="G40" i="33"/>
  <c r="G70" i="33" s="1"/>
  <c r="I69" i="33" s="1"/>
  <c r="F113" i="33" s="1"/>
  <c r="G90" i="33"/>
  <c r="E90" i="33" s="1"/>
  <c r="E41" i="33"/>
  <c r="E44" i="33" s="1"/>
  <c r="E46" i="33" s="1"/>
  <c r="O34" i="28"/>
  <c r="K34" i="28"/>
  <c r="O34" i="27"/>
  <c r="K34" i="27"/>
  <c r="A884" i="33"/>
  <c r="H308" i="19"/>
  <c r="G308" i="19" s="1"/>
  <c r="J307" i="19" s="1"/>
  <c r="K34" i="38"/>
  <c r="O34" i="38"/>
  <c r="O43" i="37" l="1"/>
  <c r="H862" i="19" s="1"/>
  <c r="H863" i="19" s="1"/>
  <c r="H864" i="19" s="1"/>
  <c r="N40" i="37"/>
  <c r="G864" i="19"/>
  <c r="O43" i="34"/>
  <c r="H857" i="19" s="1"/>
  <c r="H858" i="19" s="1"/>
  <c r="H859" i="19" s="1"/>
  <c r="N40" i="34"/>
  <c r="G859" i="19"/>
  <c r="G851" i="19"/>
  <c r="G853" i="19" s="1"/>
  <c r="O39" i="28"/>
  <c r="G866" i="19"/>
  <c r="G868" i="19" s="1"/>
  <c r="O39" i="38"/>
  <c r="G871" i="19"/>
  <c r="G873" i="19" s="1"/>
  <c r="O39" i="40"/>
  <c r="H12" i="33"/>
  <c r="A14" i="33" s="1"/>
  <c r="A137" i="33" s="1"/>
  <c r="G846" i="19"/>
  <c r="G848" i="19" s="1"/>
  <c r="O39" i="27"/>
  <c r="G366" i="19"/>
  <c r="D39" i="33"/>
  <c r="G41" i="33"/>
  <c r="G44" i="33" s="1"/>
  <c r="G74" i="33" s="1"/>
  <c r="I39" i="33"/>
  <c r="E71" i="33"/>
  <c r="F112" i="33" s="1"/>
  <c r="H90" i="33"/>
  <c r="A883" i="33"/>
  <c r="A890" i="33" s="1"/>
  <c r="O34" i="16"/>
  <c r="E74" i="33"/>
  <c r="E76" i="33"/>
  <c r="E48" i="33"/>
  <c r="O44" i="37" l="1"/>
  <c r="N45" i="37" s="1"/>
  <c r="H640" i="19" s="1"/>
  <c r="O44" i="34"/>
  <c r="N45" i="34" s="1"/>
  <c r="H572" i="19" s="1"/>
  <c r="N40" i="28"/>
  <c r="O43" i="28"/>
  <c r="H852" i="19" s="1"/>
  <c r="H853" i="19" s="1"/>
  <c r="H854" i="19" s="1"/>
  <c r="G854" i="19"/>
  <c r="G869" i="19"/>
  <c r="O43" i="38"/>
  <c r="H867" i="19" s="1"/>
  <c r="H868" i="19" s="1"/>
  <c r="H869" i="19" s="1"/>
  <c r="N40" i="38"/>
  <c r="O43" i="40"/>
  <c r="H872" i="19" s="1"/>
  <c r="H873" i="19" s="1"/>
  <c r="H874" i="19" s="1"/>
  <c r="N40" i="40"/>
  <c r="G874" i="19"/>
  <c r="N40" i="27"/>
  <c r="O43" i="27"/>
  <c r="H847" i="19" s="1"/>
  <c r="H848" i="19" s="1"/>
  <c r="H849" i="19" s="1"/>
  <c r="G849" i="19"/>
  <c r="A902" i="33"/>
  <c r="A305" i="33" s="1"/>
  <c r="A309" i="19"/>
  <c r="G89" i="33"/>
  <c r="E89" i="33" s="1"/>
  <c r="F89" i="33" s="1"/>
  <c r="F90" i="33" s="1"/>
  <c r="F91" i="33" s="1"/>
  <c r="G46" i="33"/>
  <c r="G76" i="33" s="1"/>
  <c r="I76" i="33" s="1"/>
  <c r="I41" i="33"/>
  <c r="I44" i="33"/>
  <c r="G92" i="33" s="1"/>
  <c r="I74" i="33"/>
  <c r="F115" i="33" s="1"/>
  <c r="G116" i="33" s="1"/>
  <c r="G71" i="33"/>
  <c r="I71" i="33" s="1"/>
  <c r="E78" i="33"/>
  <c r="A179" i="33"/>
  <c r="B383" i="19"/>
  <c r="D383" i="19" s="1"/>
  <c r="D384" i="19" s="1"/>
  <c r="G841" i="19"/>
  <c r="G843" i="19" s="1"/>
  <c r="W39" i="16"/>
  <c r="U39" i="16"/>
  <c r="AA40" i="16" s="1"/>
  <c r="AA42" i="16" s="1"/>
  <c r="H678" i="19" l="1"/>
  <c r="G678" i="19" s="1"/>
  <c r="H610" i="19"/>
  <c r="G610" i="19" s="1"/>
  <c r="O44" i="40"/>
  <c r="N45" i="40" s="1"/>
  <c r="H788" i="19" s="1"/>
  <c r="O44" i="28"/>
  <c r="N45" i="28" s="1"/>
  <c r="O44" i="38"/>
  <c r="N45" i="38" s="1"/>
  <c r="H714" i="19" s="1"/>
  <c r="O44" i="27"/>
  <c r="N45" i="27" s="1"/>
  <c r="H436" i="19" s="1"/>
  <c r="I46" i="33"/>
  <c r="G48" i="33"/>
  <c r="G78" i="33" s="1"/>
  <c r="I78" i="33" s="1"/>
  <c r="I79" i="33" s="1"/>
  <c r="H89" i="33"/>
  <c r="G93" i="33"/>
  <c r="E92" i="33"/>
  <c r="F92" i="33" s="1"/>
  <c r="H92" i="33"/>
  <c r="F384" i="19"/>
  <c r="G384" i="19" s="1"/>
  <c r="H384" i="19" s="1"/>
  <c r="V39" i="16" s="1"/>
  <c r="D385" i="19"/>
  <c r="F385" i="19" s="1"/>
  <c r="W43" i="16"/>
  <c r="W44" i="16" s="1"/>
  <c r="G844" i="19"/>
  <c r="H826" i="19" l="1"/>
  <c r="H752" i="19"/>
  <c r="H504" i="19"/>
  <c r="H542" i="19"/>
  <c r="G542" i="19" s="1"/>
  <c r="H474" i="19"/>
  <c r="G474" i="19" s="1"/>
  <c r="I48" i="33"/>
  <c r="E49" i="33"/>
  <c r="E50" i="33" s="1"/>
  <c r="H93" i="33"/>
  <c r="G117" i="33" s="1"/>
  <c r="D386" i="19"/>
  <c r="F386" i="19" s="1"/>
  <c r="A389" i="19" s="1"/>
  <c r="B389" i="19" s="1"/>
  <c r="B390" i="19" s="1"/>
  <c r="C393" i="19" l="1"/>
  <c r="W45" i="16" s="1"/>
  <c r="D964" i="33" s="1"/>
  <c r="C392" i="19"/>
  <c r="O39" i="16" s="1"/>
  <c r="I49" i="33"/>
  <c r="G110" i="33"/>
  <c r="H110" i="33" s="1"/>
  <c r="G386" i="19"/>
  <c r="U43" i="16" l="1"/>
  <c r="O43" i="16"/>
  <c r="O412" i="19"/>
  <c r="Q412" i="19" s="1"/>
  <c r="B1038" i="33"/>
  <c r="U40" i="16"/>
  <c r="D393" i="19"/>
  <c r="E393" i="19" s="1"/>
  <c r="X39" i="16"/>
  <c r="M40" i="16" s="1"/>
  <c r="F962" i="33" s="1"/>
  <c r="B962" i="33"/>
  <c r="D962" i="33" s="1"/>
  <c r="B806" i="33"/>
  <c r="C806" i="33" s="1"/>
  <c r="E806" i="33" s="1"/>
  <c r="D693" i="33"/>
  <c r="E693" i="33" s="1"/>
  <c r="G693" i="33" s="1"/>
  <c r="H1056" i="33"/>
  <c r="D1056" i="33"/>
  <c r="B1057" i="33"/>
  <c r="G1056" i="33"/>
  <c r="I1056" i="33"/>
  <c r="E1056" i="33"/>
  <c r="F1056" i="33"/>
  <c r="H117" i="33"/>
  <c r="H116" i="33"/>
  <c r="V45" i="16"/>
  <c r="H386" i="19"/>
  <c r="V44" i="16" s="1"/>
  <c r="A970" i="33" l="1"/>
  <c r="O44" i="16"/>
  <c r="X44" i="16" s="1"/>
  <c r="F390" i="19" s="1"/>
  <c r="Z40" i="16"/>
  <c r="Z42" i="16" s="1"/>
  <c r="Y42" i="16"/>
  <c r="E1038" i="33"/>
  <c r="B1039" i="33"/>
  <c r="D1038" i="33"/>
  <c r="H1038" i="33"/>
  <c r="G1038" i="33"/>
  <c r="I1038" i="33"/>
  <c r="F1038" i="33"/>
  <c r="U44" i="16"/>
  <c r="H842" i="19"/>
  <c r="H843" i="19" s="1"/>
  <c r="H844" i="19" s="1"/>
  <c r="H345" i="19"/>
  <c r="A947" i="33"/>
  <c r="A330" i="33" s="1"/>
  <c r="B963" i="33"/>
  <c r="H1057" i="33"/>
  <c r="H1058" i="33" s="1"/>
  <c r="I1057" i="33"/>
  <c r="I1058" i="33" s="1"/>
  <c r="E1057" i="33"/>
  <c r="E1058" i="33" s="1"/>
  <c r="G1057" i="33"/>
  <c r="G1058" i="33" s="1"/>
  <c r="F1057" i="33"/>
  <c r="F1058" i="33" s="1"/>
  <c r="D1057" i="33"/>
  <c r="D1058" i="33" s="1"/>
  <c r="O413" i="19" l="1"/>
  <c r="E362" i="19" s="1"/>
  <c r="D694" i="33"/>
  <c r="E694" i="33" s="1"/>
  <c r="G694" i="33" s="1"/>
  <c r="B807" i="33"/>
  <c r="C807" i="33" s="1"/>
  <c r="E807" i="33" s="1"/>
  <c r="U45" i="16"/>
  <c r="AA45" i="16" s="1"/>
  <c r="AA47" i="16" s="1"/>
  <c r="AA48" i="16" s="1"/>
  <c r="B964" i="33"/>
  <c r="D963" i="33"/>
  <c r="D965" i="33" s="1"/>
  <c r="F1039" i="33"/>
  <c r="F1040" i="33" s="1"/>
  <c r="H1039" i="33"/>
  <c r="H1040" i="33" s="1"/>
  <c r="I1039" i="33"/>
  <c r="I1040" i="33" s="1"/>
  <c r="E1039" i="33"/>
  <c r="E1040" i="33" s="1"/>
  <c r="D1039" i="33"/>
  <c r="D1040" i="33" s="1"/>
  <c r="G1039" i="33"/>
  <c r="G1040" i="33" s="1"/>
  <c r="A1060" i="33"/>
  <c r="A379" i="19"/>
  <c r="B379" i="19" s="1"/>
  <c r="C379" i="19" s="1"/>
  <c r="D379" i="19" s="1"/>
  <c r="C389" i="19"/>
  <c r="M45" i="16"/>
  <c r="F964" i="33" s="1"/>
  <c r="X45" i="16"/>
  <c r="A980" i="33" s="1"/>
  <c r="Q413" i="19" l="1"/>
  <c r="M420" i="19" s="1"/>
  <c r="A364" i="19" s="1"/>
  <c r="A363" i="19"/>
  <c r="Y47" i="16"/>
  <c r="Y48" i="16" s="1"/>
  <c r="Z45" i="16"/>
  <c r="Z47" i="16" s="1"/>
  <c r="Z48" i="16" s="1"/>
  <c r="I50" i="33"/>
  <c r="A972" i="33"/>
  <c r="A971" i="33"/>
  <c r="A1042" i="33"/>
  <c r="A369" i="33" s="1"/>
  <c r="F362" i="19"/>
  <c r="G362" i="19" s="1"/>
  <c r="E363" i="19" s="1"/>
  <c r="B372" i="19"/>
  <c r="D380" i="19"/>
  <c r="E380" i="19" s="1"/>
  <c r="H387" i="19"/>
  <c r="N40" i="16"/>
  <c r="A999" i="33" s="1"/>
  <c r="G350" i="19" l="1"/>
  <c r="A992" i="33" s="1"/>
  <c r="A344" i="33" s="1"/>
  <c r="N45" i="16"/>
  <c r="R22" i="20" s="1"/>
  <c r="N21" i="32" s="1"/>
  <c r="A365" i="19"/>
  <c r="B400" i="19"/>
  <c r="J357" i="19" s="1"/>
  <c r="F359" i="19" s="1"/>
  <c r="B373" i="19"/>
  <c r="B374" i="19" s="1"/>
  <c r="E409" i="19"/>
  <c r="K1001" i="33"/>
  <c r="E410" i="19" l="1"/>
  <c r="A19" i="33" s="1"/>
  <c r="A139" i="33" s="1"/>
  <c r="G365" i="19"/>
  <c r="A348" i="19"/>
  <c r="B375" i="19"/>
  <c r="A357" i="19" s="1"/>
  <c r="A74" i="19" l="1"/>
  <c r="A310" i="19" s="1"/>
  <c r="A168" i="19" l="1"/>
  <c r="A116" i="19"/>
  <c r="A341" i="19"/>
  <c r="A367" i="19"/>
  <c r="A347" i="19"/>
  <c r="A278" i="19"/>
  <c r="A230"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Andreas Kropik</author>
  </authors>
  <commentList>
    <comment ref="D153" authorId="0" shapeId="0" xr:uid="{9A844196-DA48-4C2E-855C-24BB48E66C51}">
      <text>
        <r>
          <rPr>
            <sz val="9"/>
            <color indexed="81"/>
            <rFont val="Segoe UI"/>
            <family val="2"/>
          </rPr>
          <t>Es besteht die Möglichkeit der individuellen Änderung der Quelldaten (zB erforderlich wenn Ausfallzeiten (zB Schlechtwetter) die in den UPNK als Durchschnittswert enthalten sind, durch projektindividuelle Kalkulation (zB als sonstige unproduktive Zeiten (PROJEKT A2.b)) substituiert und damt verringert werden.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Andreas Kropik</author>
    <author>Autor</author>
  </authors>
  <commentList>
    <comment ref="A16" authorId="0" shapeId="0" xr:uid="{95BD2578-4098-460C-9FB1-FB7ED6C952E9}">
      <text>
        <r>
          <rPr>
            <sz val="9"/>
            <color indexed="81"/>
            <rFont val="Segoe UI"/>
            <family val="2"/>
          </rPr>
          <t xml:space="preserve">Wichtig, wenn im K7-Blatt mit mehreren Löhnen kalkuliert wird. Für jeden Lohn ein eigenes K3-Blatt!
</t>
        </r>
      </text>
    </comment>
    <comment ref="A18" authorId="0" shapeId="0" xr:uid="{472F307F-6220-47DF-B6B3-112A53FC8EB5}">
      <text>
        <r>
          <rPr>
            <sz val="9"/>
            <color indexed="81"/>
            <rFont val="Segoe UI"/>
            <family val="2"/>
          </rPr>
          <t>Geschäftszahl (Gz) des Unternehmers (UN); (optional)</t>
        </r>
      </text>
    </comment>
    <comment ref="A19" authorId="0" shapeId="0" xr:uid="{60865A72-AE80-40B4-99F1-D7953A757E2B}">
      <text>
        <r>
          <rPr>
            <sz val="9"/>
            <color indexed="81"/>
            <rFont val="Segoe UI"/>
            <family val="2"/>
          </rPr>
          <t>Geschäftszahl (Gz) des Auftraggebers (AG); falls bekannt</t>
        </r>
      </text>
    </comment>
    <comment ref="A28" authorId="0" shapeId="0" xr:uid="{3168D117-9807-4C17-BE3F-6A4B499D014E}">
      <text>
        <r>
          <rPr>
            <sz val="9"/>
            <color indexed="81"/>
            <rFont val="Segoe UI"/>
            <family val="2"/>
          </rPr>
          <t>Bitte auswählen (Dropdown-Felder). Regiekalkulation im Anschluss zur Mittelpersonal Preiskalkulation.
Die ÖN B 2061 kennt "nur" Lohn/Gehalt bzw Montage/Vorfertigung. Falls zutreffend sind noch weitere Möglichkeiten zur Auswahl vorhanden.</t>
        </r>
      </text>
    </comment>
    <comment ref="A33" authorId="0" shapeId="0" xr:uid="{4C2FFC39-908A-42BF-B995-22B5C61A5135}">
      <text>
        <r>
          <rPr>
            <sz val="9"/>
            <color indexed="81"/>
            <rFont val="Segoe UI"/>
            <family val="2"/>
          </rPr>
          <t>Eintrag der durchschnittlichen  Baustellenbesetzung ("produktives Personal"; eine allfällige Minderung des produktiven Teils ergibt sich aus B2.a).</t>
        </r>
      </text>
    </comment>
    <comment ref="A35" authorId="0" shapeId="0" xr:uid="{D4E94B5E-D5F4-41A7-8BAF-C8C07CFDE5E1}">
      <text>
        <r>
          <rPr>
            <sz val="9"/>
            <color indexed="81"/>
            <rFont val="Segoe UI"/>
            <family val="2"/>
          </rPr>
          <t xml:space="preserve">Auswahl mittels Dropdown. Die Stammdaten werden aus der </t>
        </r>
        <r>
          <rPr>
            <b/>
            <sz val="9"/>
            <color indexed="81"/>
            <rFont val="Segoe UI"/>
            <family val="2"/>
          </rPr>
          <t>Quelldatei</t>
        </r>
        <r>
          <rPr>
            <sz val="9"/>
            <color indexed="81"/>
            <rFont val="Segoe UI"/>
            <family val="2"/>
          </rPr>
          <t xml:space="preserve"> übertragen.</t>
        </r>
      </text>
    </comment>
    <comment ref="E35" authorId="0" shapeId="0" xr:uid="{0693C808-C1AE-44FF-A125-7D59C525E399}">
      <text>
        <r>
          <rPr>
            <sz val="9"/>
            <color indexed="81"/>
            <rFont val="Segoe UI"/>
            <family val="2"/>
          </rPr>
          <t xml:space="preserve">Durchschnittliche Anzahl der Projektmitarbeiter angeben.
</t>
        </r>
      </text>
    </comment>
    <comment ref="A50" authorId="0" shapeId="0" xr:uid="{76604ECB-11F1-4925-9C45-D113BEF98655}">
      <text>
        <r>
          <rPr>
            <sz val="9"/>
            <color indexed="81"/>
            <rFont val="Segoe UI"/>
            <family val="2"/>
          </rPr>
          <t xml:space="preserve">Unprod. Zeiten setzen sich aus </t>
        </r>
        <r>
          <rPr>
            <b/>
            <sz val="9"/>
            <color indexed="81"/>
            <rFont val="Segoe UI"/>
            <family val="2"/>
          </rPr>
          <t>unproduktiven Zeiten des Personals (B2.a)</t>
        </r>
        <r>
          <rPr>
            <sz val="9"/>
            <color indexed="81"/>
            <rFont val="Segoe UI"/>
            <family val="2"/>
          </rPr>
          <t xml:space="preserve"> zB für Aufsicht od administrative Tätigkeiten und s</t>
        </r>
        <r>
          <rPr>
            <b/>
            <sz val="9"/>
            <color indexed="81"/>
            <rFont val="Segoe UI"/>
            <family val="2"/>
          </rPr>
          <t>onstigen unprod. Zeiten (B2.b)</t>
        </r>
        <r>
          <rPr>
            <sz val="9"/>
            <color indexed="81"/>
            <rFont val="Segoe UI"/>
            <family val="2"/>
          </rPr>
          <t xml:space="preserve"> zusammen.</t>
        </r>
      </text>
    </comment>
    <comment ref="A51" authorId="0" shapeId="0" xr:uid="{CB77B948-4285-496F-B118-D979D10AF753}">
      <text>
        <r>
          <rPr>
            <sz val="9"/>
            <color indexed="81"/>
            <rFont val="Segoe UI"/>
            <family val="2"/>
          </rPr>
          <t>Allfällig vorgesehenes unprod. Pers. wählen (es muss dem gleichen KollV unterliegen!). Umlage von zB Bauleitung in K3 Zeile 17 (Pkt H) oder K2a-Blatt vornehmen.</t>
        </r>
      </text>
    </comment>
    <comment ref="A56" authorId="0" shapeId="0" xr:uid="{0FC14A42-7C22-460C-AB33-15BA56C69BFE}">
      <text>
        <r>
          <rPr>
            <sz val="9"/>
            <color indexed="81"/>
            <rFont val="Segoe UI"/>
            <family val="2"/>
          </rPr>
          <t xml:space="preserve">Festlegung, ob das unprod. P. zusätzlich (KZ=1) zum oder aus dem Stamm der prod. Mitarbeiter (gem B1) stammt. Übernimmt ein Beschäftigter aus B1 administrative Aufgaben, KZ=0 wählen, überwacht zB ein Vizepolier 3 Baustellen ohne selbst produktiv mitzuarbeiten, KZ=1 mit Anzahl 0,3 eintragen.
</t>
        </r>
      </text>
    </comment>
    <comment ref="A59" authorId="0" shapeId="0" xr:uid="{8D8CBD44-2F5C-42B7-9A6E-ECAAE6257CFF}">
      <text>
        <r>
          <rPr>
            <sz val="10"/>
            <color indexed="81"/>
            <rFont val="Calibri"/>
            <family val="2"/>
            <scheme val="minor"/>
          </rPr>
          <t>Für allfällige sonstige unprod. Zeiten (wie zB längere Zugangswege die in den Auwandswerten nicht erfasst sind, einzurechnende Arbeitsunterbrechungen, kurze Arbeitszeitfenster (zB Arbeit in Gleissperre)). Es muss sich dabei um projektspezifische Zeiten handeln. Allgemeine nicht produktive Zeiten (Ausfallzeiten) werden bei der Ermittlung der UPNK berücksichtigt.</t>
        </r>
        <r>
          <rPr>
            <sz val="9"/>
            <color indexed="81"/>
            <rFont val="Segoe UI"/>
            <family val="2"/>
          </rPr>
          <t xml:space="preserve">
</t>
        </r>
      </text>
    </comment>
    <comment ref="F59" authorId="0" shapeId="0" xr:uid="{C7F5CEBC-B419-431B-9D79-3912D5E18B10}">
      <text>
        <r>
          <rPr>
            <sz val="9"/>
            <color indexed="81"/>
            <rFont val="Segoe UI"/>
            <family val="2"/>
          </rPr>
          <t>unprod. Zeit in % der bezahlten Zeit (zB: 8 Std bezahlte Stunden u 6 erlösbringende Stunden: 2/8 --&gt; 25%.</t>
        </r>
      </text>
    </comment>
    <comment ref="A61" authorId="1" shapeId="0" xr:uid="{86283683-87EA-42F2-B09A-FFD9A0D2164F}">
      <text>
        <r>
          <rPr>
            <sz val="10"/>
            <color indexed="81"/>
            <rFont val="Calibri"/>
            <family val="2"/>
            <scheme val="minor"/>
          </rPr>
          <t>Bitte hier den Grund / den Umstand für die angesetzte unproduktive Zeit angeben.</t>
        </r>
      </text>
    </comment>
    <comment ref="A71" authorId="0" shapeId="0" xr:uid="{E0080300-4F64-45C1-90C5-0769F59DFEE9}">
      <text>
        <r>
          <rPr>
            <sz val="9"/>
            <color indexed="81"/>
            <rFont val="Segoe UI"/>
            <family val="2"/>
          </rPr>
          <t xml:space="preserve">Möglichkeit der Anpassung der errechneten Werte.
</t>
        </r>
      </text>
    </comment>
    <comment ref="A78" authorId="0" shapeId="0" xr:uid="{09828BE4-3AB8-458B-B58D-47AC9DBE5CED}">
      <text>
        <r>
          <rPr>
            <sz val="9"/>
            <color indexed="81"/>
            <rFont val="Segoe UI"/>
            <family val="2"/>
          </rPr>
          <t>Die prozentuelle Hinzurechnung, zB für Überstunde mit 50%-Aufzahlung, bezieht sich gem den einzelnen Branchen-KollV auf unterschiedliche Basen. Ist dort nichts geregelt, ist das "Entgelt" die Basis (KZ=4). Anders zB Baugewerbe &amp; Bauindustrie KZ=1, Eisen- und Metall verarbeitendes Gewerbe KZ=2; KollV beachten!</t>
        </r>
      </text>
    </comment>
    <comment ref="G78" authorId="0" shapeId="0" xr:uid="{F72C3B8B-7B41-4819-8F51-0A5C3139FBBB}">
      <text>
        <r>
          <rPr>
            <sz val="9"/>
            <color indexed="81"/>
            <rFont val="Segoe UI"/>
            <family val="2"/>
          </rPr>
          <t xml:space="preserve">Erforderlich, wenn sich der Mehrarbeitszuschlag gem KollV zB auf das KV-Entgelt + AKV-Entgelt bezieht. Das legen Sie ua mit dem KZ fest. Nach dem Kalkulationsaufbau wird der Zuschlag dem KV-Entgelt augerechnet, ist die Basis jedoch KV+... stellt der Basisfaktor den erforderlichen Hebefaktor dar. </t>
        </r>
      </text>
    </comment>
    <comment ref="H78" authorId="0" shapeId="0" xr:uid="{1166D1FC-3155-459F-95A6-2A67841996D7}">
      <text>
        <r>
          <rPr>
            <sz val="9"/>
            <color indexed="81"/>
            <rFont val="Segoe UI"/>
            <family val="2"/>
          </rPr>
          <t>Den möglichen Faktor bestimmt der KollV. Die Eingabe des Faktors erfolgt in der Quelldatei).</t>
        </r>
      </text>
    </comment>
    <comment ref="E84" authorId="0" shapeId="0" xr:uid="{A7AAF4A5-284F-419B-A5DA-D9D090FD8508}">
      <text>
        <r>
          <rPr>
            <sz val="9"/>
            <color indexed="81"/>
            <rFont val="Segoe UI"/>
            <family val="2"/>
          </rPr>
          <t>Beschreibung der KZ siehe oben unter C0.</t>
        </r>
      </text>
    </comment>
    <comment ref="A88" authorId="0" shapeId="0" xr:uid="{6D13DCEB-749A-4835-9F75-F67E25887977}">
      <text>
        <r>
          <rPr>
            <sz val="8"/>
            <color indexed="81"/>
            <rFont val="Segoe UI"/>
            <family val="2"/>
          </rPr>
          <t>Mehrarbeits- oder Überstunden hier auswählen. Anzahl der Std pro Woche angeben. KZ f d Basis der Aufz. wählen.</t>
        </r>
        <r>
          <rPr>
            <sz val="9"/>
            <color indexed="81"/>
            <rFont val="Segoe UI"/>
            <family val="2"/>
          </rPr>
          <t xml:space="preserve">
</t>
        </r>
      </text>
    </comment>
    <comment ref="A98" authorId="0" shapeId="0" xr:uid="{E76544BF-07D6-47F5-AC78-725EEEED48DC}">
      <text>
        <r>
          <rPr>
            <sz val="8"/>
            <color indexed="81"/>
            <rFont val="Segoe UI"/>
            <family val="2"/>
          </rPr>
          <t>Verr.-Std f zB Schichtarbeit od Nachtarbeit angeben. Die Aufz. ist gem KollV in %; Basis durch KZ (siehe C0) festlegen.</t>
        </r>
        <r>
          <rPr>
            <sz val="9"/>
            <color indexed="81"/>
            <rFont val="Segoe UI"/>
            <family val="2"/>
          </rPr>
          <t xml:space="preserve">
</t>
        </r>
      </text>
    </comment>
    <comment ref="A104" authorId="0" shapeId="0" xr:uid="{55B7714D-04EC-4075-9E79-674B6F69500D}">
      <text>
        <r>
          <rPr>
            <sz val="8"/>
            <color indexed="81"/>
            <rFont val="Segoe UI"/>
            <family val="2"/>
          </rPr>
          <t>Verr.-Std f zB Schichtarbeit od Nachtarbeit angeben. Die Aufz. ist gem KollV in Euro.</t>
        </r>
      </text>
    </comment>
    <comment ref="A120" authorId="0" shapeId="0" xr:uid="{76031665-8E70-4718-A411-1C3026DE701F}">
      <text>
        <r>
          <rPr>
            <sz val="9"/>
            <color indexed="81"/>
            <rFont val="Segoe UI"/>
            <family val="2"/>
          </rPr>
          <t>Zulage(n) mittels Dropdown aus den Stammdaten (Quelldatei) wählen.</t>
        </r>
      </text>
    </comment>
    <comment ref="C120" authorId="0" shapeId="0" xr:uid="{F395F31F-F647-490F-BE75-75D6443935F0}">
      <text>
        <r>
          <rPr>
            <sz val="9"/>
            <color indexed="81"/>
            <rFont val="Segoe UI"/>
            <family val="2"/>
          </rPr>
          <t>Gewichtung nach dem Anteil (%) des von der Zulage betroffenen produktiven Personals gem B1 (100% = alle).</t>
        </r>
      </text>
    </comment>
    <comment ref="D120" authorId="0" shapeId="0" xr:uid="{977514EC-C27F-4C8B-9C7E-1A5F9B08228B}">
      <text>
        <r>
          <rPr>
            <sz val="9"/>
            <color indexed="81"/>
            <rFont val="Segoe UI"/>
            <family val="2"/>
          </rPr>
          <t>Gewichtung nach der Dauer für die die Zulage gebührt (Anspruchsdauer in % der Ausführungszeit; 100% = Anspruch über die gesamte Ausführungszeit).</t>
        </r>
      </text>
    </comment>
    <comment ref="A131" authorId="0" shapeId="0" xr:uid="{74F29C41-845F-49A3-A60F-721409A42944}">
      <text>
        <r>
          <rPr>
            <sz val="9"/>
            <color indexed="81"/>
            <rFont val="Segoe UI"/>
            <family val="2"/>
          </rPr>
          <t>Darüber, was als Basis für die Zulagen in % heranzuziehen ist, gibt der KollV Auskunft (KV- oder KV- plus AKV-Entgelt).</t>
        </r>
      </text>
    </comment>
    <comment ref="B135" authorId="0" shapeId="0" xr:uid="{07891F7F-9424-4627-A518-2CF7BE23C7EE}">
      <text>
        <r>
          <rPr>
            <sz val="9"/>
            <color indexed="81"/>
            <rFont val="Segoe UI"/>
            <family val="2"/>
          </rPr>
          <t>Die Schmutzzulage kann abgabefrei sein. Da sie aber weiterhin dem FLAF und der Kommunalsteuer unterliegt und die Entgeltfortzahlung und die Sonderzahlunegen nicht abgabefrei sind, erfolgt in D1.b1/b2 eine Aufteilung.</t>
        </r>
      </text>
    </comment>
    <comment ref="H137" authorId="0" shapeId="0" xr:uid="{47188A1B-F860-4B91-A6AF-28FE7F4124C5}">
      <text>
        <r>
          <rPr>
            <sz val="9"/>
            <color indexed="81"/>
            <rFont val="Segoe UI"/>
            <family val="2"/>
          </rPr>
          <t>Auf KollV-Werte in % wird der Basisfaktor (AV-Entgelt/AK+AKV) wie in D1.a eingestellt angewandt.</t>
        </r>
      </text>
    </comment>
    <comment ref="F138" authorId="0" shapeId="0" xr:uid="{74895A65-4399-4CAC-AF11-E336A57081B0}">
      <text>
        <r>
          <rPr>
            <sz val="9"/>
            <color indexed="81"/>
            <rFont val="Segoe UI"/>
            <family val="2"/>
          </rPr>
          <t>Die Abgabefreiheit bezieht sich nicht auf FLAF und Kommunalsteuer und nicht auf Entgeltfortzahlungen (zB Feiertagsentgelt) und Sonderzahlungen (überschlägig kann eine Aufteilung mit 30% Entfall auf plichtig und 70% frei angenommen werden; Stand 01/2024).</t>
        </r>
      </text>
    </comment>
    <comment ref="G139" authorId="0" shapeId="0" xr:uid="{63F041D9-F31B-4396-AA94-B4A4D45622BE}">
      <text>
        <r>
          <rPr>
            <sz val="9"/>
            <color indexed="81"/>
            <rFont val="Segoe UI"/>
            <family val="2"/>
          </rPr>
          <t xml:space="preserve">Berechnung (% → €) erfolgt analog der Einstellung (KZ) in Pkt D1.a. </t>
        </r>
      </text>
    </comment>
    <comment ref="A142" authorId="0" shapeId="0" xr:uid="{CF91B884-7E11-4057-9F9F-83A6C9DBF163}">
      <text>
        <r>
          <rPr>
            <sz val="9"/>
            <color indexed="81"/>
            <rFont val="Segoe UI"/>
            <family val="2"/>
          </rPr>
          <t xml:space="preserve">Gleicher %_Satz (Übernahme; JA) sinnvoll, wenn unprod. Pers. aus dem Kreis des prod. Pers. festgelegt ist (KZ = 0 bei A2). 
</t>
        </r>
      </text>
    </comment>
    <comment ref="A143" authorId="0" shapeId="0" xr:uid="{77599E7D-DDC4-4641-8743-DE395600141A}">
      <text>
        <r>
          <rPr>
            <sz val="9"/>
            <color indexed="81"/>
            <rFont val="Segoe UI"/>
            <family val="2"/>
          </rPr>
          <t xml:space="preserve">Allfällige Zulagen für das unter B2.a kalkulierte unproduktive Personal.
</t>
        </r>
      </text>
    </comment>
    <comment ref="C143" authorId="0" shapeId="0" xr:uid="{0ECF9E70-F9D7-46BA-A929-D1B4EF9980B5}">
      <text>
        <r>
          <rPr>
            <sz val="9"/>
            <color indexed="81"/>
            <rFont val="Segoe UI"/>
            <family val="2"/>
          </rPr>
          <t>Gewichtung nach dem Anteil (%) des von der Zulage betroffenen produktiven Personals gem B1 (100% = alle).</t>
        </r>
      </text>
    </comment>
    <comment ref="D143" authorId="0" shapeId="0" xr:uid="{82E8CDDD-C6DE-4DA9-A79B-18CF236B8150}">
      <text>
        <r>
          <rPr>
            <sz val="9"/>
            <color indexed="81"/>
            <rFont val="Segoe UI"/>
            <family val="2"/>
          </rPr>
          <t>Gewichtung nach der Dauer für die die Zulage gebührt (Anspruchsdauer in % der Ausführungszeit; 100% = Anspruch über die gesamte Ausführungszeit).</t>
        </r>
      </text>
    </comment>
    <comment ref="A157" authorId="0" shapeId="0" xr:uid="{D51E4665-21FD-4C0C-8B29-933E4E6AC297}">
      <text>
        <r>
          <rPr>
            <sz val="9"/>
            <color indexed="81"/>
            <rFont val="Segoe UI"/>
            <family val="2"/>
          </rPr>
          <t xml:space="preserve">Wenn auch die in B2.b angelegten unproduktiven Zeiten  aufzahlungspflichtig sind, JA auswählen.
</t>
        </r>
      </text>
    </comment>
    <comment ref="D171" authorId="0" shapeId="0" xr:uid="{4F032CA9-D778-4DE4-8058-C96FE2EDD41A}">
      <text>
        <r>
          <rPr>
            <sz val="9"/>
            <color indexed="81"/>
            <rFont val="Segoe UI"/>
            <family val="2"/>
          </rPr>
          <t>Für Entschädigungen in €/Std (zB Montage-zulage nach dem KollV Eisen &amp; Metall).</t>
        </r>
      </text>
    </comment>
    <comment ref="D172" authorId="0" shapeId="0" xr:uid="{7FACAF4F-5754-400B-A570-D51E84618DD4}">
      <text>
        <r>
          <rPr>
            <sz val="9"/>
            <color indexed="81"/>
            <rFont val="Segoe UI"/>
            <family val="2"/>
          </rPr>
          <t>Anspruchsberechtigte in % des produktiven Personals angeben.</t>
        </r>
      </text>
    </comment>
    <comment ref="F172" authorId="0" shapeId="0" xr:uid="{5BD8DC0E-D29C-487F-B322-D167C1D513C5}">
      <text>
        <r>
          <rPr>
            <sz val="9"/>
            <color indexed="81"/>
            <rFont val="Segoe UI"/>
            <family val="2"/>
          </rPr>
          <t>Stunden werden Pkt C entnommen. (Sind die Werte f d Entschädigung unzutreffend, mit %-Satz (links) ausgleichen.)</t>
        </r>
      </text>
    </comment>
    <comment ref="A177" authorId="0" shapeId="0" xr:uid="{2679905D-28A9-4FFC-9D67-10D67DEDB003}">
      <text>
        <r>
          <rPr>
            <sz val="9"/>
            <color indexed="81"/>
            <rFont val="Segoe UI"/>
            <family val="2"/>
          </rPr>
          <t>Abgabefreie Zulage (zB Schmutzzulage) über-nommen aus D1.b. Sie wird bei den  Standard-werten der Regielohnkalkulation nicht berücksichtigt, weil idR der Regiepreis ohne Erschwerniszulagen anzugeben ist.</t>
        </r>
      </text>
    </comment>
    <comment ref="G179" authorId="0" shapeId="0" xr:uid="{30F093EB-6706-42FB-8964-125142A15124}">
      <text>
        <r>
          <rPr>
            <sz val="9"/>
            <color indexed="81"/>
            <rFont val="Segoe UI"/>
            <family val="2"/>
          </rPr>
          <t>Die Angabe ist für eine bessere Ermittlung der UPNK erforderlich. 100%, wenn neben diesem direkten Entgeltanspruch ein weiterer Anspruch auf Fortzahlung bei Ausfallzeiten (Urlaub etc) und auf Sonderzahlungen (UG + WG) besteht. 0%: keine weitere Kostenbelastung Was die UPNK uU reduziert; siehe auch F2.b).</t>
        </r>
      </text>
    </comment>
    <comment ref="A181" authorId="0" shapeId="0" xr:uid="{3219B1FC-398B-40C2-A51E-8BE76D69C2F7}">
      <text>
        <r>
          <rPr>
            <sz val="9"/>
            <color indexed="81"/>
            <rFont val="Segoe UI"/>
            <family val="2"/>
          </rPr>
          <t>Für Entschädigungen die pro Tag anfallen (zB Taggeld, Entfernungszulage, Nächtigungsgeld).</t>
        </r>
      </text>
    </comment>
    <comment ref="D182" authorId="0" shapeId="0" xr:uid="{3A4D9408-D8E2-47D7-B396-286A8E8CF8F2}">
      <text>
        <r>
          <rPr>
            <sz val="9"/>
            <color indexed="81"/>
            <rFont val="Segoe UI"/>
            <family val="2"/>
          </rPr>
          <t>Anspruchsberechtigte in % des produktiven Personals angeben.</t>
        </r>
      </text>
    </comment>
    <comment ref="G190" authorId="0" shapeId="0" xr:uid="{50617D82-F5C0-44E4-B4A3-6A3EE432F91D}">
      <text>
        <r>
          <rPr>
            <sz val="9"/>
            <color indexed="81"/>
            <rFont val="Segoe UI"/>
            <family val="2"/>
          </rPr>
          <t>Die Angabe ist für eine bessere Ermittlung der UPNK erforderlich. 100%, wenn neben diesem direkten Entgeltanspruch ein weiterer Anspruch auf Fortzahlung bei Ausfallzeiten (Urlaub etc) und auf Sonderzahlungen (UG + WG) besteht. 0%: keine weitere Kostenbelastung Was die UPNK uU reduziert; siehe auch F2.b).</t>
        </r>
      </text>
    </comment>
    <comment ref="A192" authorId="0" shapeId="0" xr:uid="{2F8E59E0-5FA9-415B-9843-4BB60C10CC80}">
      <text>
        <r>
          <rPr>
            <sz val="9"/>
            <color indexed="81"/>
            <rFont val="Segoe UI"/>
            <family val="2"/>
          </rPr>
          <t xml:space="preserve">Entschädigungen die sich auf einen längeren Zeitraum beziehen. Ist die Anwartschaft länger als 1 Wochen, in der Quelldatei den Betrag auf eine Woche beziehen und angeben (ggf kann auch mit dem %-Satz variiert werden).
</t>
        </r>
      </text>
    </comment>
    <comment ref="G201" authorId="0" shapeId="0" xr:uid="{4F4113DF-6B8E-4718-BEE9-13C045294317}">
      <text>
        <r>
          <rPr>
            <sz val="9"/>
            <color indexed="81"/>
            <rFont val="Segoe UI"/>
            <family val="2"/>
          </rPr>
          <t>Die Angabe ist für eine bessere Ermittlung der UPNK erforderlich. 100%, wenn neben diesem direkten Entgeltanspruch ein weiterer Anspruch auf Fortzahlung bei Ausfallzeiten (Urlaub etc) und auf Sonderzahlungen (UG + WG) besteht. 0%: keine weitere Kostenbelastung Was die UPNK uU reduziert; siehe auch F2.b).</t>
        </r>
      </text>
    </comment>
    <comment ref="A203" authorId="0" shapeId="0" xr:uid="{AC17942B-BB0F-4D4D-A60F-BDAC1990E6E5}">
      <text>
        <r>
          <rPr>
            <sz val="9"/>
            <color indexed="81"/>
            <rFont val="Segoe UI"/>
            <family val="2"/>
          </rPr>
          <t xml:space="preserve">Erfassung weiterer Entschädigungen (vor allem für Wegzeitvergütung außerhalb der Arbeitszeit). Solche Wegzeitvergütungen sind in manchen KollV vorgesehen.
</t>
        </r>
      </text>
    </comment>
    <comment ref="A204" authorId="0" shapeId="0" xr:uid="{CBA56031-9196-4E8F-9D36-D0B916AFA13C}">
      <text>
        <r>
          <rPr>
            <sz val="9"/>
            <color indexed="81"/>
            <rFont val="Segoe UI"/>
            <family val="2"/>
          </rPr>
          <t>Vorgesehen für Vergütungen mit einer bestimmten Anzahl des Stundenentgelts (...Std x Stundenentgelt).</t>
        </r>
      </text>
    </comment>
    <comment ref="C204" authorId="0" shapeId="0" xr:uid="{878B430C-B62D-4DAC-A600-488673675A24}">
      <text>
        <r>
          <rPr>
            <sz val="9"/>
            <color indexed="81"/>
            <rFont val="Segoe UI"/>
            <family val="2"/>
          </rPr>
          <t>…% des produktiven Personals mit Anspruch (2a) und den Anspruch in Tagen/Woche (2b) eintragen.</t>
        </r>
      </text>
    </comment>
    <comment ref="D204" authorId="0" shapeId="0" xr:uid="{90AD364A-47D9-49DD-9BBE-779807849A00}">
      <text>
        <r>
          <rPr>
            <sz val="9"/>
            <color indexed="81"/>
            <rFont val="Segoe UI"/>
            <family val="2"/>
          </rPr>
          <t>Als Basis f d Vergütung ist idR entweder das KV-Entgelt oder das "Entgelt", also KV+AKV, heranzuziehen (Auskunft darüber gibt der KollV).
.</t>
        </r>
      </text>
    </comment>
    <comment ref="F204" authorId="0" shapeId="0" xr:uid="{EAB92B82-D865-41E8-84E7-2CFBE43BC455}">
      <text>
        <r>
          <rPr>
            <sz val="9"/>
            <color indexed="81"/>
            <rFont val="Segoe UI"/>
            <family val="2"/>
          </rPr>
          <t>Manche KollV sehen nur eine anteilige Vergütung vor (zB 75% des KV-Lohns).</t>
        </r>
      </text>
    </comment>
    <comment ref="G204" authorId="0" shapeId="0" xr:uid="{7B9E8E50-2565-4469-ADC5-AC3AEF8269C9}">
      <text>
        <r>
          <rPr>
            <sz val="9"/>
            <color indexed="81"/>
            <rFont val="Segoe UI"/>
            <family val="2"/>
          </rPr>
          <t>Solche Entgelte sind idR pflichtig und unterliegen zu 100% der Entgeltfortzahlung und den SZ.</t>
        </r>
      </text>
    </comment>
    <comment ref="A206" authorId="0" shapeId="0" xr:uid="{4FD05690-42C9-46DF-A68D-0FA716E93160}">
      <text>
        <r>
          <rPr>
            <sz val="9"/>
            <color indexed="81"/>
            <rFont val="Segoe UI"/>
            <family val="2"/>
          </rPr>
          <t>Über einen allfälligen Anspruch und die Höhe gibt der KollV Auskunft.</t>
        </r>
      </text>
    </comment>
    <comment ref="A212" authorId="0" shapeId="0" xr:uid="{05BEE8B1-81F4-4C8A-86B9-3DA5D0C8A915}">
      <text>
        <r>
          <rPr>
            <sz val="9"/>
            <color indexed="81"/>
            <rFont val="Segoe UI"/>
            <family val="2"/>
          </rPr>
          <t>An dieser Stelle können sonstige Entgeltbestandteile (zB Einmalzahlungen) erfasst werden (Hinweis: Kosten immer auf die Woche beziehen; beachte auch die weiteren Kommentare dazu).</t>
        </r>
      </text>
    </comment>
    <comment ref="D214" authorId="0" shapeId="0" xr:uid="{0FA87335-D9B4-403E-8C7F-F5233C9F8F9C}">
      <text>
        <r>
          <rPr>
            <sz val="9"/>
            <color indexed="81"/>
            <rFont val="Segoe UI"/>
            <family val="2"/>
          </rPr>
          <t xml:space="preserve">Geeignet für Prämien, Einmalzahlungen udgl. Höhe auf die Woche herunterbrechen (zB Betrag pro Jahr/52 Wochen). ACHTUNG:
(1) </t>
        </r>
        <r>
          <rPr>
            <b/>
            <sz val="9"/>
            <color indexed="81"/>
            <rFont val="Segoe UI"/>
            <family val="2"/>
          </rPr>
          <t>Abgabepflichtige Beträge</t>
        </r>
        <r>
          <rPr>
            <sz val="9"/>
            <color indexed="81"/>
            <rFont val="Segoe UI"/>
            <family val="2"/>
          </rPr>
          <t xml:space="preserve"> hinsichtlich Sonderzahlungen (SZ; 13.-, 14.-Entgelt) und der Fortzahlung bei Nichtarbeitstagen (Urlaub etc) beachten. Fallen diese Kosten noch zusätzlich an, nachfolgend 100% eintragen, anderenfalls 0%. Die Berücksichtigung erfolgt im Rahmen der Berechnung der UPNK (F2.b). Fallen nur SZ an, können überschlägig 33%, ist nur das Fortzahlungsprinzip anzuwenden, 66% eingetragen werden.
(2) Bei </t>
        </r>
        <r>
          <rPr>
            <b/>
            <sz val="9"/>
            <color indexed="81"/>
            <rFont val="Segoe UI"/>
            <family val="2"/>
          </rPr>
          <t>abgabefreien pauschalen Beträgen,</t>
        </r>
        <r>
          <rPr>
            <sz val="9"/>
            <color indexed="81"/>
            <rFont val="Segoe UI"/>
            <family val="2"/>
          </rPr>
          <t xml:space="preserve"> müssen die Nichtarbeitstage  (Urlaub, FT, Krankheit) noch berücksichtigt werden (rd 55/200 = 1,3; zB 3.000€ Teuerungsausgleich (relevant zB 2023/24) im Jahr: 3.000x1,3/52= 75 €/Wo eintragen).</t>
        </r>
      </text>
    </comment>
    <comment ref="G215" authorId="0" shapeId="0" xr:uid="{1F00332C-89EB-4147-BE4A-615FA3F8EB8E}">
      <text>
        <r>
          <rPr>
            <sz val="9"/>
            <color indexed="81"/>
            <rFont val="Segoe UI"/>
            <family val="2"/>
          </rPr>
          <t>Die Angabe ist für eine bessere Ermittlung der UPNK erforderlich. 100%, wenn neben diesem direkten Entgeltanspruch ein weiterer Anspruch auf Fortzahlung bei Ausfallzeiten (Urlaub etc) und auf Sonderzahlungen (UG + WG) besteht. 0%: keine weitere Kostenbelastung Was die UPNK uU reduziert; siehe auch F2.b).</t>
        </r>
      </text>
    </comment>
    <comment ref="A221" authorId="0" shapeId="0" xr:uid="{D12617C3-1DE3-4FB1-B417-EC8EEC7A4D3C}">
      <text>
        <r>
          <rPr>
            <sz val="9"/>
            <color indexed="81"/>
            <rFont val="Segoe UI"/>
            <family val="2"/>
          </rPr>
          <t>IdR muss ein Zuschlag für den Ansatz unproduktiver Zeiten gem Pkt B2 erfolgen.  Bitte die Hiweise am rechten Rand beachten.</t>
        </r>
      </text>
    </comment>
    <comment ref="A223" authorId="0" shapeId="0" xr:uid="{B12EA40F-4C6E-470B-AB88-306BABF0F131}">
      <text>
        <r>
          <rPr>
            <sz val="9"/>
            <color indexed="81"/>
            <rFont val="Segoe UI"/>
            <family val="2"/>
          </rPr>
          <t>Schlechtwetter (SW) kann die erlösbringende  Tagesarbeitszeit verringern, jedoch die Entschädigung im vollen Ausmaß bestehen lassen. Wenn SW relevant, einen Zuschlag  von 2% - 6% berücksichtigen.</t>
        </r>
      </text>
    </comment>
    <comment ref="A225" authorId="0" shapeId="0" xr:uid="{448AB760-A578-4E68-BE3E-F805BD2A3162}">
      <text>
        <r>
          <rPr>
            <sz val="9"/>
            <color indexed="81"/>
            <rFont val="Segoe UI"/>
            <family val="2"/>
          </rPr>
          <t>Optionale  Anpassungs- bzw Ausgleichsmöglichkeit.</t>
        </r>
      </text>
    </comment>
    <comment ref="G229" authorId="0" shapeId="0" xr:uid="{975A7E75-DE48-4D25-9768-DD04076E916D}">
      <text>
        <r>
          <rPr>
            <sz val="9"/>
            <color indexed="81"/>
            <rFont val="Segoe UI"/>
            <family val="2"/>
          </rPr>
          <t>Wert bereinigt um allf. Zuschläge gem E6.b und E6.c sowie ohne Wert E1.a (Ermittlung Regiepreis ohne Zulagen).</t>
        </r>
      </text>
    </comment>
    <comment ref="H229" authorId="0" shapeId="0" xr:uid="{71EB4AEC-CAE9-4BDA-9939-5A23C9EAAA0E}">
      <text>
        <r>
          <rPr>
            <sz val="9"/>
            <color indexed="81"/>
            <rFont val="Segoe UI"/>
            <family val="2"/>
          </rPr>
          <t>Wert bereinigt um allf. Zuschläge gem E6.b und E6.c.</t>
        </r>
      </text>
    </comment>
    <comment ref="A232" authorId="0" shapeId="0" xr:uid="{459C0F80-CD17-4B1D-AF4D-E60BA4C32764}">
      <text>
        <r>
          <rPr>
            <sz val="9"/>
            <color indexed="81"/>
            <rFont val="Segoe UI"/>
            <family val="2"/>
          </rPr>
          <t>Zu den Personalnebenkosten siehe www.bauwesen.at/tools (Tool Nr 03).</t>
        </r>
      </text>
    </comment>
    <comment ref="A241" authorId="0" shapeId="0" xr:uid="{D4271A1E-8AB3-4B4D-BE26-0E735E3D3C53}">
      <text>
        <r>
          <rPr>
            <sz val="8"/>
            <color indexed="81"/>
            <rFont val="Segoe UI"/>
            <family val="2"/>
          </rPr>
          <t>Abminderung ist ev bei Errechnung der UPNK nach Musterkalkulation (siehe www.bauwesen.at) zweckmäßig.
Ergibt sich aus der Musterkalkulation nur ein Wert für UPNK0, erübrigt sich eine Abminderung F2.a und F2.b2, weil die Faktoren f1 und f3 keine Rolle spielen (siehe dazu Tabelle in F2.c).</t>
        </r>
      </text>
    </comment>
    <comment ref="A242" authorId="0" shapeId="0" xr:uid="{B7E06ED0-C968-43B3-8768-88E1F5454FCA}">
      <text>
        <r>
          <rPr>
            <sz val="9"/>
            <color indexed="81"/>
            <rFont val="Segoe UI"/>
            <family val="2"/>
          </rPr>
          <t xml:space="preserve">Sind die Stammdatenwerte f d UPNK einer Muster-kalkulation entnommen (zB www.bauwesen.at/tools), beziehen sich diese auf die KollV-Arbeitszeit, Mehrarbeit senkt die UPNK, insbesondere bei Betrieben die dem BUAG unterliegen.
</t>
        </r>
      </text>
    </comment>
    <comment ref="A245" authorId="0" shapeId="0" xr:uid="{9ACFE8AF-9B82-4CB3-BF8F-4200B3DC0EA8}">
      <text>
        <r>
          <rPr>
            <sz val="9"/>
            <color indexed="81"/>
            <rFont val="Segoe UI"/>
            <family val="2"/>
          </rPr>
          <t>Sind die Stammdatenwerte f d UPNK einer Muster-kalkulation entnommen (zB www.bauwesen.at/tools), beziehen sich diese auf das KV-Entgelt, Mehrentgelt senkt die UPNK, insbesondere bei Betrieben die dem BUAG unterliegen.</t>
        </r>
      </text>
    </comment>
    <comment ref="A264" authorId="0" shapeId="0" xr:uid="{AD7C0A9B-02A8-46C4-B879-3B6A86017327}">
      <text>
        <r>
          <rPr>
            <sz val="9"/>
            <color indexed="81"/>
            <rFont val="Segoe UI"/>
            <family val="2"/>
          </rPr>
          <t>Die Berechnung von UPNK unterliegt immer einer Scheingenauigkeit, deshalb die besteht (aus kaufmännischer Sicherheit die (Auf-) Rundungsoption.</t>
        </r>
      </text>
    </comment>
    <comment ref="A267" authorId="0" shapeId="0" xr:uid="{F0021DD1-F40E-48AE-A78C-45AB28EA4937}">
      <text>
        <r>
          <rPr>
            <sz val="9"/>
            <color indexed="81"/>
            <rFont val="Segoe UI"/>
            <family val="2"/>
          </rPr>
          <t>Weitere, noch nicht erfasste Abgaben oder Beiträge (va regionale Abgaben wie zB Wr. U-Bahn Steuer). Die Kommunalsteuer wird bei den DPNK ergasst.</t>
        </r>
      </text>
    </comment>
    <comment ref="A271" authorId="0" shapeId="0" xr:uid="{E56BB402-366E-43A9-A499-FB35FCBB2EE1}">
      <text>
        <r>
          <rPr>
            <sz val="9"/>
            <color indexed="81"/>
            <rFont val="Segoe UI"/>
            <family val="2"/>
          </rPr>
          <t>Berechnungstool für Abgaben pro Woche in Euro (zB Wr. U-Bahn Steuer). Abgaben pro Tag oder pro Monat auf einen Betrag pro Woche umrechnen.</t>
        </r>
      </text>
    </comment>
    <comment ref="A272" authorId="0" shapeId="0" xr:uid="{8B832EC0-2023-428B-B8FF-5F973F33305F}">
      <text>
        <r>
          <rPr>
            <sz val="9"/>
            <color indexed="81"/>
            <rFont val="Segoe UI"/>
            <family val="2"/>
          </rPr>
          <t>Berechnungstool für Abgaben pro Woche in Euro (zB Wr. U-Bahn Steuer).</t>
        </r>
      </text>
    </comment>
    <comment ref="A276" authorId="0" shapeId="0" xr:uid="{9FAF9A10-3B7E-403B-87EB-BEFE38CACD46}">
      <text>
        <r>
          <rPr>
            <sz val="9"/>
            <color indexed="81"/>
            <rFont val="Segoe UI"/>
            <family val="2"/>
          </rPr>
          <t>Zuschlag idR erforderlich, weil Kosten auch in Ausfallzeiten (zB Urlaub, Krankheit) für div Abgaben (zB Wr. U-Bahnst.) anfallen.</t>
        </r>
      </text>
    </comment>
    <comment ref="A281" authorId="0" shapeId="0" xr:uid="{81846EAD-B044-4830-958A-8B6AD0306DC1}">
      <text>
        <r>
          <rPr>
            <sz val="9"/>
            <color indexed="81"/>
            <rFont val="Segoe UI"/>
            <family val="2"/>
          </rPr>
          <t>PGK enthalten allgemeine Kosten die mit der Beschäftigung und der Arbeit entstehen. Siehe dazu www.bauwesen.at/info (Nr 17).</t>
        </r>
      </text>
    </comment>
    <comment ref="E281" authorId="0" shapeId="0" xr:uid="{9329535E-5987-417A-A817-7A97C12935A4}">
      <text>
        <r>
          <rPr>
            <sz val="10"/>
            <color indexed="81"/>
            <rFont val="Calibri"/>
            <family val="2"/>
            <scheme val="minor"/>
          </rPr>
          <t>Hinweis f d Ermittlung von %-Sätzen aus der KoRe:  Basis sind die gesamten Personalkosten (Bruttoentgelt inkl Sonderzahlungen u Abgaben). Siehe auch www.bauwesen.at/info (Nr. 17).</t>
        </r>
      </text>
    </comment>
    <comment ref="G282" authorId="0" shapeId="0" xr:uid="{62F8BE8D-7FC4-4D22-B345-5531E82F2629}">
      <text>
        <r>
          <rPr>
            <sz val="9"/>
            <color indexed="81"/>
            <rFont val="Segoe UI"/>
            <family val="2"/>
          </rPr>
          <t>Hilfsrechner zur Bestimmung für Projekt-PGK (zB für Umlage von Mannschaftstransport, Übernachtung udgl)</t>
        </r>
      </text>
    </comment>
    <comment ref="E283" authorId="0" shapeId="0" xr:uid="{7791D530-FBFE-4876-AAA9-CD8764E09A64}">
      <text>
        <r>
          <rPr>
            <sz val="9"/>
            <color indexed="81"/>
            <rFont val="Segoe UI"/>
            <family val="2"/>
          </rPr>
          <t>Bei einer Angabe in % ist die absolute Höhe (€) der Hinzurechnung der PGK von der Höhe der Personalkosten K3-Blatt Zeile 15 (= Basis; also inkl unprod. Zeiten) abhängig. Ggf ist das für die Regiepreiskalkulation zu bedenken (andere Höhe der Basis K3 Zeile 15).</t>
        </r>
      </text>
    </comment>
    <comment ref="F283" authorId="0" shapeId="0" xr:uid="{BCC9CF20-4D8E-4656-B89F-E51206C7F124}">
      <text>
        <r>
          <rPr>
            <sz val="9"/>
            <color indexed="81"/>
            <rFont val="Segoe UI"/>
            <family val="2"/>
          </rPr>
          <t>Bei einer Angabe in € ist die Höhe der Hinzurechnung der PGK von der Höhe der Personalkosten (K3-Blatt Z 15) unabhängig. Für Regiepreiskalkulationen mit anderen Personalkosten (K3 Z 15) bleibt ein €-Betrag, im Gegensatz zu %-Werten, unverändert.
Achtung: Eine Anpassung des €-Betrags für unproduktive Zeiten (B2) erfolgt nicht. Deckungsbeiträge werden nur mit den produktiven Stunden erzielt.</t>
        </r>
      </text>
    </comment>
    <comment ref="G286" authorId="0" shapeId="0" xr:uid="{8CBD09E0-C63B-4B1B-87C6-1452DF06AEDB}">
      <text>
        <r>
          <rPr>
            <sz val="9"/>
            <color indexed="81"/>
            <rFont val="Segoe UI"/>
            <family val="2"/>
          </rPr>
          <t>Kosten pro Woche für alle Arbeit-nehmer (Anzahl gem B1) eintragen. Berechnungsergebnis wird in 
 G2.b1 bzw b2 übertragen.</t>
        </r>
      </text>
    </comment>
    <comment ref="G297" authorId="0" shapeId="0" xr:uid="{BD6CA381-F8FC-488E-8A08-8F19268D2B42}">
      <text>
        <r>
          <rPr>
            <sz val="9"/>
            <color indexed="81"/>
            <rFont val="Segoe UI"/>
            <family val="2"/>
          </rPr>
          <t>Kosten pro Woche für alle Arbeit-nehmer (Anzahl gem B1) eintragen. Berechnungsergebnis wird in 
 G2.b1 bzw b2 übertragen.</t>
        </r>
      </text>
    </comment>
    <comment ref="A313" authorId="0" shapeId="0" xr:uid="{B2B0CF0F-2BB7-44D1-A97B-E60AB9D5FCEE}">
      <text>
        <r>
          <rPr>
            <sz val="9"/>
            <color indexed="81"/>
            <rFont val="Segoe UI"/>
            <family val="2"/>
          </rPr>
          <t>Kostenumlage auf den kalkulierten Lohn. Umlagebasis sind die Stunden bzw (Std x Pers.kosten vor Zurechnung). Alternative: Umlage über K2-Blatt.</t>
        </r>
      </text>
    </comment>
    <comment ref="F314" authorId="0" shapeId="0" xr:uid="{CD6DF86D-C6F0-4A98-B5EE-8805E4BF08C0}">
      <text>
        <r>
          <rPr>
            <sz val="9"/>
            <color indexed="81"/>
            <rFont val="Segoe UI"/>
            <family val="2"/>
          </rPr>
          <t>Beachte sinngemäß die Kommentare bei G1 (€ versus % Angabe).</t>
        </r>
      </text>
    </comment>
    <comment ref="A315" authorId="0" shapeId="0" xr:uid="{5205781F-598A-4499-B409-0A090E4991DD}">
      <text>
        <r>
          <rPr>
            <sz val="9"/>
            <color indexed="81"/>
            <rFont val="Segoe UI"/>
            <family val="2"/>
          </rPr>
          <t>Hilfsrechner für die Umlage eines Gesamtbetrages auf die zugehörigen Gesamtstunden (beides ist selbstständig zu ermitteln).</t>
        </r>
      </text>
    </comment>
    <comment ref="A316" authorId="0" shapeId="0" xr:uid="{ABDA641F-9AA4-41BD-826D-0319B12E49AD}">
      <text>
        <r>
          <rPr>
            <sz val="9"/>
            <color indexed="81"/>
            <rFont val="Segoe UI"/>
            <family val="2"/>
          </rPr>
          <t>Angabe des gesamten umzulegenden Betrags (ohne GZ) in €.</t>
        </r>
      </text>
    </comment>
    <comment ref="A317" authorId="0" shapeId="0" xr:uid="{6D164C6F-47F3-4ED5-98BE-A2DB7750A771}">
      <text>
        <r>
          <rPr>
            <sz val="9"/>
            <color indexed="81"/>
            <rFont val="Segoe UI"/>
            <family val="2"/>
          </rPr>
          <t>Die Anzahl der Std auf die sich der Betrag bezieht. ZB beziehen sich die gesamten BGK auf die kalkulierten Gesamtstunden (jene Std, die mit dem Personalpreis multipliziert werden).</t>
        </r>
      </text>
    </comment>
    <comment ref="A319" authorId="0" shapeId="0" xr:uid="{520615B4-8A9A-4765-8549-127612D34A2A}">
      <text>
        <r>
          <rPr>
            <sz val="9"/>
            <color indexed="81"/>
            <rFont val="Segoe UI"/>
            <family val="2"/>
          </rPr>
          <t xml:space="preserve">Hilfsrechner: Ein Umlagebetrag pro Monat wird auf die durchschnittlichen Stunden pro Monat umgelegt. </t>
        </r>
      </text>
    </comment>
    <comment ref="A320" authorId="0" shapeId="0" xr:uid="{A189A0CF-E3A7-48A4-8C57-EBBCC06327A8}">
      <text>
        <r>
          <rPr>
            <sz val="9"/>
            <color indexed="81"/>
            <rFont val="Segoe UI"/>
            <family val="2"/>
          </rPr>
          <t>Der umzulegende Betrag (Ø pro MONAT; ≠ GZ) in €.</t>
        </r>
      </text>
    </comment>
    <comment ref="A321" authorId="0" shapeId="0" xr:uid="{16A289B7-FC50-426B-88FF-50183E4ECEB9}">
      <text>
        <r>
          <rPr>
            <sz val="9"/>
            <color indexed="81"/>
            <rFont val="Segoe UI"/>
            <family val="2"/>
          </rPr>
          <t>Basis sind die Ø Planstunden (Anzahl prod. Personal aus B2 x Wochenarbeitszeit x 4,35 x 0,85). Der Faktor 0,85 steht pauschal für 15% nicht erlösbringende Stunden va wegen Feiertage und Schlechtwettertage; trifft das nicht zu, den Betrag erhöhen um den zu großen Abzug auszugleichen).</t>
        </r>
      </text>
    </comment>
    <comment ref="F323" authorId="0" shapeId="0" xr:uid="{64490904-41E4-4397-88FF-52A18CCEAAF3}">
      <text>
        <r>
          <rPr>
            <sz val="9"/>
            <color indexed="81"/>
            <rFont val="Segoe UI"/>
            <family val="2"/>
          </rPr>
          <t>Beachte sinngemäß die Kommentare bei G1 (€ versus % Angabe).</t>
        </r>
      </text>
    </comment>
    <comment ref="A350" authorId="0" shapeId="0" xr:uid="{DE0ED8DF-13E7-434A-8D22-1DF1B2AB2854}">
      <text>
        <r>
          <rPr>
            <sz val="9"/>
            <color indexed="81"/>
            <rFont val="Segoe UI"/>
            <family val="2"/>
          </rPr>
          <t>Es besteht die Möglichkeit, neben dem Wert in €/Std noch eine Angaben in €/Minute (wahlweise auf 2 oder 3 Stellen gerundet) oder in €/Monat im K3-Blatt auszuweisen. Bei €/Mo ist noch die Eingabe des Faktor für die Std/Mo erforderlich. Es wird ein Faktor angeboten, der sich aus der KV-Wochenarbeitszeit x 4,35 Wo/Mo ergibt, der Wert ist überschreibbar.</t>
        </r>
      </text>
    </comment>
    <comment ref="A423" authorId="0" shapeId="0" xr:uid="{567351FE-0529-462A-9D66-F6466CAB3D24}">
      <text>
        <r>
          <rPr>
            <sz val="9"/>
            <color indexed="81"/>
            <rFont val="Segoe UI"/>
            <family val="2"/>
          </rPr>
          <t>Für den Fall, dass zB Aufsicht nicht gesondert vergütet wird, wenn nur Regiearbeiten beauftragt werden und die Anreisezeit nicht gesondert vergütet wird udgl.</t>
        </r>
      </text>
    </comment>
    <comment ref="A433" authorId="0" shapeId="0" xr:uid="{36A01566-001F-4712-AD51-CB87A2D79FF2}">
      <text>
        <r>
          <rPr>
            <sz val="9"/>
            <color indexed="81"/>
            <rFont val="Segoe UI"/>
            <family val="2"/>
          </rPr>
          <t>Es besteht die Möglichkeit, AKV in gleicher Höhe aus der Grundkalkulation (Pkt B) zu übernehmen. Ggf relevant, wenn einzelne Beschäftigungsgruppen unterschiedliche AKV-Überzahlungen aufweisen.</t>
        </r>
      </text>
    </comment>
    <comment ref="E433" authorId="0" shapeId="0" xr:uid="{E0C63E5F-6742-4AC5-9E98-0685EE2A20AF}">
      <text>
        <r>
          <rPr>
            <sz val="9"/>
            <color indexed="81"/>
            <rFont val="Segoe UI"/>
            <family val="2"/>
          </rPr>
          <t>Optionale Anpassung der Rechenergebnisse (links ist der Ø-Wert AKV der Mittelperso-nalpreisberechnung zur Info eingeblendet).</t>
        </r>
      </text>
    </comment>
    <comment ref="A438" authorId="0" shapeId="0" xr:uid="{C34ECFAF-F98A-46B2-A3F0-0EAF80413260}">
      <text>
        <r>
          <rPr>
            <sz val="9"/>
            <color indexed="81"/>
            <rFont val="Segoe UI"/>
            <family val="2"/>
          </rPr>
          <t>Da idR Regiepreise ohne Erschwerniszulagen anzubieten sind (vgl ÖNORM B 2110) auf 0 gesetzt; Vertrag beachten. Es besteht die Möglichkeit optional eine Zulage zu erfassen (R4.a).</t>
        </r>
      </text>
    </comment>
    <comment ref="G441" authorId="0" shapeId="0" xr:uid="{FFA5C282-8EDA-4B03-AF0D-A6C2C06924A0}">
      <text>
        <r>
          <rPr>
            <sz val="9"/>
            <color indexed="81"/>
            <rFont val="Segoe UI"/>
            <family val="2"/>
          </rPr>
          <t>Wie D1.a.</t>
        </r>
      </text>
    </comment>
    <comment ref="A443" authorId="0" shapeId="0" xr:uid="{25C4D1FD-45FF-49D9-8470-0C35DE210A88}">
      <text>
        <r>
          <rPr>
            <sz val="9"/>
            <color indexed="81"/>
            <rFont val="Segoe UI"/>
            <family val="2"/>
          </rPr>
          <t>Arbeitszeitzulagen werden nicht aus der Personalpreiskalkulation (K3 PP) übernommen;  individuelle Kalkulation ist hier möglich.</t>
        </r>
      </text>
    </comment>
    <comment ref="A447" authorId="0" shapeId="0" xr:uid="{FCB1CD14-3332-4C1C-96A4-5BDA017DCC5D}">
      <text>
        <r>
          <rPr>
            <sz val="9"/>
            <color indexed="81"/>
            <rFont val="Segoe UI"/>
            <family val="2"/>
          </rPr>
          <t xml:space="preserve">Festlegung, worauf sich der Zuschlag gem KollV bezieht (Details dazu siehe Pkt C1 oben). 
</t>
        </r>
      </text>
    </comment>
    <comment ref="A451" authorId="0" shapeId="0" xr:uid="{9DFD03FC-F1A9-45AC-8291-8969C7FB7614}">
      <text>
        <r>
          <rPr>
            <sz val="9"/>
            <color indexed="81"/>
            <rFont val="Segoe UI"/>
            <family val="2"/>
          </rPr>
          <t xml:space="preserve">Festlegung, worauf sich der Zuschlag gem KollV bezieht (Details dazu Pkt C1 oben). 
</t>
        </r>
      </text>
    </comment>
    <comment ref="G455" authorId="0" shapeId="0" xr:uid="{453FF3F2-F4D0-4CCB-9BD2-539A242D3AC7}">
      <text>
        <r>
          <rPr>
            <sz val="9"/>
            <color indexed="81"/>
            <rFont val="Segoe UI"/>
            <family val="2"/>
          </rPr>
          <t>Werte werden von der Mittelpersonalpreiskalkulation übernommen und daher ist K3-Regie auf die Angaben im K3-Blatt (K3_PP) abgestimmt. Bei allf. Anpassung auf die Plausibilität achten.</t>
        </r>
      </text>
    </comment>
    <comment ref="F458" authorId="0" shapeId="0" xr:uid="{6F4182CB-E05F-4524-895B-50C443D62078}">
      <text>
        <r>
          <rPr>
            <sz val="9"/>
            <color indexed="81"/>
            <rFont val="Segoe UI"/>
            <family val="2"/>
          </rPr>
          <t>Zuzüglich Zuschlag für den allfälligen Ansatz einer unproduktiven Zeit (R2).</t>
        </r>
      </text>
    </comment>
    <comment ref="A465" authorId="0" shapeId="0" xr:uid="{66774EF6-DE7E-4F37-A268-C4142C4A5F4C}">
      <text>
        <r>
          <rPr>
            <sz val="9"/>
            <color indexed="81"/>
            <rFont val="Segoe UI"/>
            <family val="2"/>
          </rPr>
          <t>Ggf. für Regie relevante Umlagen auswählen. Die Anlage von Umlagen erfolgt in Pkt H.</t>
        </r>
      </text>
    </comment>
    <comment ref="A475" authorId="0" shapeId="0" xr:uid="{0813B1A7-1B36-4A3C-B998-3A116B306C6A}">
      <text>
        <r>
          <rPr>
            <sz val="9"/>
            <color indexed="81"/>
            <rFont val="Segoe UI"/>
            <family val="2"/>
          </rPr>
          <t>Diese Option steuert den Text der Zeile 22. (</t>
        </r>
        <r>
          <rPr>
            <b/>
            <sz val="9"/>
            <color indexed="81"/>
            <rFont val="Segoe UI"/>
            <family val="2"/>
          </rPr>
          <t xml:space="preserve">1= </t>
        </r>
        <r>
          <rPr>
            <sz val="9"/>
            <color indexed="81"/>
            <rFont val="Segoe UI"/>
            <family val="2"/>
          </rPr>
          <t xml:space="preserve">Minimalanzeile; </t>
        </r>
        <r>
          <rPr>
            <b/>
            <sz val="9"/>
            <color indexed="81"/>
            <rFont val="Segoe UI"/>
            <family val="2"/>
          </rPr>
          <t xml:space="preserve">2= </t>
        </r>
        <r>
          <rPr>
            <sz val="9"/>
            <color indexed="81"/>
            <rFont val="Segoe UI"/>
            <family val="2"/>
          </rPr>
          <t xml:space="preserve">1 &amp; zusätzliche Bezeichnung oder Beschäftigungsgruppe, </t>
        </r>
        <r>
          <rPr>
            <b/>
            <sz val="9"/>
            <color indexed="81"/>
            <rFont val="Segoe UI"/>
            <family val="2"/>
          </rPr>
          <t>3=</t>
        </r>
        <r>
          <rPr>
            <sz val="9"/>
            <color indexed="81"/>
            <rFont val="Segoe UI"/>
            <family val="2"/>
          </rPr>
          <t xml:space="preserve"> 1 &amp; falls beide vorhanden Besch.gr. und zusätzl. B. </t>
        </r>
        <r>
          <rPr>
            <b/>
            <sz val="9"/>
            <color indexed="81"/>
            <rFont val="Segoe UI"/>
            <family val="2"/>
          </rPr>
          <t xml:space="preserve">4 bis 6= </t>
        </r>
        <r>
          <rPr>
            <sz val="9"/>
            <color indexed="81"/>
            <rFont val="Segoe UI"/>
            <family val="2"/>
          </rPr>
          <t xml:space="preserve">wie 1 bis 3 in Kombination mit allf Arbeitszeitzuschlägen, </t>
        </r>
        <r>
          <rPr>
            <b/>
            <sz val="9"/>
            <color indexed="81"/>
            <rFont val="Segoe UI"/>
            <family val="2"/>
          </rPr>
          <t>7=</t>
        </r>
        <r>
          <rPr>
            <sz val="9"/>
            <color indexed="81"/>
            <rFont val="Segoe UI"/>
            <family val="2"/>
          </rPr>
          <t xml:space="preserve"> die individuelle Eingabe.</t>
        </r>
      </text>
    </comment>
    <comment ref="A478" authorId="0" shapeId="0" xr:uid="{C9D98B1B-A7F2-4C37-8289-E8B117E31AF2}">
      <text>
        <r>
          <rPr>
            <sz val="9"/>
            <color indexed="81"/>
            <rFont val="Segoe UI"/>
            <family val="2"/>
          </rPr>
          <t>Da im LV nicht immer die korrekte kollV-Gruppen-bezeichnung angeführt ist, kann hier Alternativtext, aber auch zB die Pos.-Nr., eingetragen werden. Durch Wahl der entsprechenen Auswahl wird dieser Text in K3 Z 22 angeführt.</t>
        </r>
      </text>
    </comment>
    <comment ref="A692" authorId="0" shapeId="0" xr:uid="{68284DA8-AF50-4CF8-8C82-033DB1F07B00}">
      <text>
        <r>
          <rPr>
            <sz val="9"/>
            <color indexed="81"/>
            <rFont val="Segoe UI"/>
            <family val="2"/>
          </rPr>
          <t>Wird eine Partie kalkuliert, kann ihr ein Name gegeben werden (zB bei Regie im Tunnelbau mit 'Untertage'). Dieser kann unter R7.a für die Bezeichnung in K3-Blatt Zeile 22 aktiviert werden.</t>
        </r>
      </text>
    </comment>
    <comment ref="A693" authorId="0" shapeId="0" xr:uid="{E4043F6A-62FC-4A91-B8F2-D1DD82D2D414}">
      <text>
        <r>
          <rPr>
            <sz val="9"/>
            <color indexed="81"/>
            <rFont val="Segoe UI"/>
            <family val="2"/>
          </rPr>
          <t>Damit wird festgelegt, ob das Ergebnis als Durchschnittspreis pro Person oder als Summe (Partiepreis) angezeigt werden soll.</t>
        </r>
      </text>
    </comment>
    <comment ref="A694" authorId="0" shapeId="0" xr:uid="{54479B74-8688-4E8D-897A-7C11CAD7E78C}">
      <text>
        <r>
          <rPr>
            <sz val="9"/>
            <color indexed="81"/>
            <rFont val="Segoe UI"/>
            <family val="2"/>
          </rPr>
          <t>Wird nur die erste Zeile belegt, wird ein Regieeinzelpreis und keine Partie im K3-Blatt angezeigt. Regie 5 und Regie 6 unterscheiden sich von Regie 1 bis 4 dann nicht.</t>
        </r>
      </text>
    </comment>
  </commentList>
</comments>
</file>

<file path=xl/sharedStrings.xml><?xml version="1.0" encoding="utf-8"?>
<sst xmlns="http://schemas.openxmlformats.org/spreadsheetml/2006/main" count="2395" uniqueCount="1147">
  <si>
    <t>I</t>
  </si>
  <si>
    <t>Erstellt am:</t>
  </si>
  <si>
    <t>O</t>
  </si>
  <si>
    <t>P</t>
  </si>
  <si>
    <t>Q</t>
  </si>
  <si>
    <t>Lohn</t>
  </si>
  <si>
    <t>A</t>
  </si>
  <si>
    <t>B</t>
  </si>
  <si>
    <t>D</t>
  </si>
  <si>
    <t>E</t>
  </si>
  <si>
    <t>F</t>
  </si>
  <si>
    <t>G</t>
  </si>
  <si>
    <t>H</t>
  </si>
  <si>
    <t>J</t>
  </si>
  <si>
    <t>K</t>
  </si>
  <si>
    <t>L</t>
  </si>
  <si>
    <t>M</t>
  </si>
  <si>
    <t xml:space="preserve"> </t>
  </si>
  <si>
    <t>Anzahl</t>
  </si>
  <si>
    <t>N</t>
  </si>
  <si>
    <t>€/Tag</t>
  </si>
  <si>
    <t>K3</t>
  </si>
  <si>
    <t xml:space="preserve"> Personalpreis</t>
  </si>
  <si>
    <t>Projekt:</t>
  </si>
  <si>
    <t>Unternehmen (UN):</t>
  </si>
  <si>
    <t>FÜR REGIE</t>
  </si>
  <si>
    <t>KV-Datum:</t>
  </si>
  <si>
    <t>Anteil</t>
  </si>
  <si>
    <t>gewicht. Wert</t>
  </si>
  <si>
    <t>1a</t>
  </si>
  <si>
    <t>Zuschlag</t>
  </si>
  <si>
    <t>1b</t>
  </si>
  <si>
    <t>1c</t>
  </si>
  <si>
    <t>1d</t>
  </si>
  <si>
    <t>1e</t>
  </si>
  <si>
    <t>1f</t>
  </si>
  <si>
    <t>1g</t>
  </si>
  <si>
    <t>1h</t>
  </si>
  <si>
    <t>1i</t>
  </si>
  <si>
    <t>Gewichtetes kollektivvertragliches Entgelt</t>
  </si>
  <si>
    <t>Anteil für unproduktive Zeiten</t>
  </si>
  <si>
    <t>% auf B3</t>
  </si>
  <si>
    <t>Abgabepflichtige Personalkosten</t>
  </si>
  <si>
    <t>Direkte Personalnebenkosten</t>
  </si>
  <si>
    <t>in % auf B10</t>
  </si>
  <si>
    <t>Umgelegte Personalnebenkosten</t>
  </si>
  <si>
    <t>Weitere Personalnebenkosten</t>
  </si>
  <si>
    <t>Personalkosten vor Zurechnungen</t>
  </si>
  <si>
    <t>Personalgemeinkosten</t>
  </si>
  <si>
    <t>17a</t>
  </si>
  <si>
    <t>17b</t>
  </si>
  <si>
    <t>17c</t>
  </si>
  <si>
    <t>in % auf A18</t>
  </si>
  <si>
    <t>in % auf B18</t>
  </si>
  <si>
    <t>Gesamtzuschlag gemäß Formblatt K2</t>
  </si>
  <si>
    <t>Mittellohn - Mittelgehalt - Regielohn - Regiegehalt - Preis</t>
  </si>
  <si>
    <t>Summe</t>
  </si>
  <si>
    <t>Bezeichnung bzw Betriebsmittelnummer:</t>
  </si>
  <si>
    <t>Zuschlagsträger</t>
  </si>
  <si>
    <t>Basis</t>
  </si>
  <si>
    <t>Basis für Finan- zierungs-kosten</t>
  </si>
  <si>
    <t>Basis für Wagnis und Gewinn</t>
  </si>
  <si>
    <t>Zuschlag für Wagnis</t>
  </si>
  <si>
    <t>Zuschlag für Gewinn</t>
  </si>
  <si>
    <t>%-Wert</t>
  </si>
  <si>
    <t>%-Satz</t>
  </si>
  <si>
    <t>Alle Werte Basis:</t>
  </si>
  <si>
    <t>Arbeitszeitzuschläge</t>
  </si>
  <si>
    <t>Prozent</t>
  </si>
  <si>
    <t>in €</t>
  </si>
  <si>
    <t>Zuschlag%</t>
  </si>
  <si>
    <t>AKV in €</t>
  </si>
  <si>
    <t>KV</t>
  </si>
  <si>
    <t>AKV</t>
  </si>
  <si>
    <t>Produktives Personal / Zeiten</t>
  </si>
  <si>
    <t>Unproduktives Personal / Zeiten</t>
  </si>
  <si>
    <t>Umlage</t>
  </si>
  <si>
    <t>Wert</t>
  </si>
  <si>
    <t>Betrag pro Tag</t>
  </si>
  <si>
    <t>Betrag pro Woche</t>
  </si>
  <si>
    <t>SV-frei</t>
  </si>
  <si>
    <t>SV-pflichtig</t>
  </si>
  <si>
    <t>€/Woche</t>
  </si>
  <si>
    <t>Dienstreisevergütungen/Tag</t>
  </si>
  <si>
    <t>Zwischensumme</t>
  </si>
  <si>
    <t>unprod.</t>
  </si>
  <si>
    <t>Umlagen</t>
  </si>
  <si>
    <t>% auf B5</t>
  </si>
  <si>
    <t>Titel</t>
  </si>
  <si>
    <t>Umlage von Kosten für:</t>
  </si>
  <si>
    <t>in %</t>
  </si>
  <si>
    <t>Gruppe</t>
  </si>
  <si>
    <t>SUMMEN</t>
  </si>
  <si>
    <t>K2  Gesamtzuschläge</t>
  </si>
  <si>
    <t>Preisbasis gem. Angebotsunterlagen</t>
  </si>
  <si>
    <t>Gesamtzuschlag auf</t>
  </si>
  <si>
    <t>Basis für GGK</t>
  </si>
  <si>
    <t>%-Wert = 100%</t>
  </si>
  <si>
    <t>Anpassung</t>
  </si>
  <si>
    <t>KV Datum:</t>
  </si>
  <si>
    <t>gem KollV</t>
  </si>
  <si>
    <t>Dienstreisevergütungen/Woche</t>
  </si>
  <si>
    <t>abgabefrei</t>
  </si>
  <si>
    <t>Abgabepflichtige Aufwandsentschädigungen</t>
  </si>
  <si>
    <t>Nicht abgabepflichtige Personalkosten</t>
  </si>
  <si>
    <r>
      <rPr>
        <sz val="9"/>
        <rFont val="Calibri"/>
        <family val="2"/>
      </rPr>
      <t>∑</t>
    </r>
    <r>
      <rPr>
        <i/>
        <sz val="9"/>
        <rFont val="Calibri"/>
        <family val="2"/>
        <scheme val="minor"/>
      </rPr>
      <t xml:space="preserve"> B10 bis B14</t>
    </r>
  </si>
  <si>
    <t>KV-Gruppe u. Bezeichnung</t>
  </si>
  <si>
    <t>KV-Entgelt</t>
  </si>
  <si>
    <t>Arbeitszeit gem KV (Std/Woche):</t>
  </si>
  <si>
    <t>Außerkollektivvertragliches Entgelt</t>
  </si>
  <si>
    <t>in €/Std</t>
  </si>
  <si>
    <t>auf Entgelt</t>
  </si>
  <si>
    <t>Stammdaten Kollektivvertrag</t>
  </si>
  <si>
    <r>
      <t>AKV</t>
    </r>
    <r>
      <rPr>
        <vertAlign val="superscript"/>
        <sz val="10"/>
        <rFont val="Calibri"/>
        <family val="2"/>
        <scheme val="minor"/>
      </rPr>
      <t>1</t>
    </r>
    <r>
      <rPr>
        <sz val="12"/>
        <rFont val="Calibri"/>
        <family val="2"/>
        <scheme val="minor"/>
      </rPr>
      <t xml:space="preserve"> in % v KV</t>
    </r>
  </si>
  <si>
    <t xml:space="preserve">Hinweis: Zeitentschädigung für Fahrten in Std-Löhne werden im Projekt eingebenen. </t>
  </si>
  <si>
    <t>Werte gem Stammdaten</t>
  </si>
  <si>
    <t>Aufteilung in die Kategorien:</t>
  </si>
  <si>
    <t>Stammdaten</t>
  </si>
  <si>
    <t>Berechnung</t>
  </si>
  <si>
    <t>KV-Entgelt unproduktiv</t>
  </si>
  <si>
    <t>KV-Entgelt produktiv</t>
  </si>
  <si>
    <t>K3 Zeile 4</t>
  </si>
  <si>
    <t>K3 Zeile 6</t>
  </si>
  <si>
    <t>Entschädigungen/Std</t>
  </si>
  <si>
    <t>€/Std</t>
  </si>
  <si>
    <t>Betrag pro Stunde</t>
  </si>
  <si>
    <t>Kollektivvertrag (KV):</t>
  </si>
  <si>
    <t>Rechenwert in K3</t>
  </si>
  <si>
    <t xml:space="preserve">KV-Normalarbeitszeit </t>
  </si>
  <si>
    <t>1) Faktor (fixer Erhöhungsfaktor gem KollV auf die Basis für</t>
  </si>
  <si>
    <t>DPNK Summe</t>
  </si>
  <si>
    <t>Normalarbeitszeit gem KollV</t>
  </si>
  <si>
    <t>Summe Zulagen in €</t>
  </si>
  <si>
    <t>% f AKV</t>
  </si>
  <si>
    <t>Umlage-%</t>
  </si>
  <si>
    <t xml:space="preserve">   Erhöhungsfaktor gem KollV</t>
  </si>
  <si>
    <t>Zulagen</t>
  </si>
  <si>
    <t>Basisfaktor</t>
  </si>
  <si>
    <t>Faktor 2</t>
  </si>
  <si>
    <t>Faktor 2 (gem KollV)</t>
  </si>
  <si>
    <t>Preisbasis gem Angebotsunterlagen</t>
  </si>
  <si>
    <t>Mehrarbeits-, Überstunden</t>
  </si>
  <si>
    <t>KV-Entgelt inkl. unproduktiver Zeiten</t>
  </si>
  <si>
    <t>Regiestunde</t>
  </si>
  <si>
    <t>Personalkosten gesamt (Regie)</t>
  </si>
  <si>
    <t>UPNK 0</t>
  </si>
  <si>
    <t>UPNK 1</t>
  </si>
  <si>
    <t>UPNK 2</t>
  </si>
  <si>
    <t>UPNK 3</t>
  </si>
  <si>
    <t>1) AKV: Außer-(Über-)kollektivvertragliches Entgelt; betriebliche Durchschnittswerte</t>
  </si>
  <si>
    <t xml:space="preserve">    (kennt der KollV keine, 1,0 oder leer)</t>
  </si>
  <si>
    <t>Gehalt</t>
  </si>
  <si>
    <t>Montage</t>
  </si>
  <si>
    <t>Projektkalkulation K3-Blatt ÖNORM B 2061:2020</t>
  </si>
  <si>
    <t>Vorfertigung</t>
  </si>
  <si>
    <t>Gz UN:</t>
  </si>
  <si>
    <t>Gz AG:</t>
  </si>
  <si>
    <t>(Umrechnung KV in Rechenwert)</t>
  </si>
  <si>
    <t xml:space="preserve">    die Berechnung der Kosten der Stunde</t>
  </si>
  <si>
    <t>C</t>
  </si>
  <si>
    <t>%-Satz auf C</t>
  </si>
  <si>
    <t>CxD/100</t>
  </si>
  <si>
    <t>C+E</t>
  </si>
  <si>
    <t>%-Satz auf F</t>
  </si>
  <si>
    <t>FxG/100</t>
  </si>
  <si>
    <t>F+H</t>
  </si>
  <si>
    <t>%-Satz auf I</t>
  </si>
  <si>
    <t>IxJ/100</t>
  </si>
  <si>
    <t>I+K</t>
  </si>
  <si>
    <t>%-Satz auf L</t>
  </si>
  <si>
    <t>LxM/100</t>
  </si>
  <si>
    <t>LxO/100</t>
  </si>
  <si>
    <t>L+N+P</t>
  </si>
  <si>
    <t>Wert gem KollV</t>
  </si>
  <si>
    <r>
      <t xml:space="preserve">Zuschläge in % </t>
    </r>
    <r>
      <rPr>
        <b/>
        <sz val="11"/>
        <rFont val="Calibri"/>
        <family val="2"/>
        <scheme val="minor"/>
      </rPr>
      <t>für Mehrarb. u Ü-Std.</t>
    </r>
  </si>
  <si>
    <r>
      <t>Faktor</t>
    </r>
    <r>
      <rPr>
        <b/>
        <vertAlign val="superscript"/>
        <sz val="10"/>
        <rFont val="Calibri"/>
        <family val="2"/>
        <scheme val="minor"/>
      </rPr>
      <t>1</t>
    </r>
  </si>
  <si>
    <r>
      <t xml:space="preserve">Zuschläge in % </t>
    </r>
    <r>
      <rPr>
        <b/>
        <sz val="11"/>
        <rFont val="Calibri"/>
        <family val="2"/>
        <scheme val="minor"/>
      </rPr>
      <t>f Lage d Arb.zeit</t>
    </r>
  </si>
  <si>
    <t>.xlsx</t>
  </si>
  <si>
    <t>R</t>
  </si>
  <si>
    <t xml:space="preserve"> = B</t>
  </si>
  <si>
    <r>
      <t>∑</t>
    </r>
    <r>
      <rPr>
        <i/>
        <sz val="9"/>
        <rFont val="Calibri"/>
        <family val="2"/>
        <scheme val="minor"/>
      </rPr>
      <t xml:space="preserve"> B3 und B4</t>
    </r>
  </si>
  <si>
    <r>
      <rPr>
        <sz val="9"/>
        <rFont val="Calibri"/>
        <family val="2"/>
      </rPr>
      <t>∑</t>
    </r>
    <r>
      <rPr>
        <i/>
        <sz val="9"/>
        <rFont val="Calibri"/>
        <family val="2"/>
        <scheme val="minor"/>
      </rPr>
      <t xml:space="preserve"> B3 und B4</t>
    </r>
  </si>
  <si>
    <r>
      <rPr>
        <sz val="9"/>
        <rFont val="Calibri"/>
        <family val="2"/>
      </rPr>
      <t>∑</t>
    </r>
    <r>
      <rPr>
        <i/>
        <sz val="9"/>
        <rFont val="Calibri"/>
        <family val="2"/>
        <scheme val="minor"/>
      </rPr>
      <t xml:space="preserve"> B5 bis B9</t>
    </r>
  </si>
  <si>
    <r>
      <t>∑</t>
    </r>
    <r>
      <rPr>
        <i/>
        <sz val="9"/>
        <rFont val="Calibri"/>
        <family val="2"/>
        <scheme val="minor"/>
      </rPr>
      <t xml:space="preserve"> B5 bis B9</t>
    </r>
  </si>
  <si>
    <r>
      <t>∑</t>
    </r>
    <r>
      <rPr>
        <i/>
        <sz val="9"/>
        <rFont val="Calibri"/>
        <family val="2"/>
        <scheme val="minor"/>
      </rPr>
      <t xml:space="preserve"> B10 bis B14</t>
    </r>
  </si>
  <si>
    <r>
      <rPr>
        <sz val="9"/>
        <rFont val="Calibri"/>
        <family val="2"/>
        <scheme val="minor"/>
      </rPr>
      <t xml:space="preserve">∑ </t>
    </r>
    <r>
      <rPr>
        <i/>
        <sz val="9"/>
        <rFont val="Calibri"/>
        <family val="2"/>
        <scheme val="minor"/>
      </rPr>
      <t>A18 u B18</t>
    </r>
  </si>
  <si>
    <r>
      <rPr>
        <sz val="9"/>
        <rFont val="Calibri"/>
        <family val="2"/>
        <scheme val="minor"/>
      </rPr>
      <t xml:space="preserve">∑ </t>
    </r>
    <r>
      <rPr>
        <i/>
        <sz val="9"/>
        <rFont val="Calibri"/>
        <family val="2"/>
        <scheme val="minor"/>
      </rPr>
      <t>A21 u B21</t>
    </r>
  </si>
  <si>
    <t>Proj:</t>
  </si>
  <si>
    <t>UPNK0 (von Mehrarbeit und Mehrlohn unabhängig)</t>
  </si>
  <si>
    <t>UPNK1 (nur von Mehrarbeit abhängig)</t>
  </si>
  <si>
    <t>UPNK2 (nur vom Mehrlohn abhängig)</t>
  </si>
  <si>
    <t>UPNK3 (von Mehrlohn und Mehrarbeit abhängig)</t>
  </si>
  <si>
    <t>Ja</t>
  </si>
  <si>
    <t>Nein</t>
  </si>
  <si>
    <r>
      <t xml:space="preserve">Zuschläge </t>
    </r>
    <r>
      <rPr>
        <b/>
        <sz val="11"/>
        <rFont val="Calibri"/>
        <family val="2"/>
        <scheme val="minor"/>
      </rPr>
      <t>f d Lage der Arb.zeit</t>
    </r>
  </si>
  <si>
    <t>€-Betrag/Std</t>
  </si>
  <si>
    <t>Projektindi-viduell über-schreibbar</t>
  </si>
  <si>
    <t>Basis:</t>
  </si>
  <si>
    <t xml:space="preserve">  Erhöhungsfaktor gem KollV</t>
  </si>
  <si>
    <t>Kleiner 65</t>
  </si>
  <si>
    <t>Größer 122</t>
  </si>
  <si>
    <t>nicht 90 - 97</t>
  </si>
  <si>
    <t>Wichtige Hinweise</t>
  </si>
  <si>
    <t>Umzulegen</t>
  </si>
  <si>
    <t xml:space="preserve"> Basis</t>
  </si>
  <si>
    <t>Laufzeit der Lizenz bis:</t>
  </si>
  <si>
    <t>Allf. Updates finden Sie unter:</t>
  </si>
  <si>
    <t>Zur Nutzung auch neuerer Versionen, geben Sie genau die oben stehenden Eintragungen ein!</t>
  </si>
  <si>
    <t>Bestellung / Anforderung Code:</t>
  </si>
  <si>
    <t>Vorliegende Version:</t>
  </si>
  <si>
    <t>Im Feld "Unternehmer" der K-Blätter erscheint:</t>
  </si>
  <si>
    <t>Zeile 1:</t>
  </si>
  <si>
    <t>Zeile 2:</t>
  </si>
  <si>
    <t>Zeile 3:</t>
  </si>
  <si>
    <t>K2a  Zuschläge für …</t>
  </si>
  <si>
    <t>Neue Basis</t>
  </si>
  <si>
    <t>Ergebnis für den Übertrag in das K2-Blatt Spalte D</t>
  </si>
  <si>
    <r>
      <t xml:space="preserve">Basis
</t>
    </r>
    <r>
      <rPr>
        <i/>
        <sz val="10"/>
        <color theme="1"/>
        <rFont val="Calibri"/>
        <family val="2"/>
        <scheme val="minor"/>
      </rPr>
      <t>(= 100%)</t>
    </r>
  </si>
  <si>
    <t>Zuschlag für:</t>
  </si>
  <si>
    <t>Hinweise siehe unten!</t>
  </si>
  <si>
    <t>Anleitung siehe:</t>
  </si>
  <si>
    <t>Endgültiges OK?</t>
  </si>
  <si>
    <t>Datum</t>
  </si>
  <si>
    <t>Code:</t>
  </si>
  <si>
    <t>Faktor:</t>
  </si>
  <si>
    <t>Zuschlagsträger 
(wird vom K2-Blatt übertragen)</t>
  </si>
  <si>
    <t>Basis
(= 100%)</t>
  </si>
  <si>
    <t>Kennzeichen</t>
  </si>
  <si>
    <t>Produktives Personal</t>
  </si>
  <si>
    <t xml:space="preserve">Bitte die Bezeichnungen für die Freischaltung (Zeile 1, Zeile 2 und Code) genau eingeben (Groß- und Kleinbuchstaben, Leer- und Sonderzeichen beachten)!
</t>
  </si>
  <si>
    <t>Anzahl der Stunden pro Woche</t>
  </si>
  <si>
    <t>Aufzahlung für die Stunde in €</t>
  </si>
  <si>
    <t>Aufzahlung für die Stunde in %</t>
  </si>
  <si>
    <t>Lizenziert für:</t>
  </si>
  <si>
    <r>
      <rPr>
        <b/>
        <sz val="12"/>
        <color rgb="FFFF0000"/>
        <rFont val="Calibri"/>
        <family val="2"/>
        <scheme val="minor"/>
      </rPr>
      <t xml:space="preserve">Version 2.3.0 (18.08.2020): </t>
    </r>
    <r>
      <rPr>
        <sz val="12"/>
        <rFont val="Calibri"/>
        <family val="2"/>
        <scheme val="minor"/>
      </rPr>
      <t>Behebung diverser Tippfehler und sprachliche Überarbeitung.</t>
    </r>
  </si>
  <si>
    <t xml:space="preserve">Quelldatei (Datei aus der die Stammdaten (grüner Reiter) dieser Datei gespeist werden)
Allgemeine, immer wieder verwendete Daten, werden in der Quelldatei abgelegt. Ausgeliefert mit dem Dateinamen K3_QuelleJJJJ (JJJJ steht für das aktuelle Jahr; zur Zeit 2020). Der Dateiname kann geändert werden (keine Sonder- oder Leerzeichen). Im ersten Blatt werden die Direkten Personalnebenkosten eingegeben (Empfehlung: Dateiname enthält den Stand der DPNK; vorliegend 2020). In den weiteren Blättern finden sich die Stammdaten einiger Kollektivverträge. Diese Blätter lassen sich beliebig kopieren oder löschen und der Blattname lässt sich ändern. Sie können mehrere Tabellenblätter anlegen (Name ohne Leer- und Sonderzeichen mit Ausnahme "_"!). 
Für einige Branchen finden sich bereits Tabellenblätter mit wesentlichen Eintragungen (da auch unternehmensspezifische Werte verwendet werden, bitte anpassen: zB Überzahlung oder Kosten der wöchentlichen Heimfahrt). Empfehlung: Löschen Sie die Blätter mit den nicht benötigten Kollektivverträgen (Mauszeiger auf den Dateiblattreiter bewegen und rechte Maustaste drücken). Ändert sich zB der KollV, kopieren Sie das Blatt mit den Daten des alten KollV und ändern die Stammdaten. Nennen Sie das neue Blatt dann zB: Baugewerbe_2021.
</t>
  </si>
  <si>
    <r>
      <rPr>
        <b/>
        <sz val="12"/>
        <color rgb="FFFF0000"/>
        <rFont val="Calibri"/>
        <family val="2"/>
        <scheme val="minor"/>
      </rPr>
      <t>Version 2.1 (2.5.2020)</t>
    </r>
    <r>
      <rPr>
        <sz val="12"/>
        <rFont val="Calibri"/>
        <family val="2"/>
        <scheme val="minor"/>
      </rPr>
      <t xml:space="preserve">
Es ist der </t>
    </r>
    <r>
      <rPr>
        <sz val="12"/>
        <color rgb="FFFF0000"/>
        <rFont val="Calibri"/>
        <family val="2"/>
        <scheme val="minor"/>
      </rPr>
      <t>Bezug einer Konzern-, Filial- bzw Beraterlizenz</t>
    </r>
    <r>
      <rPr>
        <sz val="12"/>
        <rFont val="Calibri"/>
        <family val="2"/>
        <scheme val="minor"/>
      </rPr>
      <t xml:space="preserve"> möglich. Bei Vorliegen dieser Lizenz ist in den K-Blättern  nur die erste Zeile fixiert, die zweite und dritte Zeile kann jeweils beliebig variiert werden (im Blatt Projekt).
In der </t>
    </r>
    <r>
      <rPr>
        <sz val="12"/>
        <color rgb="FFFF0000"/>
        <rFont val="Calibri"/>
        <family val="2"/>
        <scheme val="minor"/>
      </rPr>
      <t>Regiekalkulation</t>
    </r>
    <r>
      <rPr>
        <sz val="12"/>
        <rFont val="Calibri"/>
        <family val="2"/>
        <scheme val="minor"/>
      </rPr>
      <t xml:space="preserve"> werden die </t>
    </r>
    <r>
      <rPr>
        <sz val="12"/>
        <color rgb="FFFF0000"/>
        <rFont val="Calibri"/>
        <family val="2"/>
        <scheme val="minor"/>
      </rPr>
      <t>umgelegten Personalkosten</t>
    </r>
    <r>
      <rPr>
        <sz val="12"/>
        <rFont val="Calibri"/>
        <family val="2"/>
        <scheme val="minor"/>
      </rPr>
      <t xml:space="preserve"> aus der vorherigen Mittelpersonalpreiskalkulation übernommen. Der errechnete Wert für die UPNK kann individuell noch angepasst werden. Bislang wurde der unangepasste Wert, ab Ver 2.1 wird der angepasste Wert in die Regiekalkulation übernommen.
Der angeführte Verweis auf die Zeilennummern des K3-Blatts für abgabepflichtige und nicht abgabepflichtige Personalkosten ist im Blatt Projekt  richtig gestellt.
Werden in den Stammdaten (grüner Reiter) die aus der Quelldatei übernommenen Werte noch individuell geändert, erscheint im Blatt Projekt mit einem roten X eine Warnung.
Allgemeiner Hinweis: Ein rotes </t>
    </r>
    <r>
      <rPr>
        <b/>
        <sz val="14"/>
        <color rgb="FFFF0000"/>
        <rFont val="Calibri"/>
        <family val="2"/>
        <scheme val="minor"/>
      </rPr>
      <t>X</t>
    </r>
    <r>
      <rPr>
        <sz val="12"/>
        <rFont val="Calibri"/>
        <family val="2"/>
        <scheme val="minor"/>
      </rPr>
      <t xml:space="preserve"> am rechten Farbrahmen der Kalkulation (Blatt Projekt) zeigt an, dass eine individuelle Eingabe das Rechenergebnis verändert. 
Das K2-Blatt sieht in Spalte D einen Zuschlag für ... vor. Dieser kann mehrere Komponenten beinhalten. Die Berechnung des Zuschlags für Zeile D des K2-Blattes erfolgt im K2a-Blatt.</t>
    </r>
  </si>
  <si>
    <t>Zusammenfassung der oben aktivierten Umlagen</t>
  </si>
  <si>
    <t>Personalnebenkosten</t>
  </si>
  <si>
    <t>Personalkosten vor Zurechnung</t>
  </si>
  <si>
    <t>GZ auf Personalkosten</t>
  </si>
  <si>
    <t>GZ auf Umlagen</t>
  </si>
  <si>
    <t>KV / AKV-Entgelt produktiv</t>
  </si>
  <si>
    <t>KV / AKV-Entgelt unproduktiv</t>
  </si>
  <si>
    <t>unproduktives Personal</t>
  </si>
  <si>
    <t>Entgelt pro Stunde pflichtig</t>
  </si>
  <si>
    <t>Summe Entgelt pro Stunde</t>
  </si>
  <si>
    <t>Umlagen ohne GZ</t>
  </si>
  <si>
    <t>Gesamtzuschlag</t>
  </si>
  <si>
    <r>
      <rPr>
        <b/>
        <sz val="12"/>
        <color rgb="FFFF0000"/>
        <rFont val="Calibri"/>
        <family val="2"/>
        <scheme val="minor"/>
      </rPr>
      <t xml:space="preserve">Version 2.2.0 (14.8.2020): </t>
    </r>
    <r>
      <rPr>
        <sz val="12"/>
        <rFont val="Calibri"/>
        <family val="2"/>
        <scheme val="minor"/>
      </rPr>
      <t xml:space="preserve">
Diese Version kann auch ohne Eingabe von Lizenzdaten für </t>
    </r>
    <r>
      <rPr>
        <b/>
        <sz val="12"/>
        <rFont val="Calibri"/>
        <family val="2"/>
        <scheme val="minor"/>
      </rPr>
      <t>Testzwecke</t>
    </r>
    <r>
      <rPr>
        <sz val="12"/>
        <rFont val="Calibri"/>
        <family val="2"/>
        <scheme val="minor"/>
      </rPr>
      <t xml:space="preserve"> verwendet werden (Achtung Aufrundung und Ausblendungen (Schwärzung) in den K-Blättern).
</t>
    </r>
    <r>
      <rPr>
        <b/>
        <sz val="12"/>
        <rFont val="Calibri"/>
        <family val="2"/>
        <scheme val="minor"/>
      </rPr>
      <t>Änderungen</t>
    </r>
    <r>
      <rPr>
        <sz val="12"/>
        <rFont val="Calibri"/>
        <family val="2"/>
        <scheme val="minor"/>
      </rPr>
      <t xml:space="preserve">: Der Ausgleich bzw die Anpassung bei den (nicht) abgabepflichtigen Entgeltbestandteilen erfolgt nun in Euro (statt in %). Das ist übersichtlicher. 
Behoben ist ein geringfügiger Verknüpfungsfehler bei den "weiteren Personalnebenkosten", Teil Kosten pro Woche (zB U-Bahn Steuer). 
Die Spaltenbreite der Formulare lässt sich anpassen. Diverse kleine Details (zB Kommentare) sind verbessert.
Diese Version enthält weiters Adaptierungen um sie für eine Verwendung mit einer </t>
    </r>
    <r>
      <rPr>
        <b/>
        <sz val="12"/>
        <color rgb="FFFF0000"/>
        <rFont val="Calibri"/>
        <family val="2"/>
        <scheme val="minor"/>
      </rPr>
      <t>Universallizenzierung</t>
    </r>
    <r>
      <rPr>
        <sz val="12"/>
        <color rgb="FFFF0000"/>
        <rFont val="Calibri"/>
        <family val="2"/>
        <scheme val="minor"/>
      </rPr>
      <t xml:space="preserve"> eines Verbandes</t>
    </r>
    <r>
      <rPr>
        <sz val="12"/>
        <rFont val="Calibri"/>
        <family val="2"/>
        <scheme val="minor"/>
      </rPr>
      <t xml:space="preserve"> verwenden zu können. Mitglieder dieses Verbandes dürfen das Kalkulationstool i</t>
    </r>
    <r>
      <rPr>
        <sz val="12"/>
        <color rgb="FFFF0000"/>
        <rFont val="Calibri"/>
        <family val="2"/>
        <scheme val="minor"/>
      </rPr>
      <t xml:space="preserve">n Verbindung mit dem der Branche zugehörigen Kollektivvertrag </t>
    </r>
    <r>
      <rPr>
        <sz val="12"/>
        <rFont val="Calibri"/>
        <family val="2"/>
        <scheme val="minor"/>
      </rPr>
      <t xml:space="preserve">nutzen. Die Verwendung der mitgelieferten und zugehörigen Quelldatei ist daher empfehlenswert. Nach zeitlichem Ablauf der Verbandslizenzierung ist die weitere Verwendung mit individuellen Zugangsdaten (Lizenzierung) ohne  Einschränkungen weiterhin möglich.
Die </t>
    </r>
    <r>
      <rPr>
        <b/>
        <sz val="12"/>
        <color rgb="FFFF0000"/>
        <rFont val="Calibri"/>
        <family val="2"/>
        <scheme val="minor"/>
      </rPr>
      <t>Bundesinnung Bau (Landesinnungen  Bau)</t>
    </r>
    <r>
      <rPr>
        <sz val="12"/>
        <rFont val="Calibri"/>
        <family val="2"/>
        <scheme val="minor"/>
      </rPr>
      <t xml:space="preserve"> hat eine Lizenz für ihre Mitgliedsbetriebe erworben. Die Lizenz benötigt die Version 2.2.0 oder später erscheinende höhere Versionen.</t>
    </r>
  </si>
  <si>
    <r>
      <rPr>
        <b/>
        <sz val="12"/>
        <color rgb="FFFF0000"/>
        <rFont val="Calibri"/>
        <family val="2"/>
        <scheme val="minor"/>
      </rPr>
      <t>Version 2.5.0 (12.10.2020):</t>
    </r>
    <r>
      <rPr>
        <sz val="12"/>
        <rFont val="Calibri"/>
        <family val="2"/>
        <scheme val="minor"/>
      </rPr>
      <t xml:space="preserve"> Fehlerkorrektur beim Übertrag der unteren 3 Zeilen der KV-Beschäftigungsgruppen gem Blatt "Projekt" in das K3-Blatt. Sind nicht mehr als 7 Beschäftigungsgruppen angelegt worden, war dieser Fehler in den Versionen bis 2.4 unbedeutend!
Die nicht in das K3-Blatt ordnungsgemäß verknüpfte Zeilen sind nachfolgend rot dargestellt.</t>
    </r>
  </si>
  <si>
    <r>
      <t xml:space="preserve">Wenn Sie eine Lizenz </t>
    </r>
    <r>
      <rPr>
        <b/>
        <sz val="12"/>
        <rFont val="Calibri"/>
        <family val="2"/>
        <scheme val="minor"/>
      </rPr>
      <t>erwerben</t>
    </r>
    <r>
      <rPr>
        <sz val="12"/>
        <rFont val="Calibri"/>
        <family val="2"/>
        <scheme val="minor"/>
      </rPr>
      <t xml:space="preserve"> oder eine bestehende</t>
    </r>
    <r>
      <rPr>
        <b/>
        <sz val="12"/>
        <rFont val="Calibri"/>
        <family val="2"/>
        <scheme val="minor"/>
      </rPr>
      <t xml:space="preserve"> Lizenz verlängern</t>
    </r>
    <r>
      <rPr>
        <sz val="12"/>
        <rFont val="Calibri"/>
        <family val="2"/>
        <scheme val="minor"/>
      </rPr>
      <t xml:space="preserve"> möchten:</t>
    </r>
  </si>
  <si>
    <t>% f unprod. Zeiten</t>
  </si>
  <si>
    <t>Basis: KV-Entgelt produktiv</t>
  </si>
  <si>
    <r>
      <t xml:space="preserve">Umrech-nung </t>
    </r>
    <r>
      <rPr>
        <i/>
        <sz val="9"/>
        <rFont val="Calibri"/>
        <family val="2"/>
        <scheme val="minor"/>
      </rPr>
      <t>(in % vom KV-Entgelt)</t>
    </r>
  </si>
  <si>
    <t>Personalgemeinkosten (PGK)</t>
  </si>
  <si>
    <r>
      <t>Basis</t>
    </r>
    <r>
      <rPr>
        <vertAlign val="superscript"/>
        <sz val="9"/>
        <rFont val="Calibri"/>
        <family val="2"/>
        <scheme val="minor"/>
      </rPr>
      <t>2)</t>
    </r>
  </si>
  <si>
    <t>Gesamt</t>
  </si>
  <si>
    <t>Gesamtes kollektivvertragliches Entgelt</t>
  </si>
  <si>
    <t>Zuschlag auf KV-Lohn:</t>
  </si>
  <si>
    <t>© Univ.-Prof. A. Kropik
www.bauwesen.at/k3</t>
  </si>
  <si>
    <t>Hilfestellung bei der Justierung des GZ. Aktueller Personalpreis gesamt (K3):</t>
  </si>
  <si>
    <t>Hilfestellung für die Justierung des GZ:</t>
  </si>
  <si>
    <t>Personalpreis (K3):</t>
  </si>
  <si>
    <t>GZ gem K2:</t>
  </si>
  <si>
    <t>Kalkulierte Wochenarbeitszeit:</t>
  </si>
  <si>
    <t>© Univ.-Prof. A. Kropik
bauwesen.at/k3</t>
  </si>
  <si>
    <r>
      <t>Basis</t>
    </r>
    <r>
      <rPr>
        <vertAlign val="superscript"/>
        <sz val="9"/>
        <rFont val="Calibri"/>
        <family val="2"/>
        <scheme val="minor"/>
      </rPr>
      <t>1)</t>
    </r>
    <r>
      <rPr>
        <sz val="9"/>
        <rFont val="Calibri"/>
        <family val="2"/>
        <scheme val="minor"/>
      </rPr>
      <t>:</t>
    </r>
  </si>
  <si>
    <t>Unproduktiv:</t>
  </si>
  <si>
    <t>Ergebnis als
% auf KV-Entgelt</t>
  </si>
  <si>
    <t>Übernahme der Stammdaten aus:</t>
  </si>
  <si>
    <r>
      <rPr>
        <b/>
        <sz val="12"/>
        <color rgb="FFFF0000"/>
        <rFont val="Calibri"/>
        <family val="2"/>
        <scheme val="minor"/>
      </rPr>
      <t>Version 3.0 (28.12.2021):</t>
    </r>
    <r>
      <rPr>
        <sz val="12"/>
        <rFont val="Calibri"/>
        <family val="2"/>
        <scheme val="minor"/>
      </rPr>
      <t xml:space="preserve"> Möglichkeit, den Mittellohnpreis auch </t>
    </r>
    <r>
      <rPr>
        <b/>
        <sz val="12"/>
        <rFont val="Calibri"/>
        <family val="2"/>
        <scheme val="minor"/>
      </rPr>
      <t>in € pro Minute</t>
    </r>
    <r>
      <rPr>
        <sz val="12"/>
        <rFont val="Calibri"/>
        <family val="2"/>
        <scheme val="minor"/>
      </rPr>
      <t xml:space="preserve"> anzugeben. Weiters besteht auch die Möglichkeit die im Orignal-K3-Blatt der ÖNORM nicht vorgesehene %-Angaben auszublenden. (Kennzeichen für beiden Optionen im Blatt "Projekt" Pkt I.) 
Bei den </t>
    </r>
    <r>
      <rPr>
        <b/>
        <sz val="12"/>
        <rFont val="Calibri"/>
        <family val="2"/>
        <scheme val="minor"/>
      </rPr>
      <t>Regiekalkulationen</t>
    </r>
    <r>
      <rPr>
        <sz val="12"/>
        <rFont val="Calibri"/>
        <family val="2"/>
        <scheme val="minor"/>
      </rPr>
      <t xml:space="preserve"> ist auch der jeweilige </t>
    </r>
    <r>
      <rPr>
        <b/>
        <sz val="12"/>
        <rFont val="Calibri"/>
        <family val="2"/>
        <scheme val="minor"/>
      </rPr>
      <t>Aufschlag in %</t>
    </r>
    <r>
      <rPr>
        <sz val="12"/>
        <rFont val="Calibri"/>
        <family val="2"/>
        <scheme val="minor"/>
      </rPr>
      <t xml:space="preserve"> auf den KV-Lohn angegeben (eine oft in Angebotsformularen verlangte Angabe). 
Diverse kleinere Verbesserungen. Erweiterungen bei der Ermittlung der Personalgemeinkosten.
In der letzten Zeile der K3-Blätter  ist das mittlere Feld als Eingabefeld freigegeben. Damit kann (im EXL-Menü mit Einfügen --&gt; Illustration --&gt; Bilder) ein </t>
    </r>
    <r>
      <rPr>
        <b/>
        <sz val="12"/>
        <rFont val="Calibri"/>
        <family val="2"/>
        <scheme val="minor"/>
      </rPr>
      <t>LOGO</t>
    </r>
    <r>
      <rPr>
        <sz val="12"/>
        <rFont val="Calibri"/>
        <family val="2"/>
        <scheme val="minor"/>
      </rPr>
      <t xml:space="preserve"> in das K-Blatt eingefügt werden.</t>
    </r>
  </si>
  <si>
    <t>Mittelpersonalpreis</t>
  </si>
  <si>
    <t>Regie 01</t>
  </si>
  <si>
    <t>abgabepfl. Personal-kosten</t>
  </si>
  <si>
    <t>Gesamtzu-schlag</t>
  </si>
  <si>
    <t>Regie 03</t>
  </si>
  <si>
    <t>Regie 02</t>
  </si>
  <si>
    <t>Regie 04</t>
  </si>
  <si>
    <t>KV-Daten sind v.:</t>
  </si>
  <si>
    <t>SV-Daten sind v.:</t>
  </si>
  <si>
    <t>Alter in Tagen:</t>
  </si>
  <si>
    <r>
      <t xml:space="preserve">Für Spalten M, N, O wählen: </t>
    </r>
    <r>
      <rPr>
        <sz val="10"/>
        <color theme="1"/>
        <rFont val="Calibri"/>
        <family val="2"/>
      </rPr>
      <t>↓</t>
    </r>
  </si>
  <si>
    <t>Auswählen: ↓</t>
  </si>
  <si>
    <t>Arbeitszeit gem KollV:</t>
  </si>
  <si>
    <t>Kalkuliert:</t>
  </si>
  <si>
    <t xml:space="preserve">  Produktives Personal</t>
  </si>
  <si>
    <t xml:space="preserve">  Unproduktives Personal</t>
  </si>
  <si>
    <r>
      <rPr>
        <b/>
        <sz val="12"/>
        <color rgb="FFFF0000"/>
        <rFont val="Calibri"/>
        <family val="2"/>
        <scheme val="minor"/>
      </rPr>
      <t xml:space="preserve">Version 2.4.0 (24.08.2020): </t>
    </r>
    <r>
      <rPr>
        <sz val="12"/>
        <rFont val="Calibri"/>
        <family val="2"/>
        <scheme val="minor"/>
      </rPr>
      <t>Überarbeitung der Bezeichnungen im Blatt "Projekt". Statistische Auswertung des Personalpreises im Blatt "Report".</t>
    </r>
  </si>
  <si>
    <r>
      <rPr>
        <b/>
        <sz val="12"/>
        <color rgb="FFFF0000"/>
        <rFont val="Calibri"/>
        <family val="2"/>
        <scheme val="minor"/>
      </rPr>
      <t xml:space="preserve">Version 2.6.3 (25.10.2021): </t>
    </r>
    <r>
      <rPr>
        <sz val="12"/>
        <rFont val="Calibri"/>
        <family val="2"/>
        <scheme val="minor"/>
      </rPr>
      <t xml:space="preserve">Automatisierung der Berechnung von C4 (Wegzeitvergütung) im Blatt "Projekt". Diverse geringe Korrekturen. In F </t>
    </r>
    <r>
      <rPr>
        <b/>
        <sz val="12"/>
        <rFont val="Calibri"/>
        <family val="2"/>
        <scheme val="minor"/>
      </rPr>
      <t>(Personalgemeinkosten) ist ein Hilfsrechner</t>
    </r>
    <r>
      <rPr>
        <sz val="12"/>
        <rFont val="Calibri"/>
        <family val="2"/>
        <scheme val="minor"/>
      </rPr>
      <t xml:space="preserve"> integriert. Damit lassen sich Prozentsätze leicht bestimmen die dann in der Berechnung weitere Verwendung finden können. Das 5 Regieblatt (neu) ist für die </t>
    </r>
    <r>
      <rPr>
        <b/>
        <sz val="12"/>
        <rFont val="Calibri"/>
        <family val="2"/>
        <scheme val="minor"/>
      </rPr>
      <t>Kalkulation einer Regiepartie</t>
    </r>
    <r>
      <rPr>
        <sz val="12"/>
        <rFont val="Calibri"/>
        <family val="2"/>
        <scheme val="minor"/>
      </rPr>
      <t xml:space="preserve"> vorgesehen. Ergänzungen bei den Kommentaren. Gesamtzuschlag und Personalgemeinkosten sind mit </t>
    </r>
    <r>
      <rPr>
        <b/>
        <sz val="12"/>
        <rFont val="Calibri"/>
        <family val="2"/>
        <scheme val="minor"/>
      </rPr>
      <t>3 Stellen nach dem Komma</t>
    </r>
    <r>
      <rPr>
        <sz val="12"/>
        <rFont val="Calibri"/>
        <family val="2"/>
        <scheme val="minor"/>
      </rPr>
      <t xml:space="preserve"> angegeben (damit lässt sich das Kalkulationsergebnis centgenau justieren). Bei den </t>
    </r>
    <r>
      <rPr>
        <b/>
        <sz val="12"/>
        <rFont val="Calibri"/>
        <family val="2"/>
        <scheme val="minor"/>
      </rPr>
      <t>K2-Blättern lassen sich die Spaltenbreiten</t>
    </r>
    <r>
      <rPr>
        <sz val="12"/>
        <rFont val="Calibri"/>
        <family val="2"/>
        <scheme val="minor"/>
      </rPr>
      <t xml:space="preserve"> verändern. Bei Regiekalkulation 4 ist ein Verknüpfungsfehler bei R2 c) behoben (Rückgriff auf ein unzutreffendes K3 Regieblatt). Weiters sind </t>
    </r>
    <r>
      <rPr>
        <b/>
        <sz val="12"/>
        <rFont val="Calibri"/>
        <family val="2"/>
        <scheme val="minor"/>
      </rPr>
      <t>Links</t>
    </r>
    <r>
      <rPr>
        <sz val="12"/>
        <rFont val="Calibri"/>
        <family val="2"/>
        <scheme val="minor"/>
      </rPr>
      <t xml:space="preserve"> zu den einzelnen Kapiteln innerhalb des Blattes 'Projekt' geschaffen. </t>
    </r>
  </si>
  <si>
    <t>Kollektivvertrag</t>
  </si>
  <si>
    <t>Min:</t>
  </si>
  <si>
    <t>Simulation Verteuerung durch AZ-Zuschläge</t>
  </si>
  <si>
    <t>Z 9u11</t>
  </si>
  <si>
    <t>HB</t>
  </si>
  <si>
    <t>Mehrarbeitsstd.</t>
  </si>
  <si>
    <t>KV - Heute</t>
  </si>
  <si>
    <t>Kalk - Heute</t>
  </si>
  <si>
    <t>KV - Kalk</t>
  </si>
  <si>
    <t>Aufwandsentschädigungen</t>
  </si>
  <si>
    <r>
      <t xml:space="preserve">Kalkulation Gesamtzuschlag </t>
    </r>
    <r>
      <rPr>
        <sz val="14"/>
        <color theme="1"/>
        <rFont val="Calibri"/>
        <family val="2"/>
        <scheme val="minor"/>
      </rPr>
      <t>(erfolgt direkt im K2- bzw K2a-Blatt)</t>
    </r>
  </si>
  <si>
    <r>
      <t xml:space="preserve">Basis für diese Zuschläge ist: </t>
    </r>
    <r>
      <rPr>
        <sz val="10"/>
        <color theme="1"/>
        <rFont val="Calibri"/>
        <family val="2"/>
      </rPr>
      <t>↓</t>
    </r>
  </si>
  <si>
    <t>Sp I+K</t>
  </si>
  <si>
    <t>L = I+K</t>
  </si>
  <si>
    <t>Zwischen-ergebnis (C bis K)</t>
  </si>
  <si>
    <t>Zwischen-ergebnis (N bis S)</t>
  </si>
  <si>
    <t>T=O+R+S</t>
  </si>
  <si>
    <t>K2a-Blatt (2024)
© Univ.-Prof. A. Kropik
www.bauwesen.at/k3</t>
  </si>
  <si>
    <t>%-Wert:</t>
  </si>
  <si>
    <t>Basis für N, Q, R</t>
  </si>
  <si>
    <t>U</t>
  </si>
  <si>
    <t>Zuschlag für Finanzierungs-
kosten</t>
  </si>
  <si>
    <t>Zuschlag für Geschäftsge-
meinkosten (GGK)</t>
  </si>
  <si>
    <t>U = (L + T) - 100%</t>
  </si>
  <si>
    <t>Q-100%</t>
  </si>
  <si>
    <t>Meine GZ</t>
  </si>
  <si>
    <t>Seine GZ</t>
  </si>
  <si>
    <t>Textbausteine:</t>
  </si>
  <si>
    <t>Auswahl: ↓</t>
  </si>
  <si>
    <t>Ergebnis</t>
  </si>
  <si>
    <t>frei</t>
  </si>
  <si>
    <t>pflichtig</t>
  </si>
  <si>
    <r>
      <t xml:space="preserve">Kalkuliert wird: </t>
    </r>
    <r>
      <rPr>
        <sz val="11"/>
        <rFont val="Calibri"/>
        <family val="2"/>
      </rPr>
      <t>↓</t>
    </r>
    <r>
      <rPr>
        <sz val="11"/>
        <rFont val="Calibri"/>
        <family val="2"/>
        <scheme val="minor"/>
      </rPr>
      <t xml:space="preserve">
</t>
    </r>
    <r>
      <rPr>
        <i/>
        <sz val="10"/>
        <rFont val="Calibri"/>
        <family val="2"/>
        <scheme val="minor"/>
      </rPr>
      <t>(</t>
    </r>
    <r>
      <rPr>
        <i/>
        <sz val="10"/>
        <rFont val="Calibri"/>
        <family val="2"/>
      </rPr>
      <t>↓ = Dropdown Auswahl</t>
    </r>
    <r>
      <rPr>
        <i/>
        <sz val="10"/>
        <rFont val="Calibri"/>
        <family val="2"/>
        <scheme val="minor"/>
      </rPr>
      <t>)</t>
    </r>
  </si>
  <si>
    <t xml:space="preserve">Zwischensummen: </t>
  </si>
  <si>
    <t>Allgemeine Angaben</t>
  </si>
  <si>
    <t>Umlage unproduktives Personal und unproduktive Zeiten</t>
  </si>
  <si>
    <t>Zur Arbeitszeit</t>
  </si>
  <si>
    <t>4) Prüfen Sie Ihre Kalkulation besonders und standardmäßig auf folgendes:</t>
  </si>
  <si>
    <t xml:space="preserve">   Ist die Partiezusammenstellung plausibel?</t>
  </si>
  <si>
    <t xml:space="preserve">   Sind die DIREKTEN PERSONALNEBENKOSTEN in zutreffender Höhe erfasst?</t>
  </si>
  <si>
    <t>Sonstige unprod. Zeiten</t>
  </si>
  <si>
    <t>PROD</t>
  </si>
  <si>
    <t>KEINE</t>
  </si>
  <si>
    <t>INDIV</t>
  </si>
  <si>
    <t>Personalnebenkosten direkte</t>
  </si>
  <si>
    <t>Personalnebenkosten umgelegte</t>
  </si>
  <si>
    <t>Personalnebenkosten sonstige</t>
  </si>
  <si>
    <t>Sonst. SV-freie Entschädigungen</t>
  </si>
  <si>
    <t>Personalkosten vor GZ</t>
  </si>
  <si>
    <t>Personalkosten inkl GZ</t>
  </si>
  <si>
    <t>Umlagen inkl GZ</t>
  </si>
  <si>
    <t>Personalkosten + Umlagen</t>
  </si>
  <si>
    <t>Gesamte Personalkosten</t>
  </si>
  <si>
    <t>Kalkulierte Anzahl prod. Pers.:</t>
  </si>
  <si>
    <t>B) Zusammenstellung der Kostenbestandteile gem Kalkulation</t>
  </si>
  <si>
    <t>AKV-Entgelt</t>
  </si>
  <si>
    <t>Weitere Entgeltbestandteile</t>
  </si>
  <si>
    <t xml:space="preserve">Personalpreis </t>
  </si>
  <si>
    <t>Sonst. Arbeitszeitzul. (zB Schicht)</t>
  </si>
  <si>
    <t>pro prod. Std.</t>
  </si>
  <si>
    <t>C) Kalkulationsreport (K3-Blatt Kontrolle)</t>
  </si>
  <si>
    <t>C1) Standardmäßig bitte folgendes prüfen:</t>
  </si>
  <si>
    <t>C2) Der Report</t>
  </si>
  <si>
    <t>Heute</t>
  </si>
  <si>
    <t>zu Heute</t>
  </si>
  <si>
    <t>Kalk-Dat</t>
  </si>
  <si>
    <t xml:space="preserve">  Sonst. Unprod. Zeiten</t>
  </si>
  <si>
    <t>B1) Pro Partiestunde</t>
  </si>
  <si>
    <t>B2) Pro Stunde</t>
  </si>
  <si>
    <t xml:space="preserve">   Ist der aktuelle, zum Zeitpunkt des Endes der Angebotsfrist gültige KollV der Kalkulation zugrunde gelegt?</t>
  </si>
  <si>
    <t xml:space="preserve">   Sind alle Zulagen und Erstattungen, die bei der Projektabwicklung anfallen werden, berücksichtigt?</t>
  </si>
  <si>
    <t>Fassung vom:</t>
  </si>
  <si>
    <t>Std</t>
  </si>
  <si>
    <t>AWEpflichtig</t>
  </si>
  <si>
    <t>AWEfrei</t>
  </si>
  <si>
    <t>Durchschn. Hinzurechnungen zum KV</t>
  </si>
  <si>
    <t>Entschädigungen pro Tag</t>
  </si>
  <si>
    <t>Entschädigungen pro Stunde</t>
  </si>
  <si>
    <t>Entschädigungen pro Woche</t>
  </si>
  <si>
    <t>Ergebnis (frei/pflichtig):</t>
  </si>
  <si>
    <t>Entschädigung als Stundensatz</t>
  </si>
  <si>
    <t>Sonstige Entschädigungen</t>
  </si>
  <si>
    <t>Max</t>
  </si>
  <si>
    <t>Umgelegte Personalnebenkosten (UPNK) gem Stammdaten/Quelldatendatei</t>
  </si>
  <si>
    <t>Keine Stammdaten bzw QUELLDATEI gefunden!</t>
  </si>
  <si>
    <t>Daten?</t>
  </si>
  <si>
    <r>
      <rPr>
        <sz val="10"/>
        <rFont val="Calibri"/>
        <family val="2"/>
      </rPr>
      <t xml:space="preserve">→ </t>
    </r>
    <r>
      <rPr>
        <sz val="10"/>
        <rFont val="Calibri"/>
        <family val="2"/>
        <scheme val="minor"/>
      </rPr>
      <t>% in €</t>
    </r>
  </si>
  <si>
    <t>SUMME</t>
  </si>
  <si>
    <t>(Ja/Nein): ↓</t>
  </si>
  <si>
    <r>
      <t xml:space="preserve">   für:  </t>
    </r>
    <r>
      <rPr>
        <sz val="11"/>
        <rFont val="Calibri"/>
        <family val="2"/>
      </rPr>
      <t>↓</t>
    </r>
  </si>
  <si>
    <r>
      <t xml:space="preserve">R1) Beschäftigungsgruppe wählen: </t>
    </r>
    <r>
      <rPr>
        <sz val="11"/>
        <rFont val="Calibri"/>
        <family val="2"/>
      </rPr>
      <t>↓</t>
    </r>
  </si>
  <si>
    <t>Ø</t>
  </si>
  <si>
    <r>
      <t>R3) Berechnung</t>
    </r>
    <r>
      <rPr>
        <sz val="11"/>
        <rFont val="Calibri"/>
        <family val="2"/>
        <scheme val="minor"/>
      </rPr>
      <t xml:space="preserve"> (informativ)</t>
    </r>
  </si>
  <si>
    <r>
      <t xml:space="preserve">R3.a) </t>
    </r>
    <r>
      <rPr>
        <sz val="11"/>
        <rFont val="Calibri"/>
        <family val="2"/>
        <scheme val="minor"/>
      </rPr>
      <t>Anpassung</t>
    </r>
    <r>
      <rPr>
        <b/>
        <sz val="11"/>
        <rFont val="Calibri"/>
        <family val="2"/>
        <scheme val="minor"/>
      </rPr>
      <t xml:space="preserve"> </t>
    </r>
    <r>
      <rPr>
        <sz val="9"/>
        <rFont val="Calibri"/>
        <family val="2"/>
        <scheme val="minor"/>
      </rPr>
      <t>(optional)</t>
    </r>
  </si>
  <si>
    <t xml:space="preserve">Info: Regiepreis pro Stunde für </t>
  </si>
  <si>
    <t>Standardmäßig sind die Werte aus der Mittelpersonal-preiskalkulation (wie Blatt K3 PP) übernommen; sie sind überschreibbar. Zulagen (K3 Z 7) und Arbeitszeitzuschläge (K3 Z 8) werden nicht übernommen.</t>
  </si>
  <si>
    <r>
      <rPr>
        <b/>
        <sz val="11"/>
        <rFont val="Calibri"/>
        <family val="2"/>
        <scheme val="minor"/>
      </rPr>
      <t>R4.c)</t>
    </r>
    <r>
      <rPr>
        <sz val="11"/>
        <rFont val="Calibri"/>
        <family val="2"/>
        <scheme val="minor"/>
      </rPr>
      <t xml:space="preserve"> K3 Zeile 9: Abgabepfl. Aufwandsentschäd.</t>
    </r>
  </si>
  <si>
    <r>
      <rPr>
        <b/>
        <sz val="11"/>
        <rFont val="Calibri"/>
        <family val="2"/>
        <scheme val="minor"/>
      </rPr>
      <t xml:space="preserve">R4.d) </t>
    </r>
    <r>
      <rPr>
        <sz val="11"/>
        <rFont val="Calibri"/>
        <family val="2"/>
        <scheme val="minor"/>
      </rPr>
      <t>K3 Zeile 11: Nicht abgabepfl. Personalkosten</t>
    </r>
  </si>
  <si>
    <r>
      <rPr>
        <b/>
        <sz val="11"/>
        <rFont val="Calibri"/>
        <family val="2"/>
        <scheme val="minor"/>
      </rPr>
      <t xml:space="preserve">R4.e) </t>
    </r>
    <r>
      <rPr>
        <sz val="11"/>
        <rFont val="Calibri"/>
        <family val="2"/>
        <scheme val="minor"/>
      </rPr>
      <t>K3 Zeile 12: Direkte Personalnebenkosten</t>
    </r>
  </si>
  <si>
    <r>
      <rPr>
        <b/>
        <sz val="11"/>
        <rFont val="Calibri"/>
        <family val="2"/>
        <scheme val="minor"/>
      </rPr>
      <t xml:space="preserve">R4.f) </t>
    </r>
    <r>
      <rPr>
        <sz val="11"/>
        <rFont val="Calibri"/>
        <family val="2"/>
        <scheme val="minor"/>
      </rPr>
      <t>K3 Zeile 13: Umgelegte Personalnebenkosten</t>
    </r>
  </si>
  <si>
    <r>
      <rPr>
        <b/>
        <sz val="11"/>
        <rFont val="Calibri"/>
        <family val="2"/>
        <scheme val="minor"/>
      </rPr>
      <t xml:space="preserve">R4.g) </t>
    </r>
    <r>
      <rPr>
        <sz val="11"/>
        <rFont val="Calibri"/>
        <family val="2"/>
        <scheme val="minor"/>
      </rPr>
      <t>K3 Zeile 14: Weitere Personalnebenkosten</t>
    </r>
  </si>
  <si>
    <r>
      <rPr>
        <b/>
        <sz val="11"/>
        <rFont val="Calibri"/>
        <family val="2"/>
        <scheme val="minor"/>
      </rPr>
      <t xml:space="preserve">R4.b) Ergebnis: </t>
    </r>
    <r>
      <rPr>
        <sz val="11"/>
        <rFont val="Calibri"/>
        <family val="2"/>
        <scheme val="minor"/>
      </rPr>
      <t>K3 Zeile 8 - Arbeitszeitzuschlag</t>
    </r>
  </si>
  <si>
    <t>∑</t>
  </si>
  <si>
    <t xml:space="preserve">Info: Regiepreis pro Std für </t>
  </si>
  <si>
    <t xml:space="preserve">Regiepreis pro Std für </t>
  </si>
  <si>
    <r>
      <t xml:space="preserve">R1) Beschäftigungsgruppen wählen: </t>
    </r>
    <r>
      <rPr>
        <sz val="11"/>
        <rFont val="Calibri"/>
        <family val="2"/>
      </rPr>
      <t>↓</t>
    </r>
  </si>
  <si>
    <r>
      <rPr>
        <b/>
        <sz val="11"/>
        <rFont val="Calibri"/>
        <family val="2"/>
        <scheme val="minor"/>
      </rPr>
      <t xml:space="preserve">R0.b) </t>
    </r>
    <r>
      <rPr>
        <sz val="11"/>
        <rFont val="Calibri"/>
        <family val="2"/>
        <scheme val="minor"/>
      </rPr>
      <t>Kalkuliert wird ein Preis für die ges. Partie  (</t>
    </r>
    <r>
      <rPr>
        <b/>
        <sz val="11"/>
        <color theme="1" tint="0.34998626667073579"/>
        <rFont val="Calibri"/>
        <family val="2"/>
        <scheme val="minor"/>
      </rPr>
      <t xml:space="preserve">KZ = </t>
    </r>
    <r>
      <rPr>
        <b/>
        <sz val="11"/>
        <color theme="1" tint="0.34998626667073579"/>
        <rFont val="Calibri"/>
        <family val="2"/>
      </rPr>
      <t>∑</t>
    </r>
    <r>
      <rPr>
        <sz val="11"/>
        <rFont val="Calibri"/>
        <family val="2"/>
      </rPr>
      <t>) oder pro Kopf (</t>
    </r>
    <r>
      <rPr>
        <b/>
        <sz val="11"/>
        <color theme="1" tint="0.34998626667073579"/>
        <rFont val="Calibri"/>
        <family val="2"/>
      </rPr>
      <t>KZ = Ø</t>
    </r>
    <r>
      <rPr>
        <sz val="11"/>
        <rFont val="Calibri"/>
        <family val="2"/>
      </rPr>
      <t>):</t>
    </r>
    <r>
      <rPr>
        <sz val="11"/>
        <rFont val="Calibri"/>
        <family val="2"/>
        <scheme val="minor"/>
      </rPr>
      <t xml:space="preserve">             </t>
    </r>
    <r>
      <rPr>
        <sz val="11"/>
        <rFont val="Calibri"/>
        <family val="2"/>
      </rPr>
      <t>↓</t>
    </r>
  </si>
  <si>
    <t>#0,10€</t>
  </si>
  <si>
    <t>#0,50€</t>
  </si>
  <si>
    <t>#1,00€</t>
  </si>
  <si>
    <t>produktives Personal</t>
  </si>
  <si>
    <t>B3) Auswertung und Darstellung der Kostenstruktur</t>
  </si>
  <si>
    <t>K3-Blatt:</t>
  </si>
  <si>
    <t>Kopf</t>
  </si>
  <si>
    <t>Wo?</t>
  </si>
  <si>
    <t>Zeile 4</t>
  </si>
  <si>
    <t>Zeile 8</t>
  </si>
  <si>
    <t>Zeile 7</t>
  </si>
  <si>
    <t>Z 1 bis 3, 6</t>
  </si>
  <si>
    <t>Zeilen 9, 11</t>
  </si>
  <si>
    <t>Z 12 bis 14</t>
  </si>
  <si>
    <t>Zeile 16</t>
  </si>
  <si>
    <t>Zeilen 17i</t>
  </si>
  <si>
    <t>Zeile 20</t>
  </si>
  <si>
    <t>Personal</t>
  </si>
  <si>
    <t>gesamt</t>
  </si>
  <si>
    <t>KO</t>
  </si>
  <si>
    <t>PR</t>
  </si>
  <si>
    <t>GZ</t>
  </si>
  <si>
    <t>GZ%</t>
  </si>
  <si>
    <t>Z. 18 bis 22</t>
  </si>
  <si>
    <t>Texte:</t>
  </si>
  <si>
    <t>15%/0%</t>
  </si>
  <si>
    <t>individuell</t>
  </si>
  <si>
    <t>85%/60%</t>
  </si>
  <si>
    <t>3,00/1,90</t>
  </si>
  <si>
    <t>15%/5%</t>
  </si>
  <si>
    <t xml:space="preserve">   Ist der richtige und zutreffende KollV verwendet?</t>
  </si>
  <si>
    <t>←</t>
  </si>
  <si>
    <t>Berechnung RUNDUNG</t>
  </si>
  <si>
    <t>Zusammenfassung (informativ)</t>
  </si>
  <si>
    <t>A2) Arbeitszeitzuschläge gem KollV (für K3 Zeile 8)</t>
  </si>
  <si>
    <t>A3) Erschwerniszulagen gem KollV (für K3 Zeile 7)</t>
  </si>
  <si>
    <t>A4) Dienstreisevergütungen und Entschädigungen (für K3 Zeilen 9 und 11)</t>
  </si>
  <si>
    <t>Nicht ermittelbar; unzulässige Daten!</t>
  </si>
  <si>
    <t>Info: Bitte besuchen Sie für aktuelle Informationen regelmäßig</t>
  </si>
  <si>
    <t>Quelldaten:</t>
  </si>
  <si>
    <t>Kalkulationsdateiname:</t>
  </si>
  <si>
    <t>Die Stammdaten werden in einer eigenen Datei (Quelldatei) eingetragen und von dort übernommen. Adaptierbare Vorlage siehe www.bauwesen.at/k3.Die hier angezeigten Daten sind in der Quelldatei veränderbar!</t>
  </si>
  <si>
    <t>B) Stammdaten Personalnebenkosten (PNK)</t>
  </si>
  <si>
    <t>Im Anwendungsbereich vom</t>
  </si>
  <si>
    <t xml:space="preserve">Summe in €: </t>
  </si>
  <si>
    <r>
      <t xml:space="preserve">Verknüpfung mit </t>
    </r>
    <r>
      <rPr>
        <b/>
        <sz val="12"/>
        <color theme="1"/>
        <rFont val="Calibri"/>
        <family val="2"/>
        <scheme val="minor"/>
      </rPr>
      <t>Dateiname:</t>
    </r>
  </si>
  <si>
    <r>
      <t xml:space="preserve">Verknüpfung mit </t>
    </r>
    <r>
      <rPr>
        <b/>
        <sz val="12"/>
        <rFont val="Calibri"/>
        <family val="2"/>
        <scheme val="minor"/>
      </rPr>
      <t>Blattname:</t>
    </r>
  </si>
  <si>
    <t>Wagnis</t>
  </si>
  <si>
    <t>Gewinn</t>
  </si>
  <si>
    <t>And. W</t>
  </si>
  <si>
    <t>O=
MxN/100</t>
  </si>
  <si>
    <t>K2-Blatt</t>
  </si>
  <si>
    <t>Personalkosten</t>
  </si>
  <si>
    <t>K2a</t>
  </si>
  <si>
    <t>GGK</t>
  </si>
  <si>
    <t>Finanzierungskosten</t>
  </si>
  <si>
    <t>Umlage in %:</t>
  </si>
  <si>
    <t>Aufschlag von:</t>
  </si>
  <si>
    <t>Anzahl:</t>
  </si>
  <si>
    <t>C2.a Zu den allgemeinen Angaben</t>
  </si>
  <si>
    <t xml:space="preserve">C2.c) Berücksichtigung unproduktiver Zeiten (Zeiten des unproduktiven Personals und sonstige unprod. Z.) </t>
  </si>
  <si>
    <t>C2.d) Zur Arbeitszeit und Arbeitszeitzuschlägen</t>
  </si>
  <si>
    <t>C2.e) Zulagen</t>
  </si>
  <si>
    <t>C2.f) Entschädigungen und sonstige Entgeltbestandteile</t>
  </si>
  <si>
    <t>C2.g) Personalnebenkosten</t>
  </si>
  <si>
    <t>C2.h) Personalgemeinkosten</t>
  </si>
  <si>
    <t>C2.i) Umlagen</t>
  </si>
  <si>
    <t>C2.j) Gesamtzuschlag</t>
  </si>
  <si>
    <t>C2.l) K2-Blatt: Gesamtzuschläge</t>
  </si>
  <si>
    <t>PNK</t>
  </si>
  <si>
    <t>Veränderung</t>
  </si>
  <si>
    <t>PRODUKTIV</t>
  </si>
  <si>
    <t>UNPRODUKTIV</t>
  </si>
  <si>
    <t>Auswirkung:</t>
  </si>
  <si>
    <t>auf Kosten</t>
  </si>
  <si>
    <t>auf Preis</t>
  </si>
  <si>
    <t>Abgabefreie Entschädigungen:</t>
  </si>
  <si>
    <t>Pflichtig:</t>
  </si>
  <si>
    <t>frei:</t>
  </si>
  <si>
    <t>UPNK</t>
  </si>
  <si>
    <t>NEU</t>
  </si>
  <si>
    <t>Alt</t>
  </si>
  <si>
    <t>Verrechnungsstd</t>
  </si>
  <si>
    <t>A2) Projektbezeichnung:</t>
  </si>
  <si>
    <t>A1) Unternehmer</t>
  </si>
  <si>
    <r>
      <rPr>
        <b/>
        <sz val="11"/>
        <rFont val="Calibri"/>
        <family val="2"/>
        <scheme val="minor"/>
      </rPr>
      <t>A3) Bezeichnung:</t>
    </r>
    <r>
      <rPr>
        <sz val="11"/>
        <rFont val="Calibri"/>
        <family val="2"/>
        <scheme val="minor"/>
      </rPr>
      <t xml:space="preserve">
(zB Produktionsfaktor, Nr. udgl) </t>
    </r>
  </si>
  <si>
    <r>
      <rPr>
        <b/>
        <sz val="11"/>
        <rFont val="Calibri"/>
        <family val="2"/>
        <scheme val="minor"/>
      </rPr>
      <t>A4.</t>
    </r>
    <r>
      <rPr>
        <sz val="11"/>
        <rFont val="Calibri"/>
        <family val="2"/>
        <scheme val="minor"/>
      </rPr>
      <t>a) Gz UN:</t>
    </r>
  </si>
  <si>
    <r>
      <rPr>
        <b/>
        <sz val="11"/>
        <rFont val="Calibri"/>
        <family val="2"/>
        <scheme val="minor"/>
      </rPr>
      <t>A5) Kalkulationsdatum:</t>
    </r>
    <r>
      <rPr>
        <sz val="11"/>
        <rFont val="Calibri"/>
        <family val="2"/>
        <scheme val="minor"/>
      </rPr>
      <t xml:space="preserve">
(Datum der Erstellung)</t>
    </r>
  </si>
  <si>
    <t>B2.a) Unproduktives Personal</t>
  </si>
  <si>
    <t>B3.a) Informativ</t>
  </si>
  <si>
    <t>C) Erfassung von Mehrarbeit/Überstunden und Lage der Arbeitszeit</t>
  </si>
  <si>
    <r>
      <t xml:space="preserve">C1) + zusätzliche Std.
</t>
    </r>
    <r>
      <rPr>
        <sz val="11"/>
        <rFont val="Calibri"/>
        <family val="2"/>
        <scheme val="minor"/>
      </rPr>
      <t xml:space="preserve">Auswählen: </t>
    </r>
    <r>
      <rPr>
        <sz val="11"/>
        <rFont val="Calibri"/>
        <family val="2"/>
      </rPr>
      <t>↓</t>
    </r>
  </si>
  <si>
    <t xml:space="preserve">C1) Zwischensumme </t>
  </si>
  <si>
    <r>
      <t xml:space="preserve">C2.a) Verrechnungsstd.
</t>
    </r>
    <r>
      <rPr>
        <sz val="11"/>
        <rFont val="Calibri"/>
        <family val="2"/>
        <scheme val="minor"/>
      </rPr>
      <t>(mit Aufzahlung in %)</t>
    </r>
  </si>
  <si>
    <r>
      <t xml:space="preserve">C2.b) Verrechnungsstd. </t>
    </r>
    <r>
      <rPr>
        <sz val="11"/>
        <rFont val="Calibri"/>
        <family val="2"/>
        <scheme val="minor"/>
      </rPr>
      <t>(mit Aufzahlung in Euro)</t>
    </r>
  </si>
  <si>
    <t xml:space="preserve">C2) Zwischensumme </t>
  </si>
  <si>
    <t>Verrech-nungsstd. pro Woche:</t>
  </si>
  <si>
    <t>Anzahl Std pro Woche:</t>
  </si>
  <si>
    <t>C1) Ergebnis Arbeitszeit</t>
  </si>
  <si>
    <t>D) Zulagen (zB Erschwerniszulagen)</t>
  </si>
  <si>
    <t>D1) Zulagen für produktives Personal</t>
  </si>
  <si>
    <t>D2) Zulagen für unproduktives Personal (gem B2.a)</t>
  </si>
  <si>
    <t>Zulagen für produktives Personal (Übertrag von D1)</t>
  </si>
  <si>
    <t>Zulagen für sonstige unproduktive Zeiten (Übertrag von D3)</t>
  </si>
  <si>
    <t>Zulagen für unproduktives Personal (Übertrag von D2)</t>
  </si>
  <si>
    <t>E) Entschädigungen und sonstige Entgeltbestandteile</t>
  </si>
  <si>
    <t>Basis ist</t>
  </si>
  <si>
    <t>F) Personalnebenkosten (Direkte / Umgelegte / Weitere PNK)</t>
  </si>
  <si>
    <t>F1) Direkte Personalnebenkosten (DPNK)</t>
  </si>
  <si>
    <t>F2) Umgelegte Personalnebenkosten (UPNK)</t>
  </si>
  <si>
    <t>F2.a) Abminderung wg. Mehrarbeit</t>
  </si>
  <si>
    <t>F2.b) Abminderung  wg. Mehrentgelt</t>
  </si>
  <si>
    <t>F3) Weitere Personalnebenkosten</t>
  </si>
  <si>
    <t xml:space="preserve">   Abgabe in €/Woche für:</t>
  </si>
  <si>
    <t xml:space="preserve">   Höhe der Abgabe pro Woche und Mitarbeiter (€/Woche)</t>
  </si>
  <si>
    <t>F3)  Zwischensumme</t>
  </si>
  <si>
    <t>F2) Zwischenergebnis (Rechenergebnis UPNK)</t>
  </si>
  <si>
    <r>
      <rPr>
        <b/>
        <sz val="11"/>
        <rFont val="Calibri"/>
        <family val="2"/>
        <scheme val="minor"/>
      </rPr>
      <t>F3.b)</t>
    </r>
    <r>
      <rPr>
        <sz val="11"/>
        <rFont val="Calibri"/>
        <family val="2"/>
        <scheme val="minor"/>
      </rPr>
      <t xml:space="preserve"> Für: </t>
    </r>
  </si>
  <si>
    <r>
      <rPr>
        <b/>
        <sz val="11"/>
        <rFont val="Calibri"/>
        <family val="2"/>
        <scheme val="minor"/>
      </rPr>
      <t xml:space="preserve">F3.a) </t>
    </r>
    <r>
      <rPr>
        <sz val="11"/>
        <rFont val="Calibri"/>
        <family val="2"/>
        <scheme val="minor"/>
      </rPr>
      <t xml:space="preserve">Für: </t>
    </r>
  </si>
  <si>
    <r>
      <rPr>
        <b/>
        <sz val="11"/>
        <rFont val="Calibri"/>
        <family val="2"/>
        <scheme val="minor"/>
      </rPr>
      <t>F3.c)</t>
    </r>
    <r>
      <rPr>
        <sz val="11"/>
        <rFont val="Calibri"/>
        <family val="2"/>
        <scheme val="minor"/>
      </rPr>
      <t xml:space="preserve"> Hilfsrechner für eine Abgabe in €/Woche</t>
    </r>
  </si>
  <si>
    <t>G) Hinzurechnung - Personalgemeinkosten</t>
  </si>
  <si>
    <t>G1) Zwischensumme</t>
  </si>
  <si>
    <t>G) Gesamtsumme1 - %-Werte (variabel in %)</t>
  </si>
  <si>
    <t>Kalkulierte Anzahl der Gesamt-Std.:</t>
  </si>
  <si>
    <r>
      <rPr>
        <b/>
        <i/>
        <sz val="11"/>
        <color theme="1" tint="0.34998626667073579"/>
        <rFont val="Calibri"/>
        <family val="2"/>
        <scheme val="minor"/>
      </rPr>
      <t>D4.a) Berechnung</t>
    </r>
    <r>
      <rPr>
        <i/>
        <sz val="11"/>
        <color theme="1" tint="0.34998626667073579"/>
        <rFont val="Calibri"/>
        <family val="2"/>
        <scheme val="minor"/>
      </rPr>
      <t xml:space="preserve"> (informativ)</t>
    </r>
  </si>
  <si>
    <t>Erstellt am</t>
  </si>
  <si>
    <t>gemäß K2a-Blatt</t>
  </si>
  <si>
    <t>Hilfsrechner und Information</t>
  </si>
  <si>
    <r>
      <t xml:space="preserve">       Runden?   </t>
    </r>
    <r>
      <rPr>
        <sz val="10"/>
        <color theme="1"/>
        <rFont val="Calibri"/>
        <family val="2"/>
      </rPr>
      <t>↓</t>
    </r>
  </si>
  <si>
    <t>produktiv =</t>
  </si>
  <si>
    <t>unprod. =</t>
  </si>
  <si>
    <t>C0) Info: Mögliche Basen für Aufzahlung gem KollV</t>
  </si>
  <si>
    <r>
      <t xml:space="preserve">KZ=1: </t>
    </r>
    <r>
      <rPr>
        <i/>
        <sz val="11"/>
        <rFont val="Calibri"/>
        <family val="2"/>
        <scheme val="minor"/>
      </rPr>
      <t>bei KV-Entgelt x Faktor gem KollV</t>
    </r>
  </si>
  <si>
    <r>
      <rPr>
        <b/>
        <i/>
        <sz val="12"/>
        <rFont val="Calibri"/>
        <family val="2"/>
        <scheme val="minor"/>
      </rPr>
      <t xml:space="preserve">KZ=2: </t>
    </r>
    <r>
      <rPr>
        <i/>
        <sz val="11"/>
        <rFont val="Calibri"/>
        <family val="2"/>
        <scheme val="minor"/>
      </rPr>
      <t>bei (KV- + AKV-Entgelt) x Faktor gem KollV</t>
    </r>
  </si>
  <si>
    <r>
      <rPr>
        <b/>
        <i/>
        <sz val="12"/>
        <rFont val="Calibri"/>
        <family val="2"/>
        <scheme val="minor"/>
      </rPr>
      <t xml:space="preserve">KZ=3: </t>
    </r>
    <r>
      <rPr>
        <i/>
        <sz val="11"/>
        <rFont val="Calibri"/>
        <family val="2"/>
        <scheme val="minor"/>
      </rPr>
      <t>bei (KV + AKV + Zulagen) x Faktor gem KV</t>
    </r>
  </si>
  <si>
    <r>
      <rPr>
        <b/>
        <i/>
        <sz val="12"/>
        <rFont val="Calibri"/>
        <family val="2"/>
        <scheme val="minor"/>
      </rPr>
      <t xml:space="preserve">KZ=4: </t>
    </r>
    <r>
      <rPr>
        <i/>
        <sz val="11"/>
        <rFont val="Calibri"/>
        <family val="2"/>
        <scheme val="minor"/>
      </rPr>
      <t>bei (KV + AKV + Zulagen) x 1,00</t>
    </r>
  </si>
  <si>
    <r>
      <rPr>
        <b/>
        <sz val="11"/>
        <rFont val="Calibri"/>
        <family val="2"/>
        <scheme val="minor"/>
      </rPr>
      <t>R0) Bezeichnung:</t>
    </r>
    <r>
      <rPr>
        <sz val="11"/>
        <rFont val="Calibri"/>
        <family val="2"/>
        <scheme val="minor"/>
      </rPr>
      <t xml:space="preserve">
(zB Pos-Nr., Text der Regieposition)</t>
    </r>
  </si>
  <si>
    <r>
      <t xml:space="preserve">C1) Sollen Mehr-/Überstunden zuzüglich zur KollV-Arbeitszeit erfasst werden?          </t>
    </r>
    <r>
      <rPr>
        <sz val="11"/>
        <rFont val="Calibri"/>
        <family val="2"/>
        <scheme val="minor"/>
      </rPr>
      <t xml:space="preserve">   ↓</t>
    </r>
  </si>
  <si>
    <r>
      <t>Zwischensumme (</t>
    </r>
    <r>
      <rPr>
        <sz val="11"/>
        <rFont val="Calibri"/>
        <family val="2"/>
      </rPr>
      <t>∑ C1 und C2) als Aufzahlungsprozentsatz pro Woche</t>
    </r>
  </si>
  <si>
    <t>E1.a) Übertrag abgabefreie Zulage aus D1.b</t>
  </si>
  <si>
    <r>
      <t xml:space="preserve">Berücksichtigen? (Ja/Nein): </t>
    </r>
    <r>
      <rPr>
        <sz val="11"/>
        <rFont val="Calibri"/>
        <family val="2"/>
      </rPr>
      <t>↓</t>
    </r>
  </si>
  <si>
    <t>IST-Wert K3</t>
  </si>
  <si>
    <t>SOLL-Wert</t>
  </si>
  <si>
    <t>Rundung</t>
  </si>
  <si>
    <t>Berücks. GZ:</t>
  </si>
  <si>
    <t>PK ohne Zurech.</t>
  </si>
  <si>
    <t>PGK</t>
  </si>
  <si>
    <t>PK</t>
  </si>
  <si>
    <t>PP Kosten nach K3</t>
  </si>
  <si>
    <t>Nur Personal</t>
  </si>
  <si>
    <t>PP Preis nach K3</t>
  </si>
  <si>
    <t>erf. Ausgleich nach PGK</t>
  </si>
  <si>
    <t>IST-K3</t>
  </si>
  <si>
    <t>SU.gerechnet</t>
  </si>
  <si>
    <t>Abweichung</t>
  </si>
  <si>
    <t>Ungenauigkeit K3</t>
  </si>
  <si>
    <t>Ungenauigkeit</t>
  </si>
  <si>
    <t>R zu hoch</t>
  </si>
  <si>
    <t>Fehler</t>
  </si>
  <si>
    <t>R3) Ergebnis</t>
  </si>
  <si>
    <t>2. Anspruch</t>
  </si>
  <si>
    <r>
      <rPr>
        <b/>
        <sz val="9"/>
        <rFont val="Calibri"/>
        <family val="2"/>
        <scheme val="minor"/>
      </rPr>
      <t>2a</t>
    </r>
    <r>
      <rPr>
        <sz val="9"/>
        <rFont val="Calibri"/>
        <family val="2"/>
        <scheme val="minor"/>
      </rPr>
      <t xml:space="preserve"> …% des Personals:</t>
    </r>
  </si>
  <si>
    <r>
      <rPr>
        <b/>
        <sz val="9"/>
        <rFont val="Calibri"/>
        <family val="2"/>
        <scheme val="minor"/>
      </rPr>
      <t>2b</t>
    </r>
    <r>
      <rPr>
        <sz val="9"/>
        <rFont val="Calibri"/>
        <family val="2"/>
        <scheme val="minor"/>
      </rPr>
      <t xml:space="preserve"> …Tage/Wo:</t>
    </r>
  </si>
  <si>
    <r>
      <t xml:space="preserve">  Basis für die Aufzahlung in % (siehe Pkt C0; KZ = 1, 2, 3 od. 4):  </t>
    </r>
    <r>
      <rPr>
        <sz val="11"/>
        <rFont val="Calibri"/>
        <family val="2"/>
      </rPr>
      <t>↓</t>
    </r>
  </si>
  <si>
    <t>Wie Pkt I2 oder überschreiben mit: ↓</t>
  </si>
  <si>
    <r>
      <rPr>
        <b/>
        <sz val="11"/>
        <rFont val="Calibri"/>
        <family val="2"/>
        <scheme val="minor"/>
      </rPr>
      <t xml:space="preserve">R5.a) </t>
    </r>
    <r>
      <rPr>
        <sz val="11"/>
        <rFont val="Calibri"/>
        <family val="2"/>
        <scheme val="minor"/>
      </rPr>
      <t xml:space="preserve">Umlagen, soweit für Regie relevant, wählen: </t>
    </r>
    <r>
      <rPr>
        <sz val="11"/>
        <rFont val="Calibri"/>
        <family val="2"/>
      </rPr>
      <t>↓</t>
    </r>
  </si>
  <si>
    <t xml:space="preserve">   .b1) Regie als Mehrarbeitsstunde kalkulieren?</t>
  </si>
  <si>
    <r>
      <t xml:space="preserve">R4.b) </t>
    </r>
    <r>
      <rPr>
        <sz val="11"/>
        <rFont val="Calibri"/>
        <family val="2"/>
        <scheme val="minor"/>
      </rPr>
      <t>K3 Zeile 8:</t>
    </r>
    <r>
      <rPr>
        <b/>
        <sz val="11"/>
        <rFont val="Calibri"/>
        <family val="2"/>
        <scheme val="minor"/>
      </rPr>
      <t xml:space="preserve"> Arbeitszeitzulagen</t>
    </r>
  </si>
  <si>
    <t xml:space="preserve">  .b2) Regie als Verrechnungsstunde (%) kalkulieren?</t>
  </si>
  <si>
    <t xml:space="preserve">  .b3) Regie als Verrechnungsstunde (€) kalkulieren?</t>
  </si>
  <si>
    <t>DD_Personal</t>
  </si>
  <si>
    <t>Min Zeil-Nr</t>
  </si>
  <si>
    <t>Max-Zeil-Nr</t>
  </si>
  <si>
    <t>Zeilen</t>
  </si>
  <si>
    <t>DD_UE_STD</t>
  </si>
  <si>
    <t>DD_VStd_Euro</t>
  </si>
  <si>
    <t>DD_VStd_Proz</t>
  </si>
  <si>
    <t>DD_Zulagen</t>
  </si>
  <si>
    <r>
      <t xml:space="preserve">Basis? </t>
    </r>
    <r>
      <rPr>
        <sz val="10"/>
        <rFont val="Calibri"/>
        <family val="2"/>
      </rPr>
      <t>↓</t>
    </r>
  </si>
  <si>
    <t>G) Gesamtsumme2 €-Werte (fix in €)</t>
  </si>
  <si>
    <t>Werte gem Quelldatei</t>
  </si>
  <si>
    <t>Werte für die weitere Berechnung</t>
  </si>
  <si>
    <t>DD_Ent_Std</t>
  </si>
  <si>
    <t>DD_Ent_Tag</t>
  </si>
  <si>
    <t>DD_Ent_Wo</t>
  </si>
  <si>
    <t>E1</t>
  </si>
  <si>
    <t>Höhe</t>
  </si>
  <si>
    <t>Anteil mit UPNK</t>
  </si>
  <si>
    <t>E2</t>
  </si>
  <si>
    <t>E3</t>
  </si>
  <si>
    <t>Mit UPNK</t>
  </si>
  <si>
    <t>Ohne UPNK</t>
  </si>
  <si>
    <t>UPNK-Pflicht Zeile 11 K3-Blatt</t>
  </si>
  <si>
    <t>DD_Auswahl</t>
  </si>
  <si>
    <t>f3: Mehrentgeltfaktor</t>
  </si>
  <si>
    <t xml:space="preserve">
Das Ergebnis der UPNK-Berechnung muss immer einem Plausibilitätscheck unterzogen werden!</t>
  </si>
  <si>
    <t xml:space="preserve">Info: Basis für %-Angaben  ist </t>
  </si>
  <si>
    <r>
      <rPr>
        <b/>
        <sz val="11"/>
        <rFont val="Calibri"/>
        <family val="2"/>
        <scheme val="minor"/>
      </rPr>
      <t xml:space="preserve">R4.h) </t>
    </r>
    <r>
      <rPr>
        <sz val="11"/>
        <rFont val="Calibri"/>
        <family val="2"/>
        <scheme val="minor"/>
      </rPr>
      <t xml:space="preserve">K3 Z 16: PGK (% </t>
    </r>
    <r>
      <rPr>
        <sz val="11"/>
        <rFont val="Calibri"/>
        <family val="2"/>
      </rPr>
      <t>ǁ</t>
    </r>
    <r>
      <rPr>
        <sz val="11"/>
        <rFont val="Calibri"/>
        <family val="2"/>
        <scheme val="minor"/>
      </rPr>
      <t xml:space="preserve"> €)</t>
    </r>
  </si>
  <si>
    <t>Version:</t>
  </si>
  <si>
    <t>Anteile</t>
  </si>
  <si>
    <t>Ø KV-Entgelt</t>
  </si>
  <si>
    <t>Ø AKV-Entg.</t>
  </si>
  <si>
    <t>(A) … % der Arbeit-nehmer:</t>
  </si>
  <si>
    <t>(B) … % Anspruchs-dauer:</t>
  </si>
  <si>
    <t>Wert gem KollV in €</t>
  </si>
  <si>
    <t>Wert gem KollV in %</t>
  </si>
  <si>
    <t>gewichtet 
(A x B)</t>
  </si>
  <si>
    <t>D1.a) Zulagen</t>
  </si>
  <si>
    <r>
      <rPr>
        <b/>
        <sz val="11"/>
        <rFont val="Calibri"/>
        <family val="2"/>
        <scheme val="minor"/>
      </rPr>
      <t xml:space="preserve">D2.a) Festlegen </t>
    </r>
    <r>
      <rPr>
        <sz val="11"/>
        <rFont val="Calibri"/>
        <family val="2"/>
        <scheme val="minor"/>
      </rPr>
      <t>(</t>
    </r>
    <r>
      <rPr>
        <b/>
        <sz val="11"/>
        <rFont val="Calibri"/>
        <family val="2"/>
        <scheme val="minor"/>
      </rPr>
      <t>PROD</t>
    </r>
    <r>
      <rPr>
        <sz val="11"/>
        <rFont val="Calibri"/>
        <family val="2"/>
        <scheme val="minor"/>
      </rPr>
      <t xml:space="preserve"> = wie prod. Pers./</t>
    </r>
    <r>
      <rPr>
        <b/>
        <sz val="11"/>
        <rFont val="Calibri"/>
        <family val="2"/>
        <scheme val="minor"/>
      </rPr>
      <t>INDIV</t>
    </r>
    <r>
      <rPr>
        <sz val="11"/>
        <rFont val="Calibri"/>
        <family val="2"/>
        <scheme val="minor"/>
      </rPr>
      <t xml:space="preserve"> = individuell kalk./</t>
    </r>
    <r>
      <rPr>
        <b/>
        <sz val="11"/>
        <rFont val="Calibri"/>
        <family val="2"/>
        <scheme val="minor"/>
      </rPr>
      <t>KEINE</t>
    </r>
    <r>
      <rPr>
        <sz val="11"/>
        <rFont val="Calibri"/>
        <family val="2"/>
        <scheme val="minor"/>
      </rPr>
      <t xml:space="preserve"> = keine Zulagen) </t>
    </r>
    <r>
      <rPr>
        <sz val="11"/>
        <rFont val="Calibri"/>
        <family val="2"/>
      </rPr>
      <t>↓</t>
    </r>
  </si>
  <si>
    <t xml:space="preserve">
Betriebe die dem BUAG unterliegen, wählen idR diese Einstellung.</t>
  </si>
  <si>
    <t>Hinweis: Die Auswahl NEIN in F2.b ist nur dann plausibel, wenn eine eigene betriebsindividuelle Ermittlung der UPNK dem Wert der Stammdaten zugrundeliegt. Basieren die Werte auf einer Musterkalkulation, machen Sie sich mit den weiteren Optionen vertraut und prüfen Sie die Hinweise, wenn JA gewählt ist.</t>
  </si>
  <si>
    <t>DD_GZ</t>
  </si>
  <si>
    <t>SOLL + Rundung</t>
  </si>
  <si>
    <t>Alt K3-Wert alt simuliert</t>
  </si>
  <si>
    <t>SOLL-Rundung</t>
  </si>
  <si>
    <t>Ungenau:</t>
  </si>
  <si>
    <t>Summen tats.</t>
  </si>
  <si>
    <t>Übertrag PROLEKT</t>
  </si>
  <si>
    <t>K3 zu Rechnung</t>
  </si>
  <si>
    <t>Anzeige</t>
  </si>
  <si>
    <t>J3) Optionales Runden des Ergebnisses</t>
  </si>
  <si>
    <t>DD_P_KOA</t>
  </si>
  <si>
    <t>Dienstleistung</t>
  </si>
  <si>
    <t>DD_Leistungsart</t>
  </si>
  <si>
    <t>Erstellt für Kostenart</t>
  </si>
  <si>
    <t>Erstellt für Leistungsart</t>
  </si>
  <si>
    <r>
      <t xml:space="preserve">J3.b) Aufrunden auf 0,10€, 0,50€ oder Ganzzahl)?                       </t>
    </r>
    <r>
      <rPr>
        <sz val="11"/>
        <rFont val="Calibri"/>
        <family val="2"/>
      </rPr>
      <t>↓</t>
    </r>
  </si>
  <si>
    <t>Einstell.</t>
  </si>
  <si>
    <t>Null</t>
  </si>
  <si>
    <t>Zahl</t>
  </si>
  <si>
    <t>Ende</t>
  </si>
  <si>
    <t>Ø Montage &amp; Vorfertigung</t>
  </si>
  <si>
    <t xml:space="preserve"> …% Personal</t>
  </si>
  <si>
    <t>optional Auswahl: ↓</t>
  </si>
  <si>
    <t>… % Dauer</t>
  </si>
  <si>
    <t>R4) Zulagen, Zuschläge, Entschädigungen, PNK, Umlagen</t>
  </si>
  <si>
    <t>Gründe für die Arbeitszeit-mehrvergütung</t>
  </si>
  <si>
    <r>
      <rPr>
        <i/>
        <sz val="10"/>
        <color theme="1" tint="0.34998626667073579"/>
        <rFont val="Calibri"/>
        <family val="2"/>
      </rPr>
      <t>∑</t>
    </r>
    <r>
      <rPr>
        <i/>
        <sz val="10"/>
        <color theme="1" tint="0.34998626667073579"/>
        <rFont val="Calibri"/>
        <family val="2"/>
        <scheme val="minor"/>
      </rPr>
      <t>KV/Std</t>
    </r>
  </si>
  <si>
    <r>
      <rPr>
        <i/>
        <sz val="10"/>
        <color theme="1" tint="0.34998626667073579"/>
        <rFont val="Calibri"/>
        <family val="2"/>
      </rPr>
      <t>∑</t>
    </r>
    <r>
      <rPr>
        <i/>
        <sz val="10"/>
        <color theme="1" tint="0.34998626667073579"/>
        <rFont val="Calibri"/>
        <family val="2"/>
        <scheme val="minor"/>
      </rPr>
      <t>AKV/Std</t>
    </r>
  </si>
  <si>
    <r>
      <t>KZ für  die Wahl der Basis für die Aufzahlung gem C1:</t>
    </r>
    <r>
      <rPr>
        <sz val="10"/>
        <rFont val="Calibri"/>
        <family val="2"/>
      </rPr>
      <t>↓</t>
    </r>
  </si>
  <si>
    <t>Berechnung der UPNK (informativ)</t>
  </si>
  <si>
    <r>
      <t xml:space="preserve">Auswählen: </t>
    </r>
    <r>
      <rPr>
        <sz val="10"/>
        <rFont val="Calibri"/>
        <family val="2"/>
      </rPr>
      <t>↓</t>
    </r>
  </si>
  <si>
    <r>
      <t xml:space="preserve">Aus K2 auswählen: </t>
    </r>
    <r>
      <rPr>
        <sz val="10"/>
        <rFont val="Calibri"/>
        <family val="2"/>
      </rPr>
      <t>↓</t>
    </r>
  </si>
  <si>
    <t>Standard-werte 
(gem Blatt 
K3_PP)</t>
  </si>
  <si>
    <t>Überst:</t>
  </si>
  <si>
    <t>Verr.Std</t>
  </si>
  <si>
    <t>Preisart</t>
  </si>
  <si>
    <t xml:space="preserve">   für</t>
  </si>
  <si>
    <r>
      <rPr>
        <b/>
        <sz val="11"/>
        <rFont val="Calibri"/>
        <family val="2"/>
        <scheme val="minor"/>
      </rPr>
      <t>R0.a)</t>
    </r>
    <r>
      <rPr>
        <sz val="11"/>
        <rFont val="Calibri"/>
        <family val="2"/>
        <scheme val="minor"/>
      </rPr>
      <t xml:space="preserve"> Weitere Kurzbezeichnung:</t>
    </r>
  </si>
  <si>
    <t>R6) GZ auf PERSONALKOSTEN (K3 Spalte B)</t>
  </si>
  <si>
    <r>
      <rPr>
        <b/>
        <sz val="10"/>
        <color theme="1"/>
        <rFont val="Calibri"/>
        <family val="2"/>
        <scheme val="minor"/>
      </rPr>
      <t xml:space="preserve">a) </t>
    </r>
    <r>
      <rPr>
        <sz val="10"/>
        <color theme="1"/>
        <rFont val="Calibri"/>
        <family val="2"/>
        <scheme val="minor"/>
      </rPr>
      <t xml:space="preserve">Wenn Sie den GZ auf 2 Stellen runden wollen, wählen Sie JA. 
</t>
    </r>
    <r>
      <rPr>
        <b/>
        <sz val="10"/>
        <color theme="1"/>
        <rFont val="Calibri"/>
        <family val="2"/>
        <scheme val="minor"/>
      </rPr>
      <t>b)</t>
    </r>
    <r>
      <rPr>
        <sz val="10"/>
        <color theme="1"/>
        <rFont val="Calibri"/>
        <family val="2"/>
        <scheme val="minor"/>
      </rPr>
      <t xml:space="preserve"> Wollen Sie weiters auf Ganzzahl aufrunden, tragen Sie Wagnis </t>
    </r>
    <r>
      <rPr>
        <b/>
        <sz val="10"/>
        <color theme="1"/>
        <rFont val="Calibri"/>
        <family val="2"/>
        <scheme val="minor"/>
      </rPr>
      <t>ODER</t>
    </r>
    <r>
      <rPr>
        <sz val="10"/>
        <color theme="1"/>
        <rFont val="Calibri"/>
        <family val="2"/>
        <scheme val="minor"/>
      </rPr>
      <t xml:space="preserve"> Gewinn wie folgt ein:</t>
    </r>
  </si>
  <si>
    <r>
      <t xml:space="preserve">B) </t>
    </r>
    <r>
      <rPr>
        <b/>
        <sz val="14"/>
        <rFont val="Calibri"/>
        <family val="2"/>
      </rPr>
      <t>Ø Personalstruktur</t>
    </r>
    <r>
      <rPr>
        <b/>
        <sz val="14"/>
        <rFont val="Calibri"/>
        <family val="2"/>
        <scheme val="minor"/>
      </rPr>
      <t xml:space="preserve"> &amp; Unproduktivität</t>
    </r>
  </si>
  <si>
    <t>K3 - Regie 1</t>
  </si>
  <si>
    <t>B - Personal</t>
  </si>
  <si>
    <t>K3 - Regie 2</t>
  </si>
  <si>
    <t>C - Arbeitszeit</t>
  </si>
  <si>
    <t>K3 - Regie 3</t>
  </si>
  <si>
    <t>D - Zulagen</t>
  </si>
  <si>
    <t>K3 - Regie 4</t>
  </si>
  <si>
    <t>E - Sonst. Entgelte</t>
  </si>
  <si>
    <t>K3 - Regie 5</t>
  </si>
  <si>
    <t>F - Pers.nebenko.</t>
  </si>
  <si>
    <t>G - Pers.gemeinko.</t>
  </si>
  <si>
    <t>K3 - Blatt</t>
  </si>
  <si>
    <t>H - Umlagen</t>
  </si>
  <si>
    <t>I - GZ</t>
  </si>
  <si>
    <t>K2- GZ</t>
  </si>
  <si>
    <t>J - Einstellungen</t>
  </si>
  <si>
    <t>Report</t>
  </si>
  <si>
    <t>Kalkulation</t>
  </si>
  <si>
    <t>Kalkulation Regie 1</t>
  </si>
  <si>
    <t>Kalkulation Regie 2</t>
  </si>
  <si>
    <t>Kalkulation Regie 3</t>
  </si>
  <si>
    <t>Kalkulation Regie 4</t>
  </si>
  <si>
    <t>Kalkulation Regie 5</t>
  </si>
  <si>
    <t>Anmer-kungen:</t>
  </si>
  <si>
    <t xml:space="preserve">in % bzw in € bei </t>
  </si>
  <si>
    <t>B2</t>
  </si>
  <si>
    <t>D2) Zwischenergebnis: Zulagen in % für unproduktives Personal</t>
  </si>
  <si>
    <t>Zulage</t>
  </si>
  <si>
    <t xml:space="preserve">Basis und Zuschlag in € sind </t>
  </si>
  <si>
    <t xml:space="preserve"> SZ und Fortzahlung.</t>
  </si>
  <si>
    <t>DD</t>
  </si>
  <si>
    <r>
      <rPr>
        <b/>
        <sz val="10"/>
        <rFont val="Calibri"/>
        <family val="2"/>
        <scheme val="minor"/>
      </rPr>
      <t xml:space="preserve">4. Höhe </t>
    </r>
    <r>
      <rPr>
        <sz val="10"/>
        <rFont val="Calibri"/>
        <family val="2"/>
        <scheme val="minor"/>
      </rPr>
      <t>des Verrech-nungssatzes in % der Basis:</t>
    </r>
  </si>
  <si>
    <t>DD_JN</t>
  </si>
  <si>
    <t xml:space="preserve">f1: Mehrarbeitsfaktor </t>
  </si>
  <si>
    <t>Basis der Aufzahlung (siehe C0):</t>
  </si>
  <si>
    <t xml:space="preserve"> ergibt €/Std</t>
  </si>
  <si>
    <t>Personal-nebenkosten</t>
  </si>
  <si>
    <t>Personal-gemeinko.</t>
  </si>
  <si>
    <t>nicht pfl. E.</t>
  </si>
  <si>
    <t>SORTIERUNG ÜBERSTUNDEN FÜR K3</t>
  </si>
  <si>
    <t>Anzeige für K3-Blatt</t>
  </si>
  <si>
    <t>Stunden</t>
  </si>
  <si>
    <t>Aufzahlung</t>
  </si>
  <si>
    <t>Min/Max</t>
  </si>
  <si>
    <t>Regie 05</t>
  </si>
  <si>
    <t>Regie 06</t>
  </si>
  <si>
    <t>Kalkulation Regie 6</t>
  </si>
  <si>
    <t>K3 - Regie 6</t>
  </si>
  <si>
    <t>↑</t>
  </si>
  <si>
    <t xml:space="preserve">in %: Basis= </t>
  </si>
  <si>
    <r>
      <rPr>
        <b/>
        <sz val="11"/>
        <rFont val="Calibri"/>
        <family val="2"/>
        <scheme val="minor"/>
      </rPr>
      <t>R2.a)</t>
    </r>
    <r>
      <rPr>
        <sz val="11"/>
        <rFont val="Calibri"/>
        <family val="2"/>
        <scheme val="minor"/>
      </rPr>
      <t xml:space="preserve"> Unprod. Personal/Zeiten zusätzlich zum (</t>
    </r>
    <r>
      <rPr>
        <b/>
        <sz val="11"/>
        <rFont val="Calibri"/>
        <family val="2"/>
        <scheme val="minor"/>
      </rPr>
      <t>KZ = 1</t>
    </r>
    <r>
      <rPr>
        <sz val="11"/>
        <rFont val="Calibri"/>
        <family val="2"/>
        <scheme val="minor"/>
      </rPr>
      <t>) oder vom (</t>
    </r>
    <r>
      <rPr>
        <b/>
        <sz val="11"/>
        <rFont val="Calibri"/>
        <family val="2"/>
        <scheme val="minor"/>
      </rPr>
      <t>KZ = 0</t>
    </r>
    <r>
      <rPr>
        <sz val="11"/>
        <rFont val="Calibri"/>
        <family val="2"/>
        <scheme val="minor"/>
      </rPr>
      <t xml:space="preserve">) prod. Personal? </t>
    </r>
    <r>
      <rPr>
        <sz val="11"/>
        <rFont val="Calibri"/>
        <family val="2"/>
      </rPr>
      <t>↓</t>
    </r>
  </si>
  <si>
    <r>
      <rPr>
        <b/>
        <sz val="11"/>
        <rFont val="Calibri"/>
        <family val="2"/>
        <scheme val="minor"/>
      </rPr>
      <t>R2.a)</t>
    </r>
    <r>
      <rPr>
        <sz val="11"/>
        <rFont val="Calibri"/>
        <family val="2"/>
        <scheme val="minor"/>
      </rPr>
      <t xml:space="preserve"> Unprod. Personal/Zeiten zusätzlich zum (</t>
    </r>
    <r>
      <rPr>
        <b/>
        <sz val="11"/>
        <rFont val="Calibri"/>
        <family val="2"/>
        <scheme val="minor"/>
      </rPr>
      <t>KZ = 1</t>
    </r>
    <r>
      <rPr>
        <sz val="11"/>
        <rFont val="Calibri"/>
        <family val="2"/>
        <scheme val="minor"/>
      </rPr>
      <t>) oder vom (</t>
    </r>
    <r>
      <rPr>
        <b/>
        <sz val="11"/>
        <rFont val="Calibri"/>
        <family val="2"/>
        <scheme val="minor"/>
      </rPr>
      <t>KZ = 0</t>
    </r>
    <r>
      <rPr>
        <sz val="11"/>
        <rFont val="Calibri"/>
        <family val="2"/>
        <scheme val="minor"/>
      </rPr>
      <t xml:space="preserve">) prod. Personal?        </t>
    </r>
    <r>
      <rPr>
        <sz val="11"/>
        <rFont val="Calibri"/>
        <family val="2"/>
      </rPr>
      <t>↓</t>
    </r>
  </si>
  <si>
    <r>
      <rPr>
        <b/>
        <sz val="11"/>
        <rFont val="Calibri"/>
        <family val="2"/>
        <scheme val="minor"/>
      </rPr>
      <t xml:space="preserve">R0.b) </t>
    </r>
    <r>
      <rPr>
        <sz val="11"/>
        <rFont val="Calibri"/>
        <family val="2"/>
        <scheme val="minor"/>
      </rPr>
      <t>Kalkuliert wird ein Preis für die ges. Partie  (</t>
    </r>
    <r>
      <rPr>
        <b/>
        <sz val="11"/>
        <color theme="1" tint="0.34998626667073579"/>
        <rFont val="Calibri"/>
        <family val="2"/>
        <scheme val="minor"/>
      </rPr>
      <t xml:space="preserve">KZ = </t>
    </r>
    <r>
      <rPr>
        <b/>
        <sz val="11"/>
        <color theme="1" tint="0.34998626667073579"/>
        <rFont val="Calibri"/>
        <family val="2"/>
      </rPr>
      <t>∑</t>
    </r>
    <r>
      <rPr>
        <sz val="11"/>
        <rFont val="Calibri"/>
        <family val="2"/>
      </rPr>
      <t>) oder pro Kopf (</t>
    </r>
    <r>
      <rPr>
        <b/>
        <sz val="11"/>
        <color theme="1" tint="0.34998626667073579"/>
        <rFont val="Calibri"/>
        <family val="2"/>
      </rPr>
      <t>KZ = Ø</t>
    </r>
    <r>
      <rPr>
        <sz val="11"/>
        <rFont val="Calibri"/>
        <family val="2"/>
      </rPr>
      <t>):</t>
    </r>
    <r>
      <rPr>
        <sz val="11"/>
        <rFont val="Calibri"/>
        <family val="2"/>
        <scheme val="minor"/>
      </rPr>
      <t xml:space="preserve">              KZ: </t>
    </r>
    <r>
      <rPr>
        <sz val="11"/>
        <rFont val="Calibri"/>
        <family val="2"/>
      </rPr>
      <t>↓</t>
    </r>
  </si>
  <si>
    <r>
      <t xml:space="preserve">Wählen:  </t>
    </r>
    <r>
      <rPr>
        <sz val="11"/>
        <rFont val="Calibri"/>
        <family val="2"/>
      </rPr>
      <t>↓</t>
    </r>
  </si>
  <si>
    <t>berechnen:</t>
  </si>
  <si>
    <r>
      <rPr>
        <b/>
        <sz val="11"/>
        <rFont val="Calibri"/>
        <family val="2"/>
        <scheme val="minor"/>
      </rPr>
      <t xml:space="preserve">R4.a) </t>
    </r>
    <r>
      <rPr>
        <sz val="11"/>
        <rFont val="Calibri"/>
        <family val="2"/>
        <scheme val="minor"/>
      </rPr>
      <t xml:space="preserve">K3 Zeile 7: </t>
    </r>
    <r>
      <rPr>
        <b/>
        <sz val="11"/>
        <rFont val="Calibri"/>
        <family val="2"/>
        <scheme val="minor"/>
      </rPr>
      <t>Zulagen</t>
    </r>
    <r>
      <rPr>
        <b/>
        <sz val="9"/>
        <rFont val="Calibri"/>
        <family val="2"/>
        <scheme val="minor"/>
      </rPr>
      <t xml:space="preserve">    </t>
    </r>
    <r>
      <rPr>
        <sz val="9"/>
        <rFont val="Calibri"/>
        <family val="2"/>
        <scheme val="minor"/>
      </rPr>
      <t>(analog Pkt D)</t>
    </r>
  </si>
  <si>
    <t>KV-Regie =</t>
  </si>
  <si>
    <t>Verrechenbare Zeit</t>
  </si>
  <si>
    <t>Nicht verrechenb. Zeit</t>
  </si>
  <si>
    <t>Du oder Summe</t>
  </si>
  <si>
    <t>Aufzahlungen:</t>
  </si>
  <si>
    <t>DD-Auswahl</t>
  </si>
  <si>
    <t>R7.b) Optionaler eigener Eintrag für eine Bezeichnung in R7.a:</t>
  </si>
  <si>
    <r>
      <rPr>
        <b/>
        <sz val="11"/>
        <rFont val="Calibri"/>
        <family val="2"/>
        <scheme val="minor"/>
      </rPr>
      <t>R0.a)</t>
    </r>
    <r>
      <rPr>
        <sz val="11"/>
        <rFont val="Calibri"/>
        <family val="2"/>
        <scheme val="minor"/>
      </rPr>
      <t xml:space="preserve"> Kurzbezeichnung (für K3 Z 22):</t>
    </r>
  </si>
  <si>
    <r>
      <rPr>
        <b/>
        <sz val="11"/>
        <rFont val="Calibri"/>
        <family val="2"/>
        <scheme val="minor"/>
      </rPr>
      <t>R7.a) Bezeichnung</t>
    </r>
    <r>
      <rPr>
        <sz val="11"/>
        <rFont val="Calibri"/>
        <family val="2"/>
        <scheme val="minor"/>
      </rPr>
      <t xml:space="preserve"> für K3-Blatt Z 22 festlegen: </t>
    </r>
    <r>
      <rPr>
        <sz val="11"/>
        <rFont val="Calibri"/>
        <family val="2"/>
      </rPr>
      <t>↓</t>
    </r>
  </si>
  <si>
    <r>
      <rPr>
        <b/>
        <sz val="11"/>
        <rFont val="Calibri"/>
        <family val="2"/>
        <scheme val="minor"/>
      </rPr>
      <t>R7.a) Bezeichnung</t>
    </r>
    <r>
      <rPr>
        <sz val="11"/>
        <rFont val="Calibri"/>
        <family val="2"/>
        <scheme val="minor"/>
      </rPr>
      <t xml:space="preserve"> für K3-Blatt Z 22 festlegen: ↓</t>
    </r>
  </si>
  <si>
    <t>Anzahl darf nicht unter 1,00 liegen!!</t>
  </si>
  <si>
    <t>Individuell</t>
  </si>
  <si>
    <t>Auswahl 1</t>
  </si>
  <si>
    <t>Auswahl 2</t>
  </si>
  <si>
    <t>Auswahl 3</t>
  </si>
  <si>
    <t>Auswahl 4</t>
  </si>
  <si>
    <t>Auswahl 5</t>
  </si>
  <si>
    <t>Auswahl 6</t>
  </si>
  <si>
    <t>Alternativ</t>
  </si>
  <si>
    <t xml:space="preserve">Ergebnis Personal </t>
  </si>
  <si>
    <t>Bezeichnung zusätzlich:</t>
  </si>
  <si>
    <r>
      <rPr>
        <b/>
        <sz val="11"/>
        <rFont val="Calibri"/>
        <family val="2"/>
        <scheme val="minor"/>
      </rPr>
      <t xml:space="preserve">R7.a) Bezeichnung </t>
    </r>
    <r>
      <rPr>
        <sz val="11"/>
        <rFont val="Calibri"/>
        <family val="2"/>
        <scheme val="minor"/>
      </rPr>
      <t>für K3-Blatt Z 22 festlegen: ↓</t>
    </r>
  </si>
  <si>
    <t>Individuelle Bezeichnung für Wahl in R7.a:</t>
  </si>
  <si>
    <t>nur € pro Std</t>
  </si>
  <si>
    <t>+ € pro Monat</t>
  </si>
  <si>
    <t>Rechenwert</t>
  </si>
  <si>
    <t>€/Min</t>
  </si>
  <si>
    <t>€/Mo</t>
  </si>
  <si>
    <t>+ €/Min (,00)</t>
  </si>
  <si>
    <t>+ €/Min (,000)</t>
  </si>
  <si>
    <t>Hinweis: Wenn die Bezeichnungen der Stammdatenfelder (1. Spalte) geändert werden, müssen im Blatt KALKULATION des Kalk-Tools über Dropdown bereits getätigten Auswahlen mit der neuen geänderten Bezeichnung neu ausgewählt werden, weil Änderungen in der Bezeichnung nicht automatisch übernommen werden können. In der Quelldatei geänderte Werte (zB KV-Löhne) werden bei unveränderter Bezeichnung (=Dropdown-Feld) automatisch übernommen.</t>
  </si>
  <si>
    <t>STD</t>
  </si>
  <si>
    <t>von Stammdat</t>
  </si>
  <si>
    <r>
      <t>D4) Berechnung</t>
    </r>
    <r>
      <rPr>
        <sz val="11"/>
        <rFont val="Calibri"/>
        <family val="2"/>
        <scheme val="minor"/>
      </rPr>
      <t xml:space="preserve"> (informativ)</t>
    </r>
    <r>
      <rPr>
        <b/>
        <sz val="11"/>
        <rFont val="Calibri"/>
        <family val="2"/>
        <scheme val="minor"/>
      </rPr>
      <t xml:space="preserve"> und Ergebnis</t>
    </r>
  </si>
  <si>
    <r>
      <t xml:space="preserve">C3.a) Individuelle Anpassung </t>
    </r>
    <r>
      <rPr>
        <sz val="11"/>
        <rFont val="Calibri"/>
        <family val="2"/>
        <scheme val="minor"/>
      </rPr>
      <t>(optional)</t>
    </r>
    <r>
      <rPr>
        <b/>
        <sz val="11"/>
        <rFont val="Calibri"/>
        <family val="2"/>
        <scheme val="minor"/>
      </rPr>
      <t xml:space="preserve">                                                                  </t>
    </r>
    <r>
      <rPr>
        <sz val="11"/>
        <rFont val="Calibri"/>
        <family val="2"/>
        <scheme val="minor"/>
      </rPr>
      <t xml:space="preserve"> (+/- %-Punkte):</t>
    </r>
  </si>
  <si>
    <r>
      <t xml:space="preserve">B3) Berechnung </t>
    </r>
    <r>
      <rPr>
        <sz val="11"/>
        <rFont val="Calibri"/>
        <family val="2"/>
        <scheme val="minor"/>
      </rPr>
      <t xml:space="preserve">(informativ) </t>
    </r>
    <r>
      <rPr>
        <b/>
        <sz val="11"/>
        <rFont val="Calibri"/>
        <family val="2"/>
        <scheme val="minor"/>
      </rPr>
      <t>und Ergebnis</t>
    </r>
  </si>
  <si>
    <r>
      <t xml:space="preserve">C3) Berechnung </t>
    </r>
    <r>
      <rPr>
        <sz val="11"/>
        <rFont val="Calibri"/>
        <family val="2"/>
        <scheme val="minor"/>
      </rPr>
      <t xml:space="preserve">(informativ) </t>
    </r>
    <r>
      <rPr>
        <b/>
        <sz val="11"/>
        <rFont val="Calibri"/>
        <family val="2"/>
        <scheme val="minor"/>
      </rPr>
      <t>und Ergebnis</t>
    </r>
  </si>
  <si>
    <t>B1</t>
  </si>
  <si>
    <t>Prod. Pers.</t>
  </si>
  <si>
    <t>Sonst. up. Zeit</t>
  </si>
  <si>
    <t>bei KZ=1</t>
  </si>
  <si>
    <t>bei KZ=0</t>
  </si>
  <si>
    <t>A1) KV-Entgelt &amp; Überzahlung</t>
  </si>
  <si>
    <t>Hinweis: Die Zuordnung einer allfälligen Abgabefreiheit erfolgt bei der Kalkulation im Blatt KALKULATION.</t>
  </si>
  <si>
    <r>
      <rPr>
        <b/>
        <sz val="11"/>
        <rFont val="Calibri"/>
        <family val="2"/>
        <scheme val="minor"/>
      </rPr>
      <t>A4.</t>
    </r>
    <r>
      <rPr>
        <sz val="11"/>
        <rFont val="Calibri"/>
        <family val="2"/>
        <scheme val="minor"/>
      </rPr>
      <t>b) Gz AG:</t>
    </r>
  </si>
  <si>
    <r>
      <t xml:space="preserve">B2) Unproduktive Zeiten </t>
    </r>
    <r>
      <rPr>
        <sz val="11"/>
        <rFont val="Calibri"/>
        <family val="2"/>
        <scheme val="minor"/>
      </rPr>
      <t>(unproduktives Personal (B2.a) und sonstige unproduktive Zeiten (B2.b))</t>
    </r>
  </si>
  <si>
    <t>upZ: (in % der bezahlten Zeit)</t>
  </si>
  <si>
    <t>Aufschlag auf erlösbringende Zeit</t>
  </si>
  <si>
    <t>unproduktive 'Köpfe'</t>
  </si>
  <si>
    <t xml:space="preserve">  Zwischenergebnis</t>
  </si>
  <si>
    <t>D1.a) Zwischenergebnis Zulagen für produktives Personal</t>
  </si>
  <si>
    <t>D4.a) Zwischenergebnis Aufzahlung für Zulagen</t>
  </si>
  <si>
    <t>Unbekannter Fehler; die Kalkulation ist wahrscheinlich noch nicht ordnungsgemäß abgeschlossen.</t>
  </si>
  <si>
    <t>f2: Faktor abgabepfl. E.</t>
  </si>
  <si>
    <t>1) Hinweis: Basis ist die Wochenarbeitszeit x Personalkosten vor Zurechnung.</t>
  </si>
  <si>
    <t>2) Hinweis: Basis ist die Wochenarbeitszeit x Personalkosten vor Zurechnung und Anzahl produktives Personal.</t>
  </si>
  <si>
    <t>(Gesamtzuschlag (GZ) im Blatt K2 GZ ermitteln)</t>
  </si>
  <si>
    <t>Übertrag in K3 Regie</t>
  </si>
  <si>
    <t>Die unter Pkt A erfolgten Eintragungen erscheinen im Kopfbereich der K3-Blätter. Bezeichnung des Unternehmers (UN) erfolgt gem der Lizenzdaten.</t>
  </si>
  <si>
    <t>Kontrolldarstellung (bei Problemen bitte mit dem Lizenzblatt vergleichen)</t>
  </si>
  <si>
    <r>
      <rPr>
        <b/>
        <sz val="12"/>
        <rFont val="Calibri"/>
        <family val="2"/>
        <scheme val="minor"/>
      </rPr>
      <t xml:space="preserve">Zeile 1: </t>
    </r>
    <r>
      <rPr>
        <sz val="12"/>
        <rFont val="Calibri"/>
        <family val="2"/>
        <scheme val="minor"/>
      </rPr>
      <t>Bezeichnung (Firma):</t>
    </r>
  </si>
  <si>
    <r>
      <rPr>
        <b/>
        <sz val="12"/>
        <rFont val="Calibri"/>
        <family val="2"/>
        <scheme val="minor"/>
      </rPr>
      <t xml:space="preserve">Zeile 2: </t>
    </r>
    <r>
      <rPr>
        <sz val="12"/>
        <rFont val="Calibri"/>
        <family val="2"/>
        <scheme val="minor"/>
      </rPr>
      <t>Bezeichnung (Firma):</t>
    </r>
  </si>
  <si>
    <r>
      <t xml:space="preserve">R4.b) </t>
    </r>
    <r>
      <rPr>
        <sz val="11"/>
        <rFont val="Calibri"/>
        <family val="2"/>
        <scheme val="minor"/>
      </rPr>
      <t>K3 Zeile 8:</t>
    </r>
    <r>
      <rPr>
        <b/>
        <sz val="11"/>
        <rFont val="Calibri"/>
        <family val="2"/>
        <scheme val="minor"/>
      </rPr>
      <t xml:space="preserve"> Arbeitszeitzuschläge</t>
    </r>
  </si>
  <si>
    <r>
      <rPr>
        <b/>
        <sz val="11"/>
        <rFont val="Calibri"/>
        <family val="2"/>
        <scheme val="minor"/>
      </rPr>
      <t xml:space="preserve">R4.a) Ergebnis: </t>
    </r>
    <r>
      <rPr>
        <sz val="11"/>
        <rFont val="Calibri"/>
        <family val="2"/>
        <scheme val="minor"/>
      </rPr>
      <t>K3 Zeile 7 Zulagen</t>
    </r>
  </si>
  <si>
    <t>Wählen:  ↓</t>
  </si>
  <si>
    <t>Wählen: ↓</t>
  </si>
  <si>
    <r>
      <t xml:space="preserve">Wählen: </t>
    </r>
    <r>
      <rPr>
        <sz val="11"/>
        <rFont val="Calibri"/>
        <family val="2"/>
      </rPr>
      <t>↓</t>
    </r>
  </si>
  <si>
    <t>Optional überschrei-ben mit:</t>
  </si>
  <si>
    <r>
      <rPr>
        <b/>
        <sz val="11"/>
        <rFont val="Calibri"/>
        <family val="2"/>
        <scheme val="minor"/>
      </rPr>
      <t xml:space="preserve">R4.h) </t>
    </r>
    <r>
      <rPr>
        <sz val="11"/>
        <rFont val="Calibri"/>
        <family val="2"/>
        <scheme val="minor"/>
      </rPr>
      <t xml:space="preserve">K3 Z 16: PGK (% </t>
    </r>
    <r>
      <rPr>
        <sz val="11"/>
        <rFont val="Calibri"/>
        <family val="2"/>
      </rPr>
      <t>|</t>
    </r>
    <r>
      <rPr>
        <sz val="11"/>
        <rFont val="Calibri"/>
        <family val="2"/>
        <scheme val="minor"/>
      </rPr>
      <t xml:space="preserve"> €)</t>
    </r>
  </si>
  <si>
    <t xml:space="preserve">Standard-werte sind
</t>
  </si>
  <si>
    <t>DD Zulagen</t>
  </si>
  <si>
    <t>DD Arbeitszeitzuschläge</t>
  </si>
  <si>
    <t>Lizenz OK!</t>
  </si>
  <si>
    <t>Keine gültige oder abgelaufene Lizenz. Aktivierung mittels Bestellschein siehe www.bauwesen.at/K3.</t>
  </si>
  <si>
    <t>Auswahl der Beschäftigungsgruppe: ↓</t>
  </si>
  <si>
    <t>KV &amp; Datum</t>
  </si>
  <si>
    <t>(Info: Basis siehe B3.a)</t>
  </si>
  <si>
    <t>E1) Entschädigungen in €/Std</t>
  </si>
  <si>
    <t>Std/Wo</t>
  </si>
  <si>
    <t>… % des prod. Pers.:</t>
  </si>
  <si>
    <t>abgabefrei (€/Wo)</t>
  </si>
  <si>
    <t>abg.-pflichtig (€/Wo)</t>
  </si>
  <si>
    <t>E1) Zwischenergebnis (€ pro Woche)</t>
  </si>
  <si>
    <t>E2) Zwischenergebnis (€ pro Woche)</t>
  </si>
  <si>
    <r>
      <t xml:space="preserve">E2) Entschädigungen in Euro </t>
    </r>
    <r>
      <rPr>
        <b/>
        <u/>
        <sz val="11"/>
        <rFont val="Calibri"/>
        <family val="2"/>
        <scheme val="minor"/>
      </rPr>
      <t>pro Tag</t>
    </r>
  </si>
  <si>
    <t>… Tage pro Woche</t>
  </si>
  <si>
    <r>
      <t xml:space="preserve">E3) Entschädigungen in Euro </t>
    </r>
    <r>
      <rPr>
        <b/>
        <u/>
        <sz val="11"/>
        <rFont val="Calibri"/>
        <family val="2"/>
        <scheme val="minor"/>
      </rPr>
      <t>pro Woche</t>
    </r>
  </si>
  <si>
    <t>E4) Zusätzliche Verrechnungsstunden</t>
  </si>
  <si>
    <t>abgabepflichtig</t>
  </si>
  <si>
    <t>E5) Sonstiges</t>
  </si>
  <si>
    <t>Bezeichnung:</t>
  </si>
  <si>
    <r>
      <t xml:space="preserve">als Betrag in </t>
    </r>
    <r>
      <rPr>
        <b/>
        <sz val="11"/>
        <rFont val="Calibri"/>
        <family val="2"/>
        <scheme val="minor"/>
      </rPr>
      <t>€/Woche:</t>
    </r>
  </si>
  <si>
    <t>kein Entgelt</t>
  </si>
  <si>
    <t>Ergebnis (€ pro Woche)</t>
  </si>
  <si>
    <t xml:space="preserve">Zwischenergebnis 1 </t>
  </si>
  <si>
    <t xml:space="preserve">Zwischenergebnis 2 </t>
  </si>
  <si>
    <r>
      <rPr>
        <b/>
        <sz val="11"/>
        <rFont val="Calibri"/>
        <family val="2"/>
        <scheme val="minor"/>
      </rPr>
      <t xml:space="preserve">E6.b) Zuschlag für Arbeitsausfall bei Schlechtwetter      </t>
    </r>
    <r>
      <rPr>
        <sz val="11"/>
        <rFont val="Calibri"/>
        <family val="2"/>
        <scheme val="minor"/>
      </rPr>
      <t xml:space="preserve">          ( %):</t>
    </r>
  </si>
  <si>
    <t>Entgelt/Std</t>
  </si>
  <si>
    <r>
      <t>B1) Zwischenergebnis (</t>
    </r>
    <r>
      <rPr>
        <sz val="11"/>
        <rFont val="Calibri"/>
        <family val="2"/>
      </rPr>
      <t>Ø Entgelt/prod. Person)</t>
    </r>
  </si>
  <si>
    <t>Grafik</t>
  </si>
  <si>
    <r>
      <t xml:space="preserve">Wählen: </t>
    </r>
    <r>
      <rPr>
        <sz val="11"/>
        <rFont val="Calibri"/>
        <family val="2"/>
      </rPr>
      <t>↓</t>
    </r>
    <r>
      <rPr>
        <sz val="11"/>
        <rFont val="Calibri"/>
        <family val="2"/>
        <scheme val="minor"/>
      </rPr>
      <t xml:space="preserve"> </t>
    </r>
  </si>
  <si>
    <t>Prüfen uP in  prod  prod Pers enthalten?</t>
  </si>
  <si>
    <r>
      <t xml:space="preserve">C2) Sollen Verrechnungsstunden (zB für Schicht-, Nachtarbeit) erfasst werden?                    </t>
    </r>
    <r>
      <rPr>
        <sz val="11"/>
        <rFont val="Calibri"/>
        <family val="2"/>
        <scheme val="minor"/>
      </rPr>
      <t xml:space="preserve"> ↓</t>
    </r>
  </si>
  <si>
    <r>
      <rPr>
        <b/>
        <sz val="11"/>
        <rFont val="Calibri"/>
        <family val="2"/>
        <scheme val="minor"/>
      </rPr>
      <t xml:space="preserve">F1.b) Optionale Anpassung                                                                                   </t>
    </r>
    <r>
      <rPr>
        <sz val="11"/>
        <rFont val="Calibri"/>
        <family val="2"/>
        <scheme val="minor"/>
      </rPr>
      <t>(+/- %-Punkte)</t>
    </r>
  </si>
  <si>
    <t>E4</t>
  </si>
  <si>
    <t>E5</t>
  </si>
  <si>
    <t>DD_KV_AKV</t>
  </si>
  <si>
    <r>
      <t xml:space="preserve">B3.b) Optionale Anpassung                  </t>
    </r>
    <r>
      <rPr>
        <sz val="11"/>
        <color theme="1"/>
        <rFont val="Calibri"/>
        <family val="2"/>
        <scheme val="minor"/>
      </rPr>
      <t xml:space="preserve">                                         (+/- %-Punkte):</t>
    </r>
  </si>
  <si>
    <t>KV+AKV</t>
  </si>
  <si>
    <r>
      <rPr>
        <b/>
        <sz val="11"/>
        <rFont val="Calibri"/>
        <family val="2"/>
        <scheme val="minor"/>
      </rPr>
      <t xml:space="preserve">D4.b) Optionale Anpassung                                                                                </t>
    </r>
    <r>
      <rPr>
        <sz val="11"/>
        <rFont val="Calibri"/>
        <family val="2"/>
        <scheme val="minor"/>
      </rPr>
      <t>(+/- %-Punkte):</t>
    </r>
  </si>
  <si>
    <t>abgabepl. PK</t>
  </si>
  <si>
    <t>zeile 9</t>
  </si>
  <si>
    <t>Normales Engelt</t>
  </si>
  <si>
    <t>Entgelt o UPNK</t>
  </si>
  <si>
    <t>Ohne Z 9</t>
  </si>
  <si>
    <t>plus normales E</t>
  </si>
  <si>
    <t>plus E. ohne UPNK</t>
  </si>
  <si>
    <t xml:space="preserve">H1.a) Umlage für: </t>
  </si>
  <si>
    <t xml:space="preserve">H1.b) Umlage für: </t>
  </si>
  <si>
    <t>Allgemien</t>
  </si>
  <si>
    <t>← wählen</t>
  </si>
  <si>
    <t>unzulässige Rundung (→ Pkt. J3)</t>
  </si>
  <si>
    <t>REGIE</t>
  </si>
  <si>
    <t>Lizenz und lies mich</t>
  </si>
  <si>
    <t>K2-Blatt (GZ)</t>
  </si>
  <si>
    <t>K3-Blatt</t>
  </si>
  <si>
    <t>A) Allgemeine Projektdaten (K3-Blatt - Kopfbereich)</t>
  </si>
  <si>
    <r>
      <rPr>
        <sz val="10"/>
        <rFont val="Calibri"/>
        <family val="2"/>
        <scheme val="minor"/>
      </rPr>
      <t xml:space="preserve">Aktivieren? </t>
    </r>
    <r>
      <rPr>
        <sz val="10"/>
        <rFont val="Calibri"/>
        <family val="2"/>
      </rPr>
      <t>↓</t>
    </r>
  </si>
  <si>
    <t>in €/Std oder in %</t>
  </si>
  <si>
    <t>→</t>
  </si>
  <si>
    <t>H) Hinzurechnung von Umlagen</t>
  </si>
  <si>
    <t>I) Hinzurechnung des Gesamtzuschlags (GZ)</t>
  </si>
  <si>
    <t>Kalkulation unvollendet!</t>
  </si>
  <si>
    <r>
      <t>J1) Anzeige im K3-Blatt:</t>
    </r>
    <r>
      <rPr>
        <sz val="11"/>
        <rFont val="Calibri"/>
        <family val="2"/>
      </rPr>
      <t>↓</t>
    </r>
  </si>
  <si>
    <t>wählen: ↓</t>
  </si>
  <si>
    <r>
      <t>J2) K3-Blätter mit erweiterter Anzeige gegenüber ÖNORM?</t>
    </r>
    <r>
      <rPr>
        <sz val="11"/>
        <rFont val="Calibri"/>
        <family val="2"/>
        <scheme val="minor"/>
      </rPr>
      <t xml:space="preserve">     </t>
    </r>
    <r>
      <rPr>
        <sz val="11"/>
        <rFont val="Calibri"/>
        <family val="2"/>
      </rPr>
      <t>↓</t>
    </r>
  </si>
  <si>
    <r>
      <rPr>
        <b/>
        <sz val="11"/>
        <rFont val="Calibri"/>
        <family val="2"/>
        <scheme val="minor"/>
      </rPr>
      <t xml:space="preserve">R2.a) </t>
    </r>
    <r>
      <rPr>
        <sz val="11"/>
        <rFont val="Calibri"/>
        <family val="2"/>
        <scheme val="minor"/>
      </rPr>
      <t>Unprod. Personal/Zeiten zusätzlich zum (</t>
    </r>
    <r>
      <rPr>
        <b/>
        <sz val="11"/>
        <rFont val="Calibri"/>
        <family val="2"/>
        <scheme val="minor"/>
      </rPr>
      <t>KZ = 1</t>
    </r>
    <r>
      <rPr>
        <sz val="11"/>
        <rFont val="Calibri"/>
        <family val="2"/>
        <scheme val="minor"/>
      </rPr>
      <t>) oder vom (</t>
    </r>
    <r>
      <rPr>
        <b/>
        <sz val="11"/>
        <rFont val="Calibri"/>
        <family val="2"/>
        <scheme val="minor"/>
      </rPr>
      <t>KZ = 0</t>
    </r>
    <r>
      <rPr>
        <sz val="11"/>
        <rFont val="Calibri"/>
        <family val="2"/>
        <scheme val="minor"/>
      </rPr>
      <t xml:space="preserve">) Regiepersonal?      </t>
    </r>
    <r>
      <rPr>
        <sz val="11"/>
        <rFont val="Calibri"/>
        <family val="2"/>
      </rPr>
      <t>↓</t>
    </r>
  </si>
  <si>
    <r>
      <rPr>
        <b/>
        <sz val="11"/>
        <rFont val="Calibri"/>
        <family val="2"/>
        <scheme val="minor"/>
      </rPr>
      <t>R2.a)</t>
    </r>
    <r>
      <rPr>
        <sz val="11"/>
        <rFont val="Calibri"/>
        <family val="2"/>
        <scheme val="minor"/>
      </rPr>
      <t xml:space="preserve"> Unprod. Personal/Zeiten zusätzlich zum (</t>
    </r>
    <r>
      <rPr>
        <b/>
        <sz val="11"/>
        <rFont val="Calibri"/>
        <family val="2"/>
        <scheme val="minor"/>
      </rPr>
      <t>KZ=1</t>
    </r>
    <r>
      <rPr>
        <sz val="11"/>
        <rFont val="Calibri"/>
        <family val="2"/>
        <scheme val="minor"/>
      </rPr>
      <t>) oder vom (</t>
    </r>
    <r>
      <rPr>
        <b/>
        <sz val="11"/>
        <rFont val="Calibri"/>
        <family val="2"/>
        <scheme val="minor"/>
      </rPr>
      <t>KZ=0</t>
    </r>
    <r>
      <rPr>
        <sz val="11"/>
        <rFont val="Calibri"/>
        <family val="2"/>
        <scheme val="minor"/>
      </rPr>
      <t>) Regiepersonal?    KZ:</t>
    </r>
    <r>
      <rPr>
        <sz val="11"/>
        <rFont val="Calibri"/>
        <family val="2"/>
      </rPr>
      <t>↓</t>
    </r>
  </si>
  <si>
    <t>Gültigkeit Eingabe uP</t>
  </si>
  <si>
    <t>D3) Zulagen im Zeitraum sonst. unprod. Zeit (B2.b)</t>
  </si>
  <si>
    <t xml:space="preserve">Hinweis zur Auswahl bei F2.b2: Die getroffene Auswahl ist sinnvoll, wenn die UPNK gem einer Musterberechnung auf Basis des KV-Lohns ermittelt wurden (zB nach dem Berechnungsschema, das im Buch Kropik, Baukalkulation, Kostenrechnung und ÖNORM B 2061 erläutert und in www.bauwesen.at/tools mit Musterberechnungen hinterlegt ist. </t>
  </si>
  <si>
    <t>Diese Auswahl ist zutreffend, wenn 
(1) die UPNK aus Daten der eigenen Kostenrechnung ermittelt sind oder 
(2) die UPNK nach einer Musterberechnung ermittelt sind und das gesamte Entgelt (K3 Zeilen 5 bis 8) Basis für die Fortzahlung bei Ausfallzeiten (Urlaub etc) ist sowie für die Sondererzahlungen heranzuziehen ist.</t>
  </si>
  <si>
    <t>F2.b2) Weitere Anpassung der UPNK wegen Mehrentgelt</t>
  </si>
  <si>
    <r>
      <t xml:space="preserve">Für die weitere Anpassung ist relevant: </t>
    </r>
    <r>
      <rPr>
        <sz val="11"/>
        <rFont val="Calibri"/>
        <family val="2"/>
      </rPr>
      <t>↓</t>
    </r>
  </si>
  <si>
    <t>Relevanter Betrag</t>
  </si>
  <si>
    <r>
      <rPr>
        <b/>
        <sz val="11"/>
        <rFont val="Calibri"/>
        <family val="2"/>
        <scheme val="minor"/>
      </rPr>
      <t xml:space="preserve">F2.c) Berechnung </t>
    </r>
    <r>
      <rPr>
        <i/>
        <sz val="11"/>
        <rFont val="Calibri"/>
        <family val="2"/>
        <scheme val="minor"/>
      </rPr>
      <t>(informativ)</t>
    </r>
  </si>
  <si>
    <t>F2.d1) Optionale Anpassung                                                                                   (+/- %-Punkte):</t>
  </si>
  <si>
    <t>F2.d) Ergebnis u optionale Anpassung</t>
  </si>
  <si>
    <r>
      <t xml:space="preserve"> F2.d2) Optionale Aufrundung der UPNK?        (Nein/ auf ganze 1%/2,5%/5%): </t>
    </r>
    <r>
      <rPr>
        <sz val="11"/>
        <rFont val="Calibri"/>
        <family val="2"/>
      </rPr>
      <t>↓</t>
    </r>
    <r>
      <rPr>
        <sz val="11"/>
        <rFont val="Calibri"/>
        <family val="2"/>
        <scheme val="minor"/>
      </rPr>
      <t xml:space="preserve"> </t>
    </r>
  </si>
  <si>
    <t>Eingabe unvollständig (ergänzen oder löschen)!</t>
  </si>
  <si>
    <t>% aus K2</t>
  </si>
  <si>
    <t>Ergebnis (€)</t>
  </si>
  <si>
    <t>Standardmäßig sind die Werte aus der Mittelpersonal-preiskalkulation (Blatt K3_PP) übernommen; sie sind überschreibbar.</t>
  </si>
  <si>
    <t>Auswahl 7 individuell</t>
  </si>
  <si>
    <t>Üstd nach K3:</t>
  </si>
  <si>
    <t>H1) Anlegen von Umlagen mit Hilfsrechner</t>
  </si>
  <si>
    <t>H2) Anlegen weiterer Umlagen</t>
  </si>
  <si>
    <t xml:space="preserve">Ø C2.a + C2.b </t>
  </si>
  <si>
    <t>VerrStd1 nach K3:</t>
  </si>
  <si>
    <t>VerrStd2 nach K3:</t>
  </si>
  <si>
    <t>Hinweis: IdR enthalten Regiepreise keinen Ansatz für Zulagen (R4.a) und Mehrarbeitszuschläge (R4.b). Vertrag beachten!</t>
  </si>
  <si>
    <t>Ergebnis für K3-Blatt</t>
  </si>
  <si>
    <t>(Text hier!!)</t>
  </si>
  <si>
    <t>Ale Verr.std:</t>
  </si>
  <si>
    <t>Zuschlag Kalk:</t>
  </si>
  <si>
    <t>Zuschlag KV:</t>
  </si>
  <si>
    <t>Gesamt:</t>
  </si>
  <si>
    <t>Verr in €</t>
  </si>
  <si>
    <t>Ü-Std</t>
  </si>
  <si>
    <t>Su Verr.Std</t>
  </si>
  <si>
    <t>Ø Für Regie als %/Std</t>
  </si>
  <si>
    <t>Text in K3</t>
  </si>
  <si>
    <t>Text in Kalk</t>
  </si>
  <si>
    <t>4. Regie berechnen</t>
  </si>
  <si>
    <t>Hinweis:</t>
  </si>
  <si>
    <t>Verr in %</t>
  </si>
  <si>
    <t>Regiestd. (Std-% analog K3)</t>
  </si>
  <si>
    <t>1. Standard (ÖN B 2110) ohne Zuschlag</t>
  </si>
  <si>
    <t>3. Regie mit Std-Zuschlag wie K3</t>
  </si>
  <si>
    <t>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t>
  </si>
  <si>
    <t>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t>
  </si>
  <si>
    <t>Hinweis zu R4.b - 4.) Wenn ein Regiepreis unter kalkulatorischer Beachtung zeitlicher Rahmenbedingungen zu nennen ist, ist diese Auswahl zutreffend. Mehrarbeitszuschläge und Verr.std.zuschläge lassen sich individuell getrennt erfassen.</t>
  </si>
  <si>
    <t>Auswahl 7</t>
  </si>
  <si>
    <t>% nur up P bei KZ = 1:</t>
  </si>
  <si>
    <t>pflichtg</t>
  </si>
  <si>
    <t>Gesamt pro Woche (∑ E1 bis E5)</t>
  </si>
  <si>
    <r>
      <t xml:space="preserve">Umlagebetrag  Ø </t>
    </r>
    <r>
      <rPr>
        <b/>
        <sz val="11"/>
        <rFont val="Calibri"/>
        <family val="2"/>
        <scheme val="minor"/>
      </rPr>
      <t>€/Monat</t>
    </r>
    <r>
      <rPr>
        <sz val="11"/>
        <rFont val="Calibri"/>
        <family val="2"/>
        <scheme val="minor"/>
      </rPr>
      <t xml:space="preserve"> (</t>
    </r>
    <r>
      <rPr>
        <sz val="11"/>
        <rFont val="Calibri"/>
        <family val="2"/>
      </rPr>
      <t>≠GZ</t>
    </r>
    <r>
      <rPr>
        <sz val="11"/>
        <rFont val="Calibri"/>
        <family val="2"/>
        <scheme val="minor"/>
      </rPr>
      <t>):</t>
    </r>
  </si>
  <si>
    <r>
      <t xml:space="preserve">Kalk. </t>
    </r>
    <r>
      <rPr>
        <sz val="11"/>
        <rFont val="Calibri"/>
        <family val="2"/>
      </rPr>
      <t>Ø Planstunden/Monat</t>
    </r>
  </si>
  <si>
    <t>Bezeichnung der Gemeinkostenart und Wert in % oder €:</t>
  </si>
  <si>
    <r>
      <t xml:space="preserve">R2) Optional unproduktive Zeit annehmen: </t>
    </r>
    <r>
      <rPr>
        <sz val="11"/>
        <rFont val="Calibri"/>
        <family val="2"/>
      </rPr>
      <t>↓</t>
    </r>
  </si>
  <si>
    <r>
      <t xml:space="preserve">R2) Optional unproduktive Zeit annehmen: </t>
    </r>
    <r>
      <rPr>
        <sz val="11"/>
        <rFont val="Calibri"/>
        <family val="2"/>
      </rPr>
      <t xml:space="preserve">↓ </t>
    </r>
  </si>
  <si>
    <r>
      <t xml:space="preserve">Kosten </t>
    </r>
    <r>
      <rPr>
        <sz val="10"/>
        <rFont val="Calibri"/>
        <family val="2"/>
        <scheme val="minor"/>
      </rPr>
      <t>für Umlagen Spalte A (∑ A17i) bzw Personal Spalte B (∑ B15, B16)</t>
    </r>
  </si>
  <si>
    <r>
      <t xml:space="preserve">Preis </t>
    </r>
    <r>
      <rPr>
        <sz val="10"/>
        <rFont val="Calibri"/>
        <family val="2"/>
        <scheme val="minor"/>
      </rPr>
      <t>für Umlagen Spalte A (∑ A18, A20) bzw Personal Spalte B (∑ B18, B20)</t>
    </r>
  </si>
  <si>
    <t>Vers V4.0</t>
  </si>
  <si>
    <t>unproduktiver Ansatz</t>
  </si>
  <si>
    <t>AKV aus K3</t>
  </si>
  <si>
    <t>übernommen</t>
  </si>
  <si>
    <t>1. Standard (ÖN B 2110) ohne Zulagen</t>
  </si>
  <si>
    <t>2. Wert gem Kalkulation Pkt D (K3_PP)</t>
  </si>
  <si>
    <t>3. Eigene Kalkulation für den Regiepreis</t>
  </si>
  <si>
    <t>Schnellüberblick über die Auswahlen bei den Regieblättern</t>
  </si>
  <si>
    <t>zuschläge</t>
  </si>
  <si>
    <t>Arbeitszeit-</t>
  </si>
  <si>
    <t>GZ auf</t>
  </si>
  <si>
    <t>Pers.ko.</t>
  </si>
  <si>
    <t>kalk</t>
  </si>
  <si>
    <t>neu</t>
  </si>
  <si>
    <t>Neu:</t>
  </si>
  <si>
    <t>C2.k) Wahl der Darstellung des Ergebnisses</t>
  </si>
  <si>
    <t>KollV (€)</t>
  </si>
  <si>
    <t>KollV (%)</t>
  </si>
  <si>
    <t>Ergebnis in € | %</t>
  </si>
  <si>
    <t>(Zuordnung von</t>
  </si>
  <si>
    <t>)</t>
  </si>
  <si>
    <t xml:space="preserve">Zwischensumme </t>
  </si>
  <si>
    <t>D1.b) Abgabefreie Zulagen</t>
  </si>
  <si>
    <t>E3) Zwischenergebnis (€ pro Woche)</t>
  </si>
  <si>
    <t>2) K3 Zeile 8: nur Arbeitszeitzuschläge</t>
  </si>
  <si>
    <t>3) Nichts (keine weitere Anpassung)</t>
  </si>
  <si>
    <t>auf #1,0%</t>
  </si>
  <si>
    <t>Mannschaftstransport</t>
  </si>
  <si>
    <t>100%</t>
  </si>
  <si>
    <t>2) %-tuell aufrechnen</t>
  </si>
  <si>
    <r>
      <rPr>
        <b/>
        <sz val="12"/>
        <rFont val="Calibri"/>
        <family val="2"/>
        <scheme val="minor"/>
      </rPr>
      <t>Allgemeine Information</t>
    </r>
    <r>
      <rPr>
        <sz val="12"/>
        <rFont val="Calibri"/>
        <family val="2"/>
        <scheme val="minor"/>
      </rPr>
      <t xml:space="preserve">
</t>
    </r>
    <r>
      <rPr>
        <b/>
        <sz val="12"/>
        <rFont val="Calibri"/>
        <family val="2"/>
        <scheme val="minor"/>
      </rPr>
      <t xml:space="preserve">Diese Datei </t>
    </r>
    <r>
      <rPr>
        <sz val="12"/>
        <rFont val="Calibri"/>
        <family val="2"/>
        <scheme val="minor"/>
      </rPr>
      <t xml:space="preserve">ist die </t>
    </r>
    <r>
      <rPr>
        <b/>
        <sz val="12"/>
        <rFont val="Calibri"/>
        <family val="2"/>
        <scheme val="minor"/>
      </rPr>
      <t xml:space="preserve">Hauptdatei - </t>
    </r>
    <r>
      <rPr>
        <sz val="12"/>
        <rFont val="Calibri"/>
        <family val="2"/>
        <scheme val="minor"/>
      </rPr>
      <t>das</t>
    </r>
    <r>
      <rPr>
        <b/>
        <sz val="12"/>
        <rFont val="Calibri"/>
        <family val="2"/>
        <scheme val="minor"/>
      </rPr>
      <t xml:space="preserve"> eigentliche Kalkulationstool - </t>
    </r>
    <r>
      <rPr>
        <sz val="12"/>
        <rFont val="Calibri"/>
        <family val="2"/>
        <scheme val="minor"/>
      </rPr>
      <t xml:space="preserve">(ausgeliefert mit dem Dateinamen: </t>
    </r>
    <r>
      <rPr>
        <b/>
        <i/>
        <sz val="12"/>
        <rFont val="Calibri"/>
        <family val="2"/>
        <scheme val="minor"/>
      </rPr>
      <t xml:space="preserve">K3_Kalk_nnn; </t>
    </r>
    <r>
      <rPr>
        <i/>
        <sz val="12"/>
        <rFont val="Calibri"/>
        <family val="2"/>
        <scheme val="minor"/>
      </rPr>
      <t>nnn steht für die Bezeichnung der Branche, für die bereits eine Grundkalkulation vorliegt</t>
    </r>
    <r>
      <rPr>
        <sz val="12"/>
        <rFont val="Calibri"/>
        <family val="2"/>
        <scheme val="minor"/>
      </rPr>
      <t>). Sie können die Datei beliebig oft kopieren bzw umbenennen (zB nach Ihren Projekten). Sie können die Kalkulationsdatei auch mit den Stammdaten anderer Branchen, als den beispielhaft vorkalkulierten verwenden.
Um ungewollte Eingriffe zu verhindern sind die Blätter und die Struktur der Arbeitsmappe geschützt und daher nicht veränderbar.</t>
    </r>
    <r>
      <rPr>
        <b/>
        <sz val="12"/>
        <rFont val="Calibri"/>
        <family val="2"/>
        <scheme val="minor"/>
      </rPr>
      <t xml:space="preserve"> 
Grau hinterlegte Felder</t>
    </r>
    <r>
      <rPr>
        <sz val="12"/>
        <rFont val="Calibri"/>
        <family val="2"/>
        <scheme val="minor"/>
      </rPr>
      <t xml:space="preserve"> sind Eingabefelder. Im Wesentlichen handelt es sich um Drop-Down-Felder, um Felder zur Eingabe projektspezifischer Anteile bzw Ansätze  bzw um das Setzen von Kennzeichen. Rot hinterlegte Kennzeichenfelder deuten darauf hin, dass die Wahl des KZ vom KollV abhängt (etwa ob als Basis einer Aufzahlung das KV-Entgelt oder KV + AKV-Entgelt heranzuziehen ist).
Sie können alle Tabellen ausdrucken.
 Im </t>
    </r>
    <r>
      <rPr>
        <b/>
        <sz val="12"/>
        <rFont val="Calibri"/>
        <family val="2"/>
        <scheme val="minor"/>
      </rPr>
      <t>Blatt "KALKULATION" (ockerfarbiger Reiter)</t>
    </r>
    <r>
      <rPr>
        <sz val="12"/>
        <rFont val="Calibri"/>
        <family val="2"/>
        <scheme val="minor"/>
      </rPr>
      <t xml:space="preserve"> erfolgen die Berechnungsschritte. Grau hinterlegte Felder sind Eingabefelder. In den restlichen Feldern werden Ihnen Zwischenergebnisse angezeigt. Diese werden in die K3-Blätter übertragen. Sie können einen Mittelpersonalpreis (K3 2020 MLP) und vier Regiepreise (K3 Regie1 bis K3 Regie4) generieren.
Sie greifen auf </t>
    </r>
    <r>
      <rPr>
        <b/>
        <sz val="12"/>
        <rFont val="Calibri"/>
        <family val="2"/>
        <scheme val="minor"/>
      </rPr>
      <t>Stammdaten</t>
    </r>
    <r>
      <rPr>
        <sz val="12"/>
        <rFont val="Calibri"/>
        <family val="2"/>
        <scheme val="minor"/>
      </rPr>
      <t xml:space="preserve"> zurück (Kollektivvertrag, Sozialversicherungswerte aber auch eigene Werte). Diese sind im Blatt "Stammdaten" (grüner Reiter) dargestellt. Die Daten werden von einer </t>
    </r>
    <r>
      <rPr>
        <b/>
        <sz val="12"/>
        <rFont val="Calibri"/>
        <family val="2"/>
        <scheme val="minor"/>
      </rPr>
      <t>Quelldatei</t>
    </r>
    <r>
      <rPr>
        <sz val="12"/>
        <rFont val="Calibri"/>
        <family val="2"/>
        <scheme val="minor"/>
      </rPr>
      <t xml:space="preserve"> (Dateiname zB </t>
    </r>
    <r>
      <rPr>
        <i/>
        <sz val="12"/>
        <rFont val="Calibri"/>
        <family val="2"/>
        <scheme val="minor"/>
      </rPr>
      <t>K3_Quelle2020</t>
    </r>
    <r>
      <rPr>
        <sz val="12"/>
        <rFont val="Calibri"/>
        <family val="2"/>
        <scheme val="minor"/>
      </rPr>
      <t xml:space="preserve">) übernommen. Name der Quelldatei und Tabellenblatt, welches Sie aus dieser Datei verwenden wollen, müssen Sie im Blatt "Stammdaten" rechts oben festlegen. Die </t>
    </r>
    <r>
      <rPr>
        <b/>
        <sz val="12"/>
        <rFont val="Calibri"/>
        <family val="2"/>
        <scheme val="minor"/>
      </rPr>
      <t xml:space="preserve">Quelldatei MUSS für die Verwendung des Kalkulationstools geöffnet </t>
    </r>
    <r>
      <rPr>
        <sz val="12"/>
        <rFont val="Calibri"/>
        <family val="2"/>
        <scheme val="minor"/>
      </rPr>
      <t>sein!</t>
    </r>
  </si>
  <si>
    <r>
      <rPr>
        <b/>
        <sz val="12"/>
        <rFont val="Calibri"/>
        <family val="2"/>
        <scheme val="minor"/>
      </rPr>
      <t>Kalkulation bearbeiten (ockerfarbiger Reiter)</t>
    </r>
    <r>
      <rPr>
        <sz val="12"/>
        <rFont val="Calibri"/>
        <family val="2"/>
        <scheme val="minor"/>
      </rPr>
      <t xml:space="preserve">
Gehen Sie auf den gelben Reiter "Projekt" und befüllen Sie die ausfüllbaren Felder. Arbeiten Sie die Tabelle von oben nach unten durch. Vergessen Sie nicht, sich zunächst mit den Quelldaten zu verbinden (im Blatt Stammdaten, rechts oben). Anderenfalls erhalten Sie Fehlermeldungen.
Viele Felder sind mit Kommentaren versehen, bei unplausiblen Eingaben erfolgt eine Warnung. Bei unmöglichen Eingaben erfolgt ein Stopp, verbunden mit der Aufforderung einen zutreffenden Wert einzugeben. Rechts von der Tabelle erscheinen in roter Schrift zT Warnhinweise, wenn unschlüssige Eingaben vorliegen. Gegebenenfalls erscheint erst dann ein Endwert (Personalpreis) bis alle Eingaben vollständig vorgenommen sind. 
Die Daten für den Gesamtzuschlag geben Sie im Blatt "K2" (grauer Reiter) ein. Jene Zeilen die Sie im "Blatt K2" befüllen, können Sie auch im Blatt "Projekt" auswählen. Sie können im Rahmen der vorliegenden Kalkulation theoretisch sechs GZ verarbeiten (für den Mittelpersonalpreis, für Regie1 bis Regie 4 und für die Umlagen (K3 Spalte A).  
Fachliche Informationen zur Kalkulation finden Sie im Buch </t>
    </r>
    <r>
      <rPr>
        <b/>
        <i/>
        <sz val="12"/>
        <rFont val="Calibri"/>
        <family val="2"/>
        <scheme val="minor"/>
      </rPr>
      <t>Kropik: Baukalkulation, Kostenrechnung und ÖNORM B 2061</t>
    </r>
    <r>
      <rPr>
        <sz val="12"/>
        <rFont val="Calibri"/>
        <family val="2"/>
        <scheme val="minor"/>
      </rPr>
      <t>.</t>
    </r>
  </si>
  <si>
    <t>Versionsverlauf ab 2.5</t>
  </si>
  <si>
    <r>
      <rPr>
        <b/>
        <sz val="10"/>
        <rFont val="Calibri"/>
        <family val="2"/>
        <scheme val="minor"/>
      </rPr>
      <t xml:space="preserve">5. </t>
    </r>
    <r>
      <rPr>
        <sz val="10"/>
        <rFont val="Calibri"/>
        <family val="2"/>
        <scheme val="minor"/>
      </rPr>
      <t xml:space="preserve">Aktivierung der Berechnung durch Wahl abgabefrei/ -pflichtig: </t>
    </r>
    <r>
      <rPr>
        <sz val="10"/>
        <rFont val="Calibri"/>
        <family val="2"/>
      </rPr>
      <t>↓</t>
    </r>
  </si>
  <si>
    <t xml:space="preserve">   Zwischenergebnis 2 inkl  Hinzurechnung von Ausfallzeiten in Hv (%):</t>
  </si>
  <si>
    <t>Hinweis zu R4.b - 1.) Wenn der Regiepreis keine Arbeitszeitzuschläge enthalten soll (Regelung gem ÖN B 2110) ist diese Einstellung (1.) zutreffend.</t>
  </si>
  <si>
    <t>K2a-Blatt</t>
  </si>
  <si>
    <t>Überstunde 50%</t>
  </si>
  <si>
    <t>Regielohnkalkulation01</t>
  </si>
  <si>
    <t>Regielohnkalkulation02</t>
  </si>
  <si>
    <t>Regielohnkalkulation03</t>
  </si>
  <si>
    <t>Regiepartie01</t>
  </si>
  <si>
    <t>Regiepartie02</t>
  </si>
  <si>
    <t>Umlagen vor GZ  |  €</t>
  </si>
  <si>
    <t>Umlagen vor GZ  |  %</t>
  </si>
  <si>
    <t>Sonst. abgabefreie Entschädigungen</t>
  </si>
  <si>
    <t>KV + AKV in sonst. unprod. Zeiten</t>
  </si>
  <si>
    <t>für Partie gem Pkt B</t>
  </si>
  <si>
    <t>DB für unproduktives Personal</t>
  </si>
  <si>
    <t>Summe DB für Umlagen &amp; Hinzurechnungen</t>
  </si>
  <si>
    <t>DB für sonst. unprod. Zeiten (ca; inkl PNK)</t>
  </si>
  <si>
    <t>DB für Personalgemeinkosten</t>
  </si>
  <si>
    <t>DB für Umlagen</t>
  </si>
  <si>
    <t>DB für Gesamtzuschlag (GZ)</t>
  </si>
  <si>
    <t>direkte Personalkosten (produktive Tätigkeit)</t>
  </si>
  <si>
    <t xml:space="preserve">Zulagen </t>
  </si>
  <si>
    <r>
      <rPr>
        <b/>
        <sz val="11"/>
        <rFont val="Calibri"/>
        <family val="2"/>
        <scheme val="minor"/>
      </rPr>
      <t xml:space="preserve">E6.c)  Optionale Anpassung </t>
    </r>
    <r>
      <rPr>
        <sz val="11"/>
        <rFont val="Calibri"/>
        <family val="2"/>
        <scheme val="minor"/>
      </rPr>
      <t xml:space="preserve">                           (+/- €):</t>
    </r>
  </si>
  <si>
    <t xml:space="preserve">DD Zuschlag für </t>
  </si>
  <si>
    <t>2. (nur) sonst. unprod. Zeiten (B2.b)</t>
  </si>
  <si>
    <t>3. (nur) unprod. Personal (B2.a)</t>
  </si>
  <si>
    <t>[4. kein Zuschlag für Ansätze in B2]</t>
  </si>
  <si>
    <t>Ansatz für Report</t>
  </si>
  <si>
    <t>nur up. P.</t>
  </si>
  <si>
    <t>nur up P</t>
  </si>
  <si>
    <t>Sonst. abgabepflicht. Entschädigungen</t>
  </si>
  <si>
    <t>Entgelt pro Stunde abgabepflichtig</t>
  </si>
  <si>
    <t>Personalgemeinkosten in %</t>
  </si>
  <si>
    <t>Personalgemeinkosten in €</t>
  </si>
  <si>
    <r>
      <t xml:space="preserve">E6) Zuschläge, Berechnung </t>
    </r>
    <r>
      <rPr>
        <sz val="11"/>
        <rFont val="Calibri"/>
        <family val="2"/>
        <scheme val="minor"/>
      </rPr>
      <t>(informativ)</t>
    </r>
    <r>
      <rPr>
        <b/>
        <sz val="11"/>
        <rFont val="Calibri"/>
        <family val="2"/>
        <scheme val="minor"/>
      </rPr>
      <t xml:space="preserve"> und Ergebnis</t>
    </r>
  </si>
  <si>
    <t>Personalnebenkosten (PNK)</t>
  </si>
  <si>
    <t>Gesamtzuschlag (GZ)</t>
  </si>
  <si>
    <t>C2.b) Zum verwendeten KollV, der Partiezusammensetzung, zum KV- und zum AKV-Entgelt</t>
  </si>
  <si>
    <t>D1.b1) Ergebnis 1 Übertrag nach D1.a (pflichtig)</t>
  </si>
  <si>
    <t>(A) … % der unprod. Arbeit-nehmer:</t>
  </si>
  <si>
    <t>1. unprod. Pers. &amp; Zeiten (∑ B2)</t>
  </si>
  <si>
    <t xml:space="preserve"> Verrechnung mit Stundensätzen</t>
  </si>
  <si>
    <r>
      <rPr>
        <b/>
        <sz val="10"/>
        <rFont val="Calibri"/>
        <family val="2"/>
        <scheme val="minor"/>
      </rPr>
      <t>3. Basis</t>
    </r>
    <r>
      <rPr>
        <sz val="10"/>
        <rFont val="Calibri"/>
        <family val="2"/>
        <scheme val="minor"/>
      </rPr>
      <t xml:space="preserve"> f d Verrech-nungssatz? 
KV-Entgelt oder 
KV+AKV Entgelt </t>
    </r>
  </si>
  <si>
    <r>
      <t xml:space="preserve">Umzulegender </t>
    </r>
    <r>
      <rPr>
        <b/>
        <sz val="11"/>
        <rFont val="Calibri"/>
        <family val="2"/>
        <scheme val="minor"/>
      </rPr>
      <t>Gesamt</t>
    </r>
    <r>
      <rPr>
        <sz val="11"/>
        <rFont val="Calibri"/>
        <family val="2"/>
        <scheme val="minor"/>
      </rPr>
      <t xml:space="preserve">betrag (€; </t>
    </r>
    <r>
      <rPr>
        <sz val="11"/>
        <rFont val="Calibri"/>
        <family val="2"/>
      </rPr>
      <t>≠</t>
    </r>
    <r>
      <rPr>
        <sz val="11"/>
        <rFont val="Calibri"/>
        <family val="2"/>
        <scheme val="minor"/>
      </rPr>
      <t>GZ):</t>
    </r>
  </si>
  <si>
    <t>1) Addieren (nicht %-tuell aufrechnen)</t>
  </si>
  <si>
    <t>Beitragsfrei max. pro Tag</t>
  </si>
  <si>
    <t>pro Nacht</t>
  </si>
  <si>
    <t>K3_Quelle</t>
  </si>
  <si>
    <t>Faktor KV</t>
  </si>
  <si>
    <t xml:space="preserve"> 1=Konflikt</t>
  </si>
  <si>
    <t># Ihre individuelle Bezeichnung für die Auswahl in R7.a können Sie in R7.b eintragen.</t>
  </si>
  <si>
    <t>KV inkl unproduktive Zeiten</t>
  </si>
  <si>
    <r>
      <t xml:space="preserve">D1.a1) Basis für Zulagen in % wählen (KV- </t>
    </r>
    <r>
      <rPr>
        <b/>
        <sz val="11"/>
        <rFont val="Calibri"/>
        <family val="2"/>
        <scheme val="minor"/>
      </rPr>
      <t xml:space="preserve">oder </t>
    </r>
    <r>
      <rPr>
        <sz val="11"/>
        <rFont val="Calibri"/>
        <family val="2"/>
        <scheme val="minor"/>
      </rPr>
      <t xml:space="preserve">KV+AKV-Entgelt): </t>
    </r>
    <r>
      <rPr>
        <sz val="11"/>
        <rFont val="Calibri"/>
        <family val="2"/>
      </rPr>
      <t>↓</t>
    </r>
  </si>
  <si>
    <t>Sonst. Arbeitszeitzuschl. (zB Schicht)</t>
  </si>
  <si>
    <t>B4) Enthaltene Deckungsbeiträge (DB):</t>
  </si>
  <si>
    <t>Kalk.-Datum</t>
  </si>
  <si>
    <t>zum Kalk-dat.</t>
  </si>
  <si>
    <t>Bei öffentlichen Aufträgen (BVergG) prüfen, ob für den vorgesehenen Zweck der Umlage, nicht eigene auspreisbare Positionen bestehen (ggf. kann eine verpönte Kostenumlage vorliegen).</t>
  </si>
  <si>
    <t>Mehrarbeitszuschl. (zB Überstd.)</t>
  </si>
  <si>
    <r>
      <t xml:space="preserve">In diesem Bereich erscheinen </t>
    </r>
    <r>
      <rPr>
        <b/>
        <sz val="11"/>
        <color rgb="FFFF0000"/>
        <rFont val="Calibri"/>
        <family val="2"/>
        <scheme val="minor"/>
      </rPr>
      <t>Warnungen (rote Schrift)</t>
    </r>
    <r>
      <rPr>
        <sz val="11"/>
        <rFont val="Calibri"/>
        <family val="2"/>
        <scheme val="minor"/>
      </rPr>
      <t xml:space="preserve"> sowie </t>
    </r>
    <r>
      <rPr>
        <b/>
        <sz val="11"/>
        <rFont val="Calibri"/>
        <family val="2"/>
        <scheme val="minor"/>
      </rPr>
      <t>Hinweise</t>
    </r>
    <r>
      <rPr>
        <sz val="11"/>
        <rFont val="Calibri"/>
        <family val="2"/>
        <scheme val="minor"/>
      </rPr>
      <t xml:space="preserve"> und </t>
    </r>
    <r>
      <rPr>
        <b/>
        <sz val="11"/>
        <rFont val="Calibri"/>
        <family val="2"/>
        <scheme val="minor"/>
      </rPr>
      <t>Informationen</t>
    </r>
    <r>
      <rPr>
        <sz val="11"/>
        <rFont val="Calibri"/>
        <family val="2"/>
        <scheme val="minor"/>
      </rPr>
      <t xml:space="preserve"> (</t>
    </r>
    <r>
      <rPr>
        <sz val="11"/>
        <color theme="1" tint="0.34998626667073579"/>
        <rFont val="Calibri"/>
        <family val="2"/>
        <scheme val="minor"/>
      </rPr>
      <t>in grauer Schrift</t>
    </r>
    <r>
      <rPr>
        <sz val="11"/>
        <rFont val="Calibri"/>
        <family val="2"/>
        <scheme val="minor"/>
      </rPr>
      <t xml:space="preserve">). Nach korrekt erfolgter  Eingabe verschwinden die Warnungen. 
(1) Für eine korrekte Kalkulation und Auswertung im Blatt REPORT dürfen keine Warnungen vorhanden bleiben. 
(2) Hinweise und Informationen betreffen die Kalkulation und sind gegebenenfalls zu beachten. Sie sind tw als  Empfehlung zu verstehen und bedeuten nicht, dass ein Fehler vorliegen muss.
 (3) Weiters sind manche Zellen mit </t>
    </r>
    <r>
      <rPr>
        <b/>
        <sz val="11"/>
        <rFont val="Calibri"/>
        <family val="2"/>
        <scheme val="minor"/>
      </rPr>
      <t>Kommentaren</t>
    </r>
    <r>
      <rPr>
        <sz val="11"/>
        <rFont val="Calibri"/>
        <family val="2"/>
        <scheme val="minor"/>
      </rPr>
      <t xml:space="preserve"> hinterlegt (rotes Dreieck im rechten oberen Zelleneck </t>
    </r>
    <r>
      <rPr>
        <b/>
        <sz val="12"/>
        <color rgb="FFFF0000"/>
        <rFont val="Calibri"/>
        <family val="2"/>
        <scheme val="minor"/>
      </rPr>
      <t>˺</t>
    </r>
    <r>
      <rPr>
        <sz val="11"/>
        <rFont val="Calibri"/>
        <family val="2"/>
        <scheme val="minor"/>
      </rPr>
      <t>; Aktivierung durch Überstreichen mit dem Cursor). Bei den Regiekalkulationen finden sich Kommentare nur bei Regie01.
(4) Weitere Anleitungen siehe www.bauwesen.at/k3.</t>
    </r>
  </si>
  <si>
    <t>Zusammenfassung</t>
  </si>
  <si>
    <t xml:space="preserve">Der Wert liegt außerhalb der im Blatt REPORT festgelegten Richtwerte. Bei öffentlichen Aufträgen (BVergG) auf die Erklärbarkeit und Plausibilität der Werte achten. </t>
  </si>
  <si>
    <t>{Unbekannter Fehler! Bitte prüfen Sie die Quelldatei/Stammdaten und die Eingaben im Blatt Kalkulation; achten Sie auf WARNUNGEN.}</t>
  </si>
  <si>
    <t>#Festpreis-zuschlag</t>
  </si>
  <si>
    <t>#Vertragl. Abzüge (Bauschaden, …)</t>
  </si>
  <si>
    <t>#Ausführungspla-nung</t>
  </si>
  <si>
    <t>#zeitgebundene BGK</t>
  </si>
  <si>
    <t>#einmalige BGK</t>
  </si>
  <si>
    <t>OK_KV!</t>
  </si>
  <si>
    <t>Frage 3 Datum</t>
  </si>
  <si>
    <t>Kontrolldarstellung (bei Problemen bitte mit dem Lizenzdatenblatt vergleichen)</t>
  </si>
  <si>
    <r>
      <rPr>
        <b/>
        <sz val="12"/>
        <rFont val="Calibri"/>
        <family val="2"/>
        <scheme val="minor"/>
      </rPr>
      <t xml:space="preserve">Code 1 und 2 </t>
    </r>
    <r>
      <rPr>
        <sz val="12"/>
        <rFont val="Calibri"/>
        <family val="2"/>
        <scheme val="minor"/>
      </rPr>
      <t>(Lizenzschlüssel):</t>
    </r>
  </si>
  <si>
    <t>Frage1 CODE 2</t>
  </si>
  <si>
    <t>Frage2 CODE 1</t>
  </si>
  <si>
    <t>Raum für ihre internen Anmerkungen zur Kalkulation:</t>
  </si>
  <si>
    <t>Zur Aktivierung der Version 4 benötigen Sie einen Zusatzcode, der ihnen bei Bestellungen ab 03/2024 zugesandt wurde. Ältere und noch aktuelle Aktivierungen können Sie bis 02/2026 durch Eintrag von 
NEU 
(Code 2) auch für die Version 4 verwenden.</t>
  </si>
  <si>
    <t xml:space="preserve"> 1 = Konzern</t>
  </si>
  <si>
    <t>Keine gültige Lizenz.</t>
  </si>
  <si>
    <t>Bezeichnung für Zeile 2:</t>
  </si>
  <si>
    <t>Bezeichnung für Zeile 3:</t>
  </si>
  <si>
    <t xml:space="preserve"> 1 = KV-Abfrage auf Gruppenlizenz</t>
  </si>
  <si>
    <t xml:space="preserve"> 1 = KV ist OK (richtiger KV gewählt)</t>
  </si>
  <si>
    <t>In Bezug zu Ihrer Gruppenlizenz ist ein unzutreffender KollV ausgewählt. Stellen Sie im Blatt STAMMDATEN den mit der Gruppenlizenz verbundenen KollV ein.</t>
  </si>
  <si>
    <t>Restlaufzeit Ihrer Lizenz:</t>
  </si>
  <si>
    <t>Konzern-/Beraterlizenz: Sie können Zeilen 2 und 3 der Unternehmensdaten (erscheint im Kopfbereich der K-Blätter) nachfolgend frei festlegen.</t>
  </si>
  <si>
    <t>Sie verwenden eine Gruppenlizenz: Sie können Zeilen 2 und 3 der Unternehmensdaten (erscheint im Kopfbereich der K-Blätter) nachfolgend frei festlegen.</t>
  </si>
  <si>
    <t>Unternehmen xyz</t>
  </si>
  <si>
    <t>Straße xyz</t>
  </si>
  <si>
    <r>
      <t xml:space="preserve">B2.a) Zwischenergeb. (Anzahl u </t>
    </r>
    <r>
      <rPr>
        <sz val="11"/>
        <rFont val="Calibri"/>
        <family val="2"/>
      </rPr>
      <t>Ø up. Std.-Entgelt)</t>
    </r>
  </si>
  <si>
    <t>1) Eingabe als absolute (Teil-)Anzahl ('Köpfe')</t>
  </si>
  <si>
    <t>2) Eingabe in % der Zeit der Person</t>
  </si>
  <si>
    <t>3) Eingabe in % der Gesamtanzahl gem B1</t>
  </si>
  <si>
    <t>4) Kein unproduktives Personal</t>
  </si>
  <si>
    <t>Hinweis zur Auswahl bei F2.b2: Die getroffene Auswahl ist sinnvoll, wenn das Mehrarbeitsentgelt nicht (mehr) den UPNK unterliegt (weil bereits durch Zuschlag abgegolten) und die übrigen  Entgelte  in tatsächlicher Höhe für Sonderzahlungen und Arbeitsausfall relevant sind. Betriebe der Haus- und Metalltechnik (zB KollV Eisen- und Metallverarbeitende Gewerbe) wählen idR diese Einstellung.</t>
  </si>
  <si>
    <t>1) Keine Zielgröße festlegen</t>
  </si>
  <si>
    <t>Auswahl</t>
  </si>
  <si>
    <t>aktuell</t>
  </si>
  <si>
    <t>Zielgröße</t>
  </si>
  <si>
    <t xml:space="preserve">G1) Eintrag von PGK </t>
  </si>
  <si>
    <t>2) Zielgröße für KOSTEN (K3 Z 19)</t>
  </si>
  <si>
    <t>3) Zielgröße für PREIS (K3 Z 22)</t>
  </si>
  <si>
    <t>∆</t>
  </si>
  <si>
    <t># Beispiel: Personalverrechnung, -management</t>
  </si>
  <si>
    <t># Beispiel: Ausrüstung mit EDV, Software udgl.</t>
  </si>
  <si>
    <t># Beispiel: Mitarbeiterschulungen</t>
  </si>
  <si>
    <t># Beispiel: Arbeitskleidung, Arbeitssicherheit udgl.</t>
  </si>
  <si>
    <t># Beispiel: Nebenmaterial (Kleinmaterial)</t>
  </si>
  <si>
    <t># Beispiel: Handwerkzeug, Kleingerüst, …</t>
  </si>
  <si>
    <r>
      <t xml:space="preserve"> PGK €|% </t>
    </r>
    <r>
      <rPr>
        <sz val="11"/>
        <rFont val="Calibri"/>
        <family val="2"/>
      </rPr>
      <t>↓</t>
    </r>
  </si>
  <si>
    <t>J4) Anpassung zur Erreichung einer Zielgröße (Personalkosten bzw -preis)</t>
  </si>
  <si>
    <t>J) Ergebnisdarstellung, Rundungsmöglichkeit (J3), Anpassung auf Zielwert (J4)</t>
  </si>
  <si>
    <t>J4.c) Zielwert erreicht!</t>
  </si>
  <si>
    <t>J4.c) Zielwert fast erreicht; siehe Info zu G2</t>
  </si>
  <si>
    <t>G2) Übertrag aus Pkt J3 (optionale Rundung)</t>
  </si>
  <si>
    <t>G4) Übertrag vom Hilfsrechner G3</t>
  </si>
  <si>
    <t>J4.c) Unzutreffendes Ergebnis; J4.b beachten!</t>
  </si>
  <si>
    <t>J4.c) Bitte den Übertrag gem J4.b vornehmen:</t>
  </si>
  <si>
    <r>
      <t>J3.c) Der Ausgleich erfolgt bei den PGK (G2);     a</t>
    </r>
    <r>
      <rPr>
        <i/>
        <sz val="11"/>
        <rFont val="Calibri"/>
        <family val="2"/>
        <scheme val="minor"/>
      </rPr>
      <t>ls</t>
    </r>
    <r>
      <rPr>
        <sz val="11"/>
        <rFont val="Calibri"/>
        <family val="2"/>
        <scheme val="minor"/>
      </rPr>
      <t xml:space="preserve"> </t>
    </r>
    <r>
      <rPr>
        <i/>
        <sz val="11"/>
        <rFont val="Calibri"/>
        <family val="2"/>
        <scheme val="minor"/>
      </rPr>
      <t>%</t>
    </r>
    <r>
      <rPr>
        <sz val="11"/>
        <rFont val="Calibri"/>
        <family val="2"/>
        <scheme val="minor"/>
      </rPr>
      <t xml:space="preserve"> od </t>
    </r>
    <r>
      <rPr>
        <i/>
        <sz val="11"/>
        <rFont val="Calibri"/>
        <family val="2"/>
        <scheme val="minor"/>
      </rPr>
      <t>€</t>
    </r>
    <r>
      <rPr>
        <sz val="11"/>
        <rFont val="Calibri"/>
        <family val="2"/>
        <scheme val="minor"/>
      </rPr>
      <t>?    ↓</t>
    </r>
  </si>
  <si>
    <t>J4) Übertrag in die PGK Pkt G3</t>
  </si>
  <si>
    <t>G3) Übertrag aus Pkt J4 (optionaler Zielwert)</t>
  </si>
  <si>
    <r>
      <t xml:space="preserve">Bitte auch die </t>
    </r>
    <r>
      <rPr>
        <b/>
        <sz val="11"/>
        <rFont val="Calibri"/>
        <family val="2"/>
        <scheme val="minor"/>
      </rPr>
      <t>Zusammenfassung am Blattende</t>
    </r>
    <r>
      <rPr>
        <sz val="11"/>
        <rFont val="Calibri"/>
        <family val="2"/>
        <scheme val="minor"/>
      </rPr>
      <t xml:space="preserve"> und das </t>
    </r>
    <r>
      <rPr>
        <b/>
        <sz val="11"/>
        <rFont val="Calibri"/>
        <family val="2"/>
        <scheme val="minor"/>
      </rPr>
      <t>Blatt REPORT</t>
    </r>
    <r>
      <rPr>
        <sz val="11"/>
        <rFont val="Calibri"/>
        <family val="2"/>
        <scheme val="minor"/>
      </rPr>
      <t xml:space="preserve"> beachten! Im Blatt REPORT finden Sie neben der monetären Auswertung auch eine verbale Zusammenfassung ihrer Kalkulation. Bitte achten Sie darauf, dass im rechten Bereich keine </t>
    </r>
    <r>
      <rPr>
        <sz val="11"/>
        <color rgb="FFFF0000"/>
        <rFont val="Calibri"/>
        <family val="2"/>
        <scheme val="minor"/>
      </rPr>
      <t>roten Warnungen</t>
    </r>
    <r>
      <rPr>
        <sz val="11"/>
        <rFont val="Calibri"/>
        <family val="2"/>
        <scheme val="minor"/>
      </rPr>
      <t xml:space="preserve"> mehr aufscheinen. Kontrolliern Sie die K-Blätter!</t>
    </r>
  </si>
  <si>
    <t>Zielgrößenrechner</t>
  </si>
  <si>
    <t>J4.b) Für (neue) Simulation ggf. J4.c löschen; beachte den dadurch ev. geänderten Wert bei J4.a!</t>
  </si>
  <si>
    <r>
      <t>J3.a) Wollen Sie die Personalkosten (K3 Z 19 ) oder den Personalpreis (K3 Z 22) aufrunden?               (</t>
    </r>
    <r>
      <rPr>
        <i/>
        <sz val="11"/>
        <rFont val="Calibri"/>
        <family val="2"/>
        <scheme val="minor"/>
      </rPr>
      <t>Kosten/Preis/Nein</t>
    </r>
    <r>
      <rPr>
        <sz val="11"/>
        <rFont val="Calibri"/>
        <family val="2"/>
        <scheme val="minor"/>
      </rPr>
      <t xml:space="preserve">) </t>
    </r>
    <r>
      <rPr>
        <sz val="11"/>
        <rFont val="Calibri"/>
        <family val="2"/>
      </rPr>
      <t>↓</t>
    </r>
  </si>
  <si>
    <t>Wr. U-Bahnsteuer (#nur bei Baust./Firma in Wien)</t>
  </si>
  <si>
    <r>
      <t xml:space="preserve">G4) Hilfsrechner Ermittlung projektb ezogener PGK </t>
    </r>
    <r>
      <rPr>
        <sz val="9"/>
        <rFont val="Calibri"/>
        <family val="2"/>
        <scheme val="minor"/>
      </rPr>
      <t>(Übertrag in G3.a1 bis G3.b2)</t>
    </r>
  </si>
  <si>
    <t>G4.a) für Kosten/Wo u Arbeitnehmer:</t>
  </si>
  <si>
    <t>G4.a1)</t>
  </si>
  <si>
    <t>G4.a2)</t>
  </si>
  <si>
    <t>G4.b) für Kosten/Wo f alle Arbeitnehmer:</t>
  </si>
  <si>
    <t>G4.b1)</t>
  </si>
  <si>
    <t>G4.b2)</t>
  </si>
  <si>
    <t>Richtwerte</t>
  </si>
  <si>
    <t>48/38,5</t>
  </si>
  <si>
    <r>
      <t xml:space="preserve">#Die Musterkalkulation und die Stamm-/Quelldaten sind auf die Aktualität der Werte (KollV, SV-Daten) zu prüfen, zu ergänzen  und auf die firmeninternen Gegebenheiten und Werte abzustimmen; auch die  Quelldatei mit den zutreffenden Werten versehen (zB AKV (Überzahlung; im Beispiel mit 15% angenommen), UPNK kontrollieren, Zuschlag zum FLAF (KU2) konkret festlegen usw).
Bitte die Anleitung zur Verwendung des Tools auf www.bauwesen.at/k3 beachten!
</t>
    </r>
    <r>
      <rPr>
        <b/>
        <sz val="11"/>
        <rFont val="Calibri"/>
        <family val="2"/>
        <scheme val="minor"/>
      </rPr>
      <t># = Kennzeichen f ANMERKUNGEN</t>
    </r>
    <r>
      <rPr>
        <sz val="11"/>
        <rFont val="Calibri"/>
        <family val="2"/>
        <scheme val="minor"/>
      </rPr>
      <t xml:space="preserve"> IN DER QUELLDATEI &amp; KALK-TOOL DIE SIE BITTE LÖSCHEN (KÖNNEN)!</t>
    </r>
  </si>
  <si>
    <t>Umlage unproduktives Personal (B2.a)</t>
  </si>
  <si>
    <t>Unproduktive Zeiten (B2.b)</t>
  </si>
  <si>
    <t>Arbeitsstunden pro Woche (C1)</t>
  </si>
  <si>
    <t>Hinweise vorhanden:</t>
  </si>
  <si>
    <t>Empfehlung für Werte</t>
  </si>
  <si>
    <t>oberer</t>
  </si>
  <si>
    <t>unterer</t>
  </si>
  <si>
    <t>(Richtwerte bitte gegebenenfalls individuell anpassen/ändern!)</t>
  </si>
  <si>
    <t>Umgelegte Personalnebenkosten (f2)</t>
  </si>
  <si>
    <t>Plausibilität UPNK/DPNK (als grober Kontrollwert; F2/F1)</t>
  </si>
  <si>
    <t>Personalgemeinkosten (G)</t>
  </si>
  <si>
    <t>Gesamtzuschlag (H)</t>
  </si>
  <si>
    <t>Alle mittels Richtwerte beurteilten Punkte liegen innerhalb der angegebenen Grenzwerte.</t>
  </si>
  <si>
    <r>
      <rPr>
        <b/>
        <sz val="10"/>
        <rFont val="Calibri"/>
        <family val="2"/>
        <scheme val="minor"/>
      </rPr>
      <t xml:space="preserve">1. Anzahl </t>
    </r>
    <r>
      <rPr>
        <sz val="10"/>
        <rFont val="Calibri"/>
        <family val="2"/>
        <scheme val="minor"/>
      </rPr>
      <t>der Verrech-nungsstd. pro Tag:</t>
    </r>
  </si>
  <si>
    <t>Ergänzende Bezeichnung K3-Blatt Zeilen  19 und 22</t>
  </si>
  <si>
    <t>optional:</t>
  </si>
  <si>
    <r>
      <t>B2.b) Sonstige unprod. Zeiten</t>
    </r>
    <r>
      <rPr>
        <sz val="11"/>
        <rFont val="Calibri"/>
        <family val="2"/>
        <scheme val="minor"/>
      </rPr>
      <t xml:space="preserve"> (upZ) </t>
    </r>
    <r>
      <rPr>
        <b/>
        <sz val="11"/>
        <rFont val="Calibri"/>
        <family val="2"/>
        <scheme val="minor"/>
      </rPr>
      <t xml:space="preserve">  </t>
    </r>
    <r>
      <rPr>
        <sz val="11"/>
        <rFont val="Calibri"/>
        <family val="2"/>
      </rPr>
      <t>↓</t>
    </r>
  </si>
  <si>
    <t>Info:</t>
  </si>
  <si>
    <t xml:space="preserve">Die Festlegung des unprod. Personals erfolgt gem B2.a als </t>
  </si>
  <si>
    <t>D1.b2) Ergebnis 2 Übertrag nach E1.a (tatsächlich abgabefreier Teil)</t>
  </si>
  <si>
    <r>
      <t xml:space="preserve">Zulagen gem D1 in sonstigen up Zeiten (B2.b) berücksichtigen?             </t>
    </r>
    <r>
      <rPr>
        <sz val="11"/>
        <rFont val="Calibri"/>
        <family val="2"/>
      </rPr>
      <t>↓</t>
    </r>
  </si>
  <si>
    <t>F2.b1) Anpassung der UPNK entsprechend den Werten und Einstellungen in Pkt E für abgabepfl. Entgelte</t>
  </si>
  <si>
    <t>eigen →</t>
  </si>
  <si>
    <t>30%/9%</t>
  </si>
  <si>
    <r>
      <rPr>
        <b/>
        <sz val="12"/>
        <color rgb="FFFF0000"/>
        <rFont val="Calibri"/>
        <family val="2"/>
        <scheme val="minor"/>
      </rPr>
      <t xml:space="preserve">Version 4.0 (20-03.2024): 
</t>
    </r>
    <r>
      <rPr>
        <sz val="12"/>
        <rFont val="Calibri"/>
        <family val="2"/>
        <scheme val="minor"/>
      </rPr>
      <t xml:space="preserve">Überarbeitung der </t>
    </r>
    <r>
      <rPr>
        <b/>
        <sz val="12"/>
        <color rgb="FFFF0000"/>
        <rFont val="Calibri"/>
        <family val="2"/>
        <scheme val="minor"/>
      </rPr>
      <t xml:space="preserve">Eingabemasken: </t>
    </r>
    <r>
      <rPr>
        <sz val="12"/>
        <rFont val="Calibri"/>
        <family val="2"/>
        <scheme val="minor"/>
      </rPr>
      <t xml:space="preserve">Verbesserung der Struktur und der Erläuterungen (Kommentare), Überarbeitung und Erweiterung der Warnungen vor falschen oder fehlenden Eingaben (rote Schrift) und Hinweise (grau). Ausgrauen von nicht aktivieren Kalkulationsmöglichkeiten (verbessertes Handling).
Vereinfachte und </t>
    </r>
    <r>
      <rPr>
        <b/>
        <sz val="12"/>
        <color rgb="FFFF0000"/>
        <rFont val="Calibri"/>
        <family val="2"/>
        <scheme val="minor"/>
      </rPr>
      <t>intuitivere Bedienung</t>
    </r>
    <r>
      <rPr>
        <sz val="12"/>
        <rFont val="Calibri"/>
        <family val="2"/>
        <scheme val="minor"/>
      </rPr>
      <t xml:space="preserve"> durch selbsterklärende Auswahlfelder.
Vollkommene </t>
    </r>
    <r>
      <rPr>
        <b/>
        <sz val="12"/>
        <color rgb="FFFF0000"/>
        <rFont val="Calibri"/>
        <family val="2"/>
        <scheme val="minor"/>
      </rPr>
      <t>Neugestaltung des Blatts REPORT</t>
    </r>
    <r>
      <rPr>
        <sz val="12"/>
        <rFont val="Calibri"/>
        <family val="2"/>
        <scheme val="minor"/>
      </rPr>
      <t xml:space="preserve"> mit einem verbalen Kalkulationsbericht.
Diverse </t>
    </r>
    <r>
      <rPr>
        <b/>
        <sz val="12"/>
        <color rgb="FFFF0000"/>
        <rFont val="Calibri"/>
        <family val="2"/>
        <scheme val="minor"/>
      </rPr>
      <t>betriebswirtschaftliche</t>
    </r>
    <r>
      <rPr>
        <sz val="12"/>
        <rFont val="Calibri"/>
        <family val="2"/>
        <scheme val="minor"/>
      </rPr>
      <t xml:space="preserve"> </t>
    </r>
    <r>
      <rPr>
        <b/>
        <sz val="12"/>
        <color rgb="FFFF0000"/>
        <rFont val="Calibri"/>
        <family val="2"/>
        <scheme val="minor"/>
      </rPr>
      <t>Änderungen</t>
    </r>
    <r>
      <rPr>
        <sz val="12"/>
        <rFont val="Calibri"/>
        <family val="2"/>
        <scheme val="minor"/>
      </rPr>
      <t xml:space="preserve">, um die Kalkulation noch treffsicherer Erstellen zu können.
Diverse Möglichkeit der </t>
    </r>
    <r>
      <rPr>
        <b/>
        <sz val="12"/>
        <color rgb="FFFF0000"/>
        <rFont val="Calibri"/>
        <family val="2"/>
        <scheme val="minor"/>
      </rPr>
      <t>Rundung</t>
    </r>
    <r>
      <rPr>
        <sz val="12"/>
        <rFont val="Calibri"/>
        <family val="2"/>
        <scheme val="minor"/>
      </rPr>
      <t xml:space="preserve">.
Überarbeitung </t>
    </r>
    <r>
      <rPr>
        <b/>
        <sz val="12"/>
        <color rgb="FFFF0000"/>
        <rFont val="Calibri"/>
        <family val="2"/>
        <scheme val="minor"/>
      </rPr>
      <t>K2a-Blatts mit der M</t>
    </r>
    <r>
      <rPr>
        <sz val="12"/>
        <rFont val="Calibri"/>
        <family val="2"/>
        <scheme val="minor"/>
      </rPr>
      <t>öglichkeit auch nicht %-mäßig aufrechenbare Zuschläge anzugeben.
Diverse Verbesserungen und Erweiterungen bei der Regiekalkulation.</t>
    </r>
  </si>
  <si>
    <t>(V4.0: 20.03.2024)</t>
  </si>
  <si>
    <t>A) Richtwerte für Hinweise und Prüfung auf Über-/Unterschreitung der Richtwerte</t>
  </si>
  <si>
    <r>
      <t>1) Beachten Sie allfällige</t>
    </r>
    <r>
      <rPr>
        <b/>
        <sz val="11"/>
        <color rgb="FFFF0000"/>
        <rFont val="Calibri"/>
        <family val="2"/>
        <scheme val="minor"/>
      </rPr>
      <t xml:space="preserve"> Hinweise in ROTER Schrift</t>
    </r>
    <r>
      <rPr>
        <sz val="11"/>
        <rFont val="Calibri"/>
        <family val="2"/>
        <scheme val="minor"/>
      </rPr>
      <t xml:space="preserve"> im Blatt KALKULATION. Bearbeiten Sie ihre Eingaben, solche Hinweise dürfen nicht aufscheinen.</t>
    </r>
  </si>
  <si>
    <r>
      <t xml:space="preserve">2) Prüfen Sie weiters die </t>
    </r>
    <r>
      <rPr>
        <b/>
        <sz val="11"/>
        <color theme="1" tint="0.34998626667073579"/>
        <rFont val="Calibri"/>
        <family val="2"/>
        <scheme val="minor"/>
      </rPr>
      <t>Hinweise in GRAUER Schrift</t>
    </r>
    <r>
      <rPr>
        <sz val="11"/>
        <color theme="1" tint="0.34998626667073579"/>
        <rFont val="Calibri"/>
        <family val="2"/>
        <scheme val="minor"/>
      </rPr>
      <t xml:space="preserve"> </t>
    </r>
    <r>
      <rPr>
        <sz val="11"/>
        <rFont val="Calibri"/>
        <family val="2"/>
        <scheme val="minor"/>
      </rPr>
      <t>auf Relevanz bezüglich Ihrer Kalkulation.</t>
    </r>
  </si>
  <si>
    <r>
      <t xml:space="preserve">3) Beachten Sie ebenfalls allfällig aufscheinende rote </t>
    </r>
    <r>
      <rPr>
        <b/>
        <sz val="11"/>
        <color rgb="FFFF0000"/>
        <rFont val="Calibri"/>
        <family val="2"/>
        <scheme val="minor"/>
      </rPr>
      <t>X</t>
    </r>
    <r>
      <rPr>
        <sz val="11"/>
        <rFont val="Calibri"/>
        <family val="2"/>
        <scheme val="minor"/>
      </rPr>
      <t xml:space="preserve"> am rechten Rand des Kalkulationsbereichs. Sie weisen auf individuelle Anpassungen hin. Falls sie eine Kalkulationsvorlage mit individuellen Abweichungen verwendet haben, prüfen Sie die Relevanz für die gegenständliche Kalkulation.</t>
    </r>
  </si>
  <si>
    <r>
      <t xml:space="preserve">5) Beachten Sie den nachfolgenden Report, er kann noch relevante Hinweise für Ihre Kalkulation enthalten. </t>
    </r>
    <r>
      <rPr>
        <b/>
        <sz val="11"/>
        <rFont val="Calibri"/>
        <family val="2"/>
        <scheme val="minor"/>
      </rPr>
      <t>Der Report kann eine individuelle Prüfung jedoch nicht ersetzen!!</t>
    </r>
  </si>
  <si>
    <r>
      <t xml:space="preserve">Unproduktives Pers. (inkl PNK, PGK; </t>
    </r>
    <r>
      <rPr>
        <sz val="11"/>
        <rFont val="Calibri"/>
        <family val="2"/>
      </rPr>
      <t>≠</t>
    </r>
    <r>
      <rPr>
        <sz val="11"/>
        <rFont val="Calibri"/>
        <family val="2"/>
        <scheme val="minor"/>
      </rPr>
      <t xml:space="preserve"> GZ)</t>
    </r>
  </si>
  <si>
    <t>#Ihre individuelle Bezeichnung für die Auswahl in R7.a können Sie in R7.b eintragen.</t>
  </si>
  <si>
    <t>Die Hinweise bedeuten keine zwingend unrichtige Kalkulation. Sie sollen dahingehend sensibilisieren, dass Nachfragen zum kalkulierten Wert mit höherer Wahrscheinlichkeit möglich sind. Im Anwendungsbereich des BVergG auf eine betriebswirtschaftlich plausible Erklärungsmöglichkeit achten.</t>
  </si>
  <si>
    <t>Lizenz aufrecht:</t>
  </si>
  <si>
    <t>Lizenz vor Ablauf:</t>
  </si>
  <si>
    <t>Abgelaufen</t>
  </si>
  <si>
    <t>Erg. Text:</t>
  </si>
  <si>
    <t>Lizenz abgelaufen</t>
  </si>
  <si>
    <t xml:space="preserve">Sie können eine Lizenz bzw eine Verlängerung auf
www.bauwesen.at/k3
oder 
bestellung@bw-b.at
erwerben. </t>
  </si>
  <si>
    <t>(Rundungsdifferenzen zum K3-Blatt möglich! Hohe individueller Anpassungen erschweren den Vergleich.)</t>
  </si>
  <si>
    <t>Info: Grafische Darstellung (prod. | sonst. unprod. Zeiten | unprod. Pers.)</t>
  </si>
  <si>
    <t>Aufrunden JA</t>
  </si>
  <si>
    <t>Aufrunden NEIN</t>
  </si>
  <si>
    <t>DD_ Aufrunden</t>
  </si>
  <si>
    <t>E) Information über den Übertrag in die Regiepreiskalkulationen</t>
  </si>
  <si>
    <t>1) K3 Z 6-8 (9): AKV, Zulagen, Arbeitszeitzuschl., Rest pfl. Entgelt</t>
  </si>
  <si>
    <t>G4) Zwischensumme</t>
  </si>
  <si>
    <t>Qualitätssicherung</t>
  </si>
  <si>
    <t>Alle Kostenarten</t>
  </si>
  <si>
    <t>als %</t>
  </si>
  <si>
    <t>Hinweis zur Rundung:  Für alle Berechnungen ist "Genauigkeit wie angezeigt" eingestellt (damit ist das K3-Blatt exakt nach-rechenbar). In EXL kann im Menüpunkt "Datei" (links oben) und weiter  "Optionen" und danach im Blatt "Erweitert", ziemlich weit unten, "Genauigkeit wie angezeigt" ausgeschaltet werden. Diese Option wird nicht empfohlen!</t>
  </si>
  <si>
    <t>Zu J4) Zunächat sollten Sie durch Anpassung von Kalkulationsansätzen (zB Wagnis/Gewinn) in die Nähe des Zielwerts gelangen. Die Anpassung an den Zielwert erfolgt durch Änderung der PGK (G3), deren Höhe erklärbar bleiben muss. Ist das Ergebnis vom Zielwert leicht abweichend (manchmal mathematisch unvermeidbar 0,01€), können Sie versuchen (1) den Eingabewert (J4.c) geringfügig ändern, (2) zusätzlich die Rundungsoption (J3) aktivieren, (3) die Eingabeart (%, €) ändern oder (4) einen Kalkulationsansatz geringfügig ändern (zB Rundungsoptionen bei den Pkt. B bis E aktivieren oder Deaktivieren) und die Zielwertsuche erneut vornehmen.</t>
  </si>
  <si>
    <t>Nachfolgend können sechs Regiekalkulationen (davon zwei auch für eine Regiepartie) erstellt werden. Dafür muss die Kalkulation oben (Punkte A bis I) abgeschlossen sein, weil daraus Werte übernommen werden.</t>
  </si>
  <si>
    <t>Wert gem. K3.Blatt (Rundungsdifferenz möglich):</t>
  </si>
  <si>
    <t>www.bauwesen.at</t>
  </si>
  <si>
    <t>In diesem Blatt erhalten Sie Informationen über ihre Kalkulation.</t>
  </si>
  <si>
    <r>
      <rPr>
        <sz val="11"/>
        <color theme="0"/>
        <rFont val="Calibri"/>
        <family val="2"/>
      </rPr>
      <t xml:space="preserve">Ø </t>
    </r>
    <r>
      <rPr>
        <sz val="11"/>
        <color theme="0"/>
        <rFont val="Calibri"/>
        <family val="2"/>
        <scheme val="minor"/>
      </rPr>
      <t>für Regie</t>
    </r>
  </si>
  <si>
    <r>
      <t>1. unprod. Pers. &amp; Zeiten (</t>
    </r>
    <r>
      <rPr>
        <sz val="11"/>
        <color theme="0"/>
        <rFont val="Calibri"/>
        <family val="2"/>
      </rPr>
      <t>∑</t>
    </r>
    <r>
      <rPr>
        <sz val="12.65"/>
        <color theme="0"/>
        <rFont val="Calibri"/>
        <family val="2"/>
      </rPr>
      <t xml:space="preserve"> B2)</t>
    </r>
  </si>
  <si>
    <r>
      <t xml:space="preserve">eigen </t>
    </r>
    <r>
      <rPr>
        <sz val="11"/>
        <color theme="0"/>
        <rFont val="Calibri"/>
        <family val="2"/>
      </rPr>
      <t>→</t>
    </r>
  </si>
  <si>
    <r>
      <rPr>
        <b/>
        <sz val="10"/>
        <color theme="0"/>
        <rFont val="Calibri"/>
        <family val="2"/>
        <scheme val="minor"/>
      </rPr>
      <t>(1)</t>
    </r>
    <r>
      <rPr>
        <sz val="10"/>
        <color theme="0"/>
        <rFont val="Calibri"/>
        <family val="2"/>
        <scheme val="minor"/>
      </rPr>
      <t xml:space="preserve"> Die nachfolgenden sechs Kalkulationen (Regie 1 bis 6) stehen für die </t>
    </r>
    <r>
      <rPr>
        <b/>
        <sz val="10"/>
        <color theme="0"/>
        <rFont val="Calibri"/>
        <family val="2"/>
        <scheme val="minor"/>
      </rPr>
      <t xml:space="preserve">Kalkulation von Regielöhnen / -gehälter </t>
    </r>
    <r>
      <rPr>
        <sz val="10"/>
        <color theme="0"/>
        <rFont val="Calibri"/>
        <family val="2"/>
        <scheme val="minor"/>
      </rPr>
      <t xml:space="preserve">(je nach Eingabe unter Pkt A) zur Verfügung. Regie 5 und 6 kann auch für die Kalkulation einer </t>
    </r>
    <r>
      <rPr>
        <b/>
        <sz val="10"/>
        <color theme="0"/>
        <rFont val="Calibri"/>
        <family val="2"/>
        <scheme val="minor"/>
      </rPr>
      <t>Regiepartie</t>
    </r>
    <r>
      <rPr>
        <sz val="10"/>
        <color theme="0"/>
        <rFont val="Calibri"/>
        <family val="2"/>
        <scheme val="minor"/>
      </rPr>
      <t xml:space="preserve"> verwendet werden.
</t>
    </r>
    <r>
      <rPr>
        <b/>
        <sz val="10"/>
        <color theme="0"/>
        <rFont val="Calibri"/>
        <family val="2"/>
        <scheme val="minor"/>
      </rPr>
      <t xml:space="preserve">(2) </t>
    </r>
    <r>
      <rPr>
        <sz val="10"/>
        <color theme="0"/>
        <rFont val="Calibri"/>
        <family val="2"/>
        <scheme val="minor"/>
      </rPr>
      <t xml:space="preserve">Erforderlich ist es zunächst, eine </t>
    </r>
    <r>
      <rPr>
        <b/>
        <sz val="10"/>
        <color theme="0"/>
        <rFont val="Calibri"/>
        <family val="2"/>
        <scheme val="minor"/>
      </rPr>
      <t>Mittelpersonalpreiskalkulation</t>
    </r>
    <r>
      <rPr>
        <sz val="10"/>
        <color theme="0"/>
        <rFont val="Calibri"/>
        <family val="2"/>
        <scheme val="minor"/>
      </rPr>
      <t xml:space="preserve"> zu erstellen und </t>
    </r>
    <r>
      <rPr>
        <b/>
        <sz val="10"/>
        <color theme="0"/>
        <rFont val="Calibri"/>
        <family val="2"/>
        <scheme val="minor"/>
      </rPr>
      <t>danach die Regiekalkulation</t>
    </r>
    <r>
      <rPr>
        <sz val="10"/>
        <color theme="0"/>
        <rFont val="Calibri"/>
        <family val="2"/>
        <scheme val="minor"/>
      </rPr>
      <t xml:space="preserve">. Sie greift auf die in der Mittelpersonalpreiskalkulation ermittelten Werte zurück (die selbstverständlich änderbar sind). 
</t>
    </r>
    <r>
      <rPr>
        <b/>
        <sz val="10"/>
        <color theme="0"/>
        <rFont val="Calibri"/>
        <family val="2"/>
        <scheme val="minor"/>
      </rPr>
      <t xml:space="preserve">(3) </t>
    </r>
    <r>
      <rPr>
        <sz val="10"/>
        <color theme="0"/>
        <rFont val="Calibri"/>
        <family val="2"/>
        <scheme val="minor"/>
      </rPr>
      <t xml:space="preserve">Zulagen und Arbeitszeitzuschläge werden standardmäßig gem den Regelungen der ÖNORM B 2110 nicht übernommen (R4a und R4b). Erfassung von Zulagen und Arbeitszeitzuschlägen ist jedoch mittels eines Hilfsrechners möglich.
</t>
    </r>
    <r>
      <rPr>
        <b/>
        <sz val="10"/>
        <color theme="0"/>
        <rFont val="Calibri"/>
        <family val="2"/>
        <scheme val="minor"/>
      </rPr>
      <t xml:space="preserve">(4) </t>
    </r>
    <r>
      <rPr>
        <sz val="10"/>
        <color theme="0"/>
        <rFont val="Calibri"/>
        <family val="2"/>
        <scheme val="minor"/>
      </rPr>
      <t>Die Rahmenfarben korrespondieren mit den Farben der K3-Blätter.</t>
    </r>
  </si>
  <si>
    <r>
      <t xml:space="preserve">2. Regie mit </t>
    </r>
    <r>
      <rPr>
        <sz val="11"/>
        <color theme="0"/>
        <rFont val="Calibri"/>
        <family val="2"/>
      </rPr>
      <t>Ø-Zuschlag wie K3</t>
    </r>
    <r>
      <rPr>
        <sz val="11"/>
        <color theme="0"/>
        <rFont val="Calibri"/>
        <family val="2"/>
        <scheme val="minor"/>
      </rPr>
      <t xml:space="preserve"> Zeile 8</t>
    </r>
  </si>
  <si>
    <r>
      <t>Regiestd. (</t>
    </r>
    <r>
      <rPr>
        <sz val="11"/>
        <color theme="0"/>
        <rFont val="Calibri"/>
        <family val="2"/>
      </rPr>
      <t>Ø-% wie K3 Z 8)</t>
    </r>
  </si>
  <si>
    <t>MUSTER-BAU-GMBH (Testzugang bis 31.5.24)</t>
  </si>
  <si>
    <t>Ort / Straße</t>
  </si>
  <si>
    <t>045v038K378h271J443o230</t>
  </si>
  <si>
    <t>jfbv</t>
  </si>
  <si>
    <t>IIa.    Vorarbeiter</t>
  </si>
  <si>
    <t>IIb.   Facharbeiter</t>
  </si>
  <si>
    <t>IV.   Bauhilfsarbeiter</t>
  </si>
  <si>
    <t>Abbrucharb. / Staubentwicklung</t>
  </si>
  <si>
    <t>Schmutzzulage Altlasten</t>
  </si>
  <si>
    <t>Taggeld; 3 - 9 Std (§ 9, Z 4, lit a)</t>
  </si>
  <si>
    <t># Beispiek: Leistungsprämie Termin</t>
  </si>
  <si>
    <t>FA in Ü-Stunde</t>
  </si>
  <si>
    <t>MLP Baugewerbe/Bauindustrie</t>
  </si>
  <si>
    <t>Parteie FA &amp; HA</t>
  </si>
  <si>
    <t>IIIb.  Angelernter Bauarbeiter</t>
  </si>
  <si>
    <t xml:space="preserve">Musterprojekt Baugewerbe </t>
  </si>
  <si>
    <t>Bauindustrie_gewerbe_26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</si>
</sst>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1">
    <numFmt numFmtId="5" formatCode="&quot;€&quot;\ #,##0;\-&quot;€&quot;\ #,##0"/>
    <numFmt numFmtId="44" formatCode="_-&quot;€&quot;\ * #,##0.00_-;\-&quot;€&quot;\ * #,##0.00_-;_-&quot;€&quot;\ * &quot;-&quot;??_-;_-@_-"/>
    <numFmt numFmtId="43" formatCode="_-* #,##0.00_-;\-* #,##0.00_-;_-* &quot;-&quot;??_-;_-@_-"/>
    <numFmt numFmtId="164" formatCode="\$#,##0\ ;\(\$#,##0\)"/>
    <numFmt numFmtId="165" formatCode="0.0%"/>
    <numFmt numFmtId="166" formatCode="_-* #,##0.00\ [$€]_-;\-* #,##0.00\ [$€]_-;_-* &quot;-&quot;??\ [$€]_-;_-@_-"/>
    <numFmt numFmtId="167" formatCode="_-[$€-C07]\ * #,##0.00_-;\-[$€-C07]\ * #,##0.00_-;_-[$€-C07]\ * &quot;-&quot;??_-;_-@_-"/>
    <numFmt numFmtId="168" formatCode="_-[$€-C07]\ * #,##0_-;\-[$€-C07]\ * #,##0_-;_-[$€-C07]\ * &quot;-&quot;??_-;_-@_-"/>
    <numFmt numFmtId="169" formatCode="0.0000"/>
    <numFmt numFmtId="170" formatCode="dd\.mm\.yyyy;@"/>
    <numFmt numFmtId="171" formatCode="#,##0.000"/>
    <numFmt numFmtId="172" formatCode="0.00&quot; €/Std&quot;"/>
    <numFmt numFmtId="173" formatCode="0.0&quot; Std/Wo&quot;"/>
    <numFmt numFmtId="174" formatCode="_-[$€-C07]\ * #,##0.000_-;\-[$€-C07]\ * #,##0.000_-;_-[$€-C07]\ * &quot;-&quot;??_-;_-@_-"/>
    <numFmt numFmtId="175" formatCode="_-&quot;€&quot;\ * #,##0.000_-;\-&quot;€&quot;\ * #,##0.000_-;_-&quot;€&quot;\ * &quot;-&quot;??_-;_-@_-"/>
    <numFmt numFmtId="176" formatCode="0.000"/>
    <numFmt numFmtId="177" formatCode="0.000000"/>
    <numFmt numFmtId="178" formatCode="#,##0.0000"/>
    <numFmt numFmtId="179" formatCode="&quot;KZ = &quot;0"/>
    <numFmt numFmtId="180" formatCode="#,##0&quot; Std&quot;"/>
    <numFmt numFmtId="181" formatCode="0&quot; Tage gültig&quot;"/>
    <numFmt numFmtId="182" formatCode="0;\-0;;@"/>
    <numFmt numFmtId="183" formatCode="0.00;\-0.00;;@"/>
    <numFmt numFmtId="184" formatCode="_-* #,##0.00\ [$€-407]_-;\-* #,##0.00\ [$€-407]_-;_-* &quot;-&quot;??\ [$€-407]_-;_-@_-"/>
    <numFmt numFmtId="185" formatCode="0&quot; Tage&quot;"/>
    <numFmt numFmtId="186" formatCode="0.000%"/>
    <numFmt numFmtId="187" formatCode="#,##0.0&quot; d/Wo&quot;"/>
    <numFmt numFmtId="188" formatCode="#,##0.00&quot; Std&quot;"/>
    <numFmt numFmtId="189" formatCode="0.0&quot; Std/Tag&quot;"/>
    <numFmt numFmtId="190" formatCode="#,##0.00&quot; €/Std&quot;"/>
    <numFmt numFmtId="191" formatCode="#,##0.000&quot; €/Min&quot;"/>
    <numFmt numFmtId="192" formatCode="0.00%;\-0.00%;;@"/>
    <numFmt numFmtId="193" formatCode="0.000%;\-0.000%;;@"/>
    <numFmt numFmtId="194" formatCode="0.0"/>
    <numFmt numFmtId="195" formatCode="hh:mm&quot; Uhr&quot;;@"/>
    <numFmt numFmtId="196" formatCode="&quot;Basis: &quot;0.00&quot; €&quot;"/>
    <numFmt numFmtId="197" formatCode="0.00#%"/>
    <numFmt numFmtId="198" formatCode="??0.000%"/>
    <numFmt numFmtId="199" formatCode="0.00000000000"/>
    <numFmt numFmtId="200" formatCode="_-* #,##0.000\ [$€-407]_-;\-* #,##0.000\ [$€-407]_-;_-* &quot;-&quot;??\ [$€-407]_-;_-@_-"/>
    <numFmt numFmtId="201" formatCode="0.0000%"/>
    <numFmt numFmtId="202" formatCode="_-&quot;€&quot;\ * #,##0.00_-;\-&quot;€&quot;\ * #,##0.00_-"/>
    <numFmt numFmtId="203" formatCode="0.0000000000000"/>
    <numFmt numFmtId="204" formatCode="_-[$€-C07]\ * #,##0.00_-;\-[$€-C07]\ * #,##0.00_-;_-[$€-C07]\ * &quot;-&quot;???_-;_-@_-"/>
    <numFmt numFmtId="205" formatCode="0.0&quot; Std/Mo&quot;"/>
    <numFmt numFmtId="206" formatCode="_-[$€-C07]\ * #,##0_-;\-[$€-C07]\ * #,##0_-;_-[$€-C07]\ * &quot;-&quot;_-;_-@_-"/>
    <numFmt numFmtId="207" formatCode="_-&quot;€&quot;\ * #,##0.000_-;\-&quot;€&quot;\ * #,##0.000_-"/>
    <numFmt numFmtId="208" formatCode="_-&quot;€&quot;\ * #,##0_-;\-&quot;€&quot;\ * #,##0_-"/>
    <numFmt numFmtId="209" formatCode="_-[$€-C07]\ * #,##0.000_-;\-[$€-C07]\ * #,##0.000_-;_-[$€-C07]\ * &quot;-&quot;???_-;_-@_-"/>
    <numFmt numFmtId="210" formatCode="&quot;∆ = &quot;\ ##0.00"/>
    <numFmt numFmtId="211" formatCode="\+\ 0.00%"/>
  </numFmts>
  <fonts count="152" x14ac:knownFonts="1">
    <font>
      <sz val="12"/>
      <name val="Arial"/>
    </font>
    <font>
      <sz val="11"/>
      <color theme="1"/>
      <name val="Calibri"/>
      <family val="2"/>
      <scheme val="minor"/>
    </font>
    <font>
      <sz val="11"/>
      <color theme="1"/>
      <name val="Calibri"/>
      <family val="2"/>
      <scheme val="minor"/>
    </font>
    <font>
      <sz val="11"/>
      <color theme="1"/>
      <name val="Calibri"/>
      <family val="2"/>
      <scheme val="minor"/>
    </font>
    <font>
      <b/>
      <sz val="18"/>
      <name val="Arial"/>
      <family val="2"/>
    </font>
    <font>
      <b/>
      <sz val="12"/>
      <name val="Arial"/>
      <family val="2"/>
    </font>
    <font>
      <sz val="10"/>
      <name val="Arial"/>
      <family val="2"/>
    </font>
    <font>
      <sz val="11"/>
      <name val="Arial"/>
      <family val="2"/>
    </font>
    <font>
      <sz val="10"/>
      <name val="Arial"/>
      <family val="2"/>
    </font>
    <font>
      <sz val="12"/>
      <name val="Arial"/>
      <family val="2"/>
    </font>
    <font>
      <b/>
      <sz val="14"/>
      <color theme="1"/>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sz val="10"/>
      <name val="Calibri"/>
      <family val="2"/>
      <scheme val="minor"/>
    </font>
    <font>
      <b/>
      <sz val="10"/>
      <name val="Calibri"/>
      <family val="2"/>
      <scheme val="minor"/>
    </font>
    <font>
      <i/>
      <sz val="10"/>
      <name val="Calibri"/>
      <family val="2"/>
      <scheme val="minor"/>
    </font>
    <font>
      <i/>
      <sz val="10"/>
      <color theme="4"/>
      <name val="Calibri"/>
      <family val="2"/>
      <scheme val="minor"/>
    </font>
    <font>
      <i/>
      <sz val="10"/>
      <color theme="3"/>
      <name val="Calibri"/>
      <family val="2"/>
      <scheme val="minor"/>
    </font>
    <font>
      <sz val="8"/>
      <color theme="1"/>
      <name val="Calibri"/>
      <family val="2"/>
      <scheme val="minor"/>
    </font>
    <font>
      <sz val="12"/>
      <name val="Calibri"/>
      <family val="2"/>
      <scheme val="minor"/>
    </font>
    <font>
      <i/>
      <sz val="9"/>
      <color theme="1"/>
      <name val="Calibri"/>
      <family val="2"/>
      <scheme val="minor"/>
    </font>
    <font>
      <i/>
      <sz val="9"/>
      <name val="Calibri"/>
      <family val="2"/>
      <scheme val="minor"/>
    </font>
    <font>
      <sz val="11"/>
      <name val="Calibri"/>
      <family val="2"/>
      <scheme val="minor"/>
    </font>
    <font>
      <i/>
      <sz val="10"/>
      <color theme="3" tint="0.39997558519241921"/>
      <name val="Calibri"/>
      <family val="2"/>
      <scheme val="minor"/>
    </font>
    <font>
      <b/>
      <sz val="12"/>
      <name val="Calibri"/>
      <family val="2"/>
      <scheme val="minor"/>
    </font>
    <font>
      <sz val="12"/>
      <color rgb="FFFF0000"/>
      <name val="Calibri"/>
      <family val="2"/>
      <scheme val="minor"/>
    </font>
    <font>
      <b/>
      <sz val="11"/>
      <name val="Calibri"/>
      <family val="2"/>
      <scheme val="minor"/>
    </font>
    <font>
      <b/>
      <i/>
      <sz val="10"/>
      <color theme="4"/>
      <name val="Calibri"/>
      <family val="2"/>
      <scheme val="minor"/>
    </font>
    <font>
      <b/>
      <sz val="16"/>
      <name val="Calibri"/>
      <family val="2"/>
      <scheme val="minor"/>
    </font>
    <font>
      <i/>
      <sz val="10"/>
      <color rgb="FF0070C0"/>
      <name val="Calibri"/>
      <family val="2"/>
      <scheme val="minor"/>
    </font>
    <font>
      <b/>
      <i/>
      <sz val="10"/>
      <color rgb="FF0070C0"/>
      <name val="Calibri"/>
      <family val="2"/>
      <scheme val="minor"/>
    </font>
    <font>
      <sz val="12"/>
      <color rgb="FF0070C0"/>
      <name val="Arial"/>
      <family val="2"/>
    </font>
    <font>
      <sz val="10"/>
      <color rgb="FF0070C0"/>
      <name val="Calibri"/>
      <family val="2"/>
      <scheme val="minor"/>
    </font>
    <font>
      <i/>
      <sz val="11"/>
      <name val="Calibri"/>
      <family val="2"/>
      <scheme val="minor"/>
    </font>
    <font>
      <sz val="9"/>
      <name val="Calibri"/>
      <family val="2"/>
    </font>
    <font>
      <sz val="12"/>
      <name val="Arial"/>
      <family val="2"/>
    </font>
    <font>
      <b/>
      <sz val="11"/>
      <color theme="1"/>
      <name val="Calibri"/>
      <family val="2"/>
      <scheme val="minor"/>
    </font>
    <font>
      <vertAlign val="superscript"/>
      <sz val="10"/>
      <name val="Calibri"/>
      <family val="2"/>
      <scheme val="minor"/>
    </font>
    <font>
      <sz val="11"/>
      <name val="Calibri"/>
      <family val="2"/>
    </font>
    <font>
      <sz val="11"/>
      <color rgb="FFFF0000"/>
      <name val="Calibri"/>
      <family val="2"/>
      <scheme val="minor"/>
    </font>
    <font>
      <sz val="11"/>
      <color theme="1" tint="0.499984740745262"/>
      <name val="Calibri"/>
      <family val="2"/>
      <scheme val="minor"/>
    </font>
    <font>
      <i/>
      <sz val="11"/>
      <color rgb="FFFF0000"/>
      <name val="Calibri"/>
      <family val="2"/>
      <scheme val="minor"/>
    </font>
    <font>
      <b/>
      <sz val="10"/>
      <color rgb="FFFF0000"/>
      <name val="Calibri"/>
      <family val="2"/>
      <scheme val="minor"/>
    </font>
    <font>
      <b/>
      <i/>
      <sz val="11"/>
      <color rgb="FFFF0000"/>
      <name val="Calibri"/>
      <family val="2"/>
      <scheme val="minor"/>
    </font>
    <font>
      <i/>
      <sz val="10"/>
      <color theme="4" tint="-0.249977111117893"/>
      <name val="Calibri"/>
      <family val="2"/>
      <scheme val="minor"/>
    </font>
    <font>
      <b/>
      <i/>
      <sz val="10"/>
      <color theme="4" tint="-0.249977111117893"/>
      <name val="Calibri"/>
      <family val="2"/>
      <scheme val="minor"/>
    </font>
    <font>
      <sz val="10"/>
      <color theme="4" tint="-0.249977111117893"/>
      <name val="Calibri"/>
      <family val="2"/>
      <scheme val="minor"/>
    </font>
    <font>
      <sz val="12"/>
      <color theme="4" tint="-0.249977111117893"/>
      <name val="Arial"/>
      <family val="2"/>
    </font>
    <font>
      <b/>
      <i/>
      <sz val="10"/>
      <name val="Calibri"/>
      <family val="2"/>
      <scheme val="minor"/>
    </font>
    <font>
      <b/>
      <sz val="11"/>
      <name val="Calibri"/>
      <family val="2"/>
    </font>
    <font>
      <i/>
      <sz val="10"/>
      <name val="Calibri"/>
      <family val="2"/>
    </font>
    <font>
      <sz val="9"/>
      <name val="Calibri"/>
      <family val="2"/>
      <scheme val="minor"/>
    </font>
    <font>
      <sz val="11"/>
      <color theme="0" tint="-0.499984740745262"/>
      <name val="Calibri"/>
      <family val="2"/>
      <scheme val="minor"/>
    </font>
    <font>
      <sz val="10"/>
      <color theme="1"/>
      <name val="Calibri"/>
      <family val="2"/>
    </font>
    <font>
      <u/>
      <sz val="12"/>
      <color theme="10"/>
      <name val="Arial"/>
      <family val="2"/>
    </font>
    <font>
      <u/>
      <sz val="11"/>
      <color theme="10"/>
      <name val="Calibri"/>
      <family val="2"/>
      <scheme val="minor"/>
    </font>
    <font>
      <sz val="9"/>
      <color theme="1"/>
      <name val="Calibri"/>
      <family val="2"/>
      <scheme val="minor"/>
    </font>
    <font>
      <sz val="12"/>
      <color theme="1"/>
      <name val="Calibri"/>
      <family val="2"/>
      <scheme val="minor"/>
    </font>
    <font>
      <b/>
      <vertAlign val="superscript"/>
      <sz val="10"/>
      <name val="Calibri"/>
      <family val="2"/>
      <scheme val="minor"/>
    </font>
    <font>
      <b/>
      <sz val="9"/>
      <color theme="1"/>
      <name val="Calibri"/>
      <family val="2"/>
      <scheme val="minor"/>
    </font>
    <font>
      <b/>
      <sz val="14"/>
      <color rgb="FFFF0000"/>
      <name val="Calibri"/>
      <family val="2"/>
      <scheme val="minor"/>
    </font>
    <font>
      <b/>
      <sz val="12"/>
      <color rgb="FFFF0000"/>
      <name val="Calibri"/>
      <family val="2"/>
      <scheme val="minor"/>
    </font>
    <font>
      <i/>
      <sz val="9"/>
      <color theme="4" tint="-0.249977111117893"/>
      <name val="Calibri"/>
      <family val="2"/>
      <scheme val="minor"/>
    </font>
    <font>
      <sz val="11"/>
      <color theme="0"/>
      <name val="Calibri"/>
      <family val="2"/>
      <scheme val="minor"/>
    </font>
    <font>
      <b/>
      <sz val="16"/>
      <color rgb="FFFF0000"/>
      <name val="Calibri"/>
      <family val="2"/>
      <scheme val="minor"/>
    </font>
    <font>
      <i/>
      <sz val="11"/>
      <color theme="0"/>
      <name val="Calibri"/>
      <family val="2"/>
      <scheme val="minor"/>
    </font>
    <font>
      <b/>
      <sz val="14"/>
      <name val="Calibri"/>
      <family val="2"/>
      <scheme val="minor"/>
    </font>
    <font>
      <sz val="9"/>
      <color indexed="81"/>
      <name val="Segoe UI"/>
      <family val="2"/>
    </font>
    <font>
      <sz val="8"/>
      <color indexed="81"/>
      <name val="Segoe UI"/>
      <family val="2"/>
    </font>
    <font>
      <sz val="12"/>
      <color theme="0"/>
      <name val="Calibri"/>
      <family val="2"/>
      <scheme val="minor"/>
    </font>
    <font>
      <b/>
      <i/>
      <sz val="11"/>
      <name val="Calibri"/>
      <family val="2"/>
      <scheme val="minor"/>
    </font>
    <font>
      <b/>
      <i/>
      <sz val="12"/>
      <name val="Calibri"/>
      <family val="2"/>
      <scheme val="minor"/>
    </font>
    <font>
      <b/>
      <sz val="12"/>
      <color rgb="FFC00000"/>
      <name val="Calibri"/>
      <family val="2"/>
      <scheme val="minor"/>
    </font>
    <font>
      <i/>
      <sz val="12"/>
      <name val="Calibri"/>
      <family val="2"/>
      <scheme val="minor"/>
    </font>
    <font>
      <i/>
      <sz val="8"/>
      <color rgb="FF0070C0"/>
      <name val="Calibri"/>
      <family val="2"/>
      <scheme val="minor"/>
    </font>
    <font>
      <b/>
      <sz val="10"/>
      <color theme="0"/>
      <name val="Calibri"/>
      <family val="2"/>
      <scheme val="minor"/>
    </font>
    <font>
      <sz val="12"/>
      <color theme="3" tint="-0.249977111117893"/>
      <name val="Calibri"/>
      <family val="2"/>
      <scheme val="minor"/>
    </font>
    <font>
      <sz val="8"/>
      <name val="Calibri"/>
      <family val="2"/>
      <scheme val="minor"/>
    </font>
    <font>
      <b/>
      <sz val="9"/>
      <name val="Calibri"/>
      <family val="2"/>
      <scheme val="minor"/>
    </font>
    <font>
      <sz val="10"/>
      <color indexed="81"/>
      <name val="Calibri"/>
      <family val="2"/>
      <scheme val="minor"/>
    </font>
    <font>
      <vertAlign val="superscript"/>
      <sz val="9"/>
      <name val="Calibri"/>
      <family val="2"/>
      <scheme val="minor"/>
    </font>
    <font>
      <b/>
      <sz val="18"/>
      <name val="Calibri"/>
      <family val="2"/>
      <scheme val="minor"/>
    </font>
    <font>
      <u/>
      <sz val="10"/>
      <color theme="10"/>
      <name val="Calibri"/>
      <family val="2"/>
      <scheme val="minor"/>
    </font>
    <font>
      <u/>
      <sz val="8"/>
      <color theme="10"/>
      <name val="Arial"/>
      <family val="2"/>
    </font>
    <font>
      <b/>
      <sz val="9"/>
      <color rgb="FFFF0000"/>
      <name val="Calibri"/>
      <family val="2"/>
      <scheme val="minor"/>
    </font>
    <font>
      <i/>
      <sz val="8"/>
      <name val="Calibri"/>
      <family val="2"/>
      <scheme val="minor"/>
    </font>
    <font>
      <i/>
      <sz val="8"/>
      <color theme="0"/>
      <name val="Calibri"/>
      <family val="2"/>
      <scheme val="minor"/>
    </font>
    <font>
      <i/>
      <sz val="9"/>
      <color theme="2" tint="-0.749992370372631"/>
      <name val="Calibri"/>
      <family val="2"/>
      <scheme val="minor"/>
    </font>
    <font>
      <b/>
      <i/>
      <sz val="10"/>
      <color theme="0" tint="-0.499984740745262"/>
      <name val="Calibri"/>
      <family val="2"/>
      <scheme val="minor"/>
    </font>
    <font>
      <sz val="9"/>
      <color theme="0"/>
      <name val="Calibri"/>
      <family val="2"/>
      <scheme val="minor"/>
    </font>
    <font>
      <i/>
      <sz val="9"/>
      <color theme="0"/>
      <name val="Calibri"/>
      <family val="2"/>
      <scheme val="minor"/>
    </font>
    <font>
      <sz val="12"/>
      <color theme="2" tint="-0.749992370372631"/>
      <name val="Calibri"/>
      <family val="2"/>
      <scheme val="minor"/>
    </font>
    <font>
      <b/>
      <sz val="11"/>
      <color theme="2" tint="-0.749992370372631"/>
      <name val="Calibri"/>
      <family val="2"/>
      <scheme val="minor"/>
    </font>
    <font>
      <i/>
      <sz val="10"/>
      <color theme="3" tint="-0.249977111117893"/>
      <name val="Calibri"/>
      <family val="2"/>
      <scheme val="minor"/>
    </font>
    <font>
      <b/>
      <sz val="14"/>
      <color theme="0"/>
      <name val="Calibri"/>
      <family val="2"/>
      <scheme val="minor"/>
    </font>
    <font>
      <b/>
      <sz val="11"/>
      <color theme="0"/>
      <name val="Calibri"/>
      <family val="2"/>
      <scheme val="minor"/>
    </font>
    <font>
      <sz val="14"/>
      <color theme="1"/>
      <name val="Calibri"/>
      <family val="2"/>
      <scheme val="minor"/>
    </font>
    <font>
      <b/>
      <u/>
      <sz val="11"/>
      <name val="Calibri"/>
      <family val="2"/>
      <scheme val="minor"/>
    </font>
    <font>
      <sz val="10"/>
      <color theme="1" tint="0.34998626667073579"/>
      <name val="Calibri"/>
      <family val="2"/>
      <scheme val="minor"/>
    </font>
    <font>
      <sz val="10"/>
      <color theme="1" tint="0.249977111117893"/>
      <name val="Calibri"/>
      <family val="2"/>
      <scheme val="minor"/>
    </font>
    <font>
      <b/>
      <sz val="16"/>
      <color rgb="FFFFFF00"/>
      <name val="Calibri"/>
      <family val="2"/>
      <scheme val="minor"/>
    </font>
    <font>
      <sz val="11"/>
      <color rgb="FFFFFF00"/>
      <name val="Calibri"/>
      <family val="2"/>
      <scheme val="minor"/>
    </font>
    <font>
      <i/>
      <sz val="11"/>
      <color rgb="FFFFFF00"/>
      <name val="Calibri"/>
      <family val="2"/>
      <scheme val="minor"/>
    </font>
    <font>
      <sz val="11"/>
      <color theme="1" tint="0.34998626667073579"/>
      <name val="Calibri"/>
      <family val="2"/>
      <scheme val="minor"/>
    </font>
    <font>
      <b/>
      <sz val="11"/>
      <color rgb="FFFF0000"/>
      <name val="Calibri"/>
      <family val="2"/>
      <scheme val="minor"/>
    </font>
    <font>
      <b/>
      <sz val="11"/>
      <color theme="1" tint="0.34998626667073579"/>
      <name val="Calibri"/>
      <family val="2"/>
      <scheme val="minor"/>
    </font>
    <font>
      <i/>
      <sz val="10"/>
      <color theme="0"/>
      <name val="Calibri"/>
      <family val="2"/>
      <scheme val="minor"/>
    </font>
    <font>
      <sz val="10"/>
      <name val="Calibri"/>
      <family val="2"/>
    </font>
    <font>
      <b/>
      <sz val="18"/>
      <color theme="1"/>
      <name val="Calibri"/>
      <family val="2"/>
      <scheme val="minor"/>
    </font>
    <font>
      <sz val="12"/>
      <name val="Calibri"/>
      <family val="2"/>
    </font>
    <font>
      <b/>
      <sz val="11"/>
      <color theme="1" tint="0.34998626667073579"/>
      <name val="Calibri"/>
      <family val="2"/>
    </font>
    <font>
      <b/>
      <i/>
      <sz val="8"/>
      <color rgb="FF0070C0"/>
      <name val="Calibri"/>
      <family val="2"/>
      <scheme val="minor"/>
    </font>
    <font>
      <sz val="9"/>
      <color rgb="FFFF0000"/>
      <name val="Calibri"/>
      <family val="2"/>
      <scheme val="minor"/>
    </font>
    <font>
      <b/>
      <i/>
      <sz val="11"/>
      <color theme="1" tint="0.34998626667073579"/>
      <name val="Calibri"/>
      <family val="2"/>
      <scheme val="minor"/>
    </font>
    <font>
      <i/>
      <sz val="11"/>
      <color theme="1" tint="0.34998626667073579"/>
      <name val="Calibri"/>
      <family val="2"/>
      <scheme val="minor"/>
    </font>
    <font>
      <b/>
      <sz val="12"/>
      <color theme="1"/>
      <name val="Calibri"/>
      <family val="2"/>
      <scheme val="minor"/>
    </font>
    <font>
      <i/>
      <sz val="8"/>
      <color theme="1"/>
      <name val="Calibri"/>
      <family val="2"/>
      <scheme val="minor"/>
    </font>
    <font>
      <sz val="9"/>
      <name val="Arial"/>
      <family val="2"/>
    </font>
    <font>
      <b/>
      <i/>
      <sz val="8"/>
      <color rgb="FF00B050"/>
      <name val="Calibri"/>
      <family val="2"/>
      <scheme val="minor"/>
    </font>
    <font>
      <b/>
      <i/>
      <sz val="9"/>
      <name val="Calibri"/>
      <family val="2"/>
      <scheme val="minor"/>
    </font>
    <font>
      <b/>
      <sz val="14"/>
      <name val="Calibri"/>
      <family val="2"/>
    </font>
    <font>
      <i/>
      <sz val="10"/>
      <color theme="1" tint="0.34998626667073579"/>
      <name val="Calibri"/>
      <family val="2"/>
      <scheme val="minor"/>
    </font>
    <font>
      <b/>
      <i/>
      <sz val="10"/>
      <color theme="1"/>
      <name val="Calibri"/>
      <family val="2"/>
      <scheme val="minor"/>
    </font>
    <font>
      <i/>
      <sz val="9"/>
      <color rgb="FF0070C0"/>
      <name val="Calibri"/>
      <family val="2"/>
      <scheme val="minor"/>
    </font>
    <font>
      <b/>
      <sz val="9"/>
      <color indexed="81"/>
      <name val="Segoe UI"/>
      <family val="2"/>
    </font>
    <font>
      <b/>
      <sz val="10"/>
      <color theme="1" tint="0.34998626667073579"/>
      <name val="Calibri"/>
      <family val="2"/>
      <scheme val="minor"/>
    </font>
    <font>
      <b/>
      <sz val="10"/>
      <color indexed="8"/>
      <name val="Calibri"/>
      <family val="2"/>
      <scheme val="minor"/>
    </font>
    <font>
      <i/>
      <sz val="10"/>
      <color theme="1" tint="0.34998626667073579"/>
      <name val="Calibri"/>
      <family val="2"/>
    </font>
    <font>
      <sz val="10"/>
      <color theme="4" tint="0.39997558519241921"/>
      <name val="Calibri"/>
      <family val="2"/>
      <scheme val="minor"/>
    </font>
    <font>
      <b/>
      <sz val="10"/>
      <color theme="4" tint="0.39997558519241921"/>
      <name val="Calibri"/>
      <family val="2"/>
    </font>
    <font>
      <b/>
      <sz val="10"/>
      <color theme="4" tint="0.39997558519241921"/>
      <name val="Calibri"/>
      <family val="2"/>
      <scheme val="minor"/>
    </font>
    <font>
      <sz val="10"/>
      <color theme="1" tint="0.34998626667073579"/>
      <name val="Arial Narrow"/>
      <family val="2"/>
    </font>
    <font>
      <sz val="11"/>
      <color theme="1" tint="0.249977111117893"/>
      <name val="Calibri"/>
      <family val="2"/>
      <scheme val="minor"/>
    </font>
    <font>
      <b/>
      <i/>
      <sz val="10"/>
      <color theme="0"/>
      <name val="Calibri"/>
      <family val="2"/>
      <scheme val="minor"/>
    </font>
    <font>
      <sz val="10"/>
      <color theme="3" tint="0.59999389629810485"/>
      <name val="Calibri"/>
      <family val="2"/>
      <scheme val="minor"/>
    </font>
    <font>
      <b/>
      <sz val="12"/>
      <color theme="2" tint="-0.749992370372631"/>
      <name val="Calibri"/>
      <family val="2"/>
      <scheme val="minor"/>
    </font>
    <font>
      <b/>
      <sz val="12"/>
      <color theme="0"/>
      <name val="Calibri"/>
      <family val="2"/>
      <scheme val="minor"/>
    </font>
    <font>
      <i/>
      <sz val="12"/>
      <color theme="0"/>
      <name val="Calibri"/>
      <family val="2"/>
      <scheme val="minor"/>
    </font>
    <font>
      <b/>
      <sz val="11"/>
      <color rgb="FFFF0000"/>
      <name val="Calibri"/>
      <family val="2"/>
    </font>
    <font>
      <sz val="10"/>
      <color theme="0"/>
      <name val="Calibri"/>
      <family val="2"/>
      <scheme val="minor"/>
    </font>
    <font>
      <sz val="12"/>
      <color theme="0"/>
      <name val="Arial"/>
      <family val="2"/>
    </font>
    <font>
      <sz val="12"/>
      <color theme="0"/>
      <name val="Calibri"/>
      <family val="2"/>
    </font>
    <font>
      <sz val="11"/>
      <color theme="3" tint="-0.249977111117893"/>
      <name val="Calibri"/>
      <family val="2"/>
      <scheme val="minor"/>
    </font>
    <font>
      <b/>
      <sz val="11"/>
      <color theme="3" tint="-0.249977111117893"/>
      <name val="Calibri"/>
      <family val="2"/>
      <scheme val="minor"/>
    </font>
    <font>
      <b/>
      <sz val="12"/>
      <color theme="0"/>
      <name val="Arial"/>
      <family val="2"/>
    </font>
    <font>
      <b/>
      <sz val="8"/>
      <name val="Calibri"/>
      <family val="2"/>
      <scheme val="minor"/>
    </font>
    <font>
      <sz val="10"/>
      <color theme="3" tint="0.39997558519241921"/>
      <name val="Calibri"/>
      <family val="2"/>
      <scheme val="minor"/>
    </font>
    <font>
      <sz val="11"/>
      <color theme="0"/>
      <name val="Calibri"/>
      <family val="2"/>
    </font>
    <font>
      <sz val="12.65"/>
      <color theme="0"/>
      <name val="Calibri"/>
      <family val="2"/>
    </font>
    <font>
      <b/>
      <sz val="9"/>
      <color theme="0"/>
      <name val="Calibri"/>
      <family val="2"/>
      <scheme val="minor"/>
    </font>
    <font>
      <u/>
      <sz val="11"/>
      <color theme="0"/>
      <name val="Calibri"/>
      <family val="2"/>
      <scheme val="minor"/>
    </font>
  </fonts>
  <fills count="40">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
      <patternFill patternType="darkUp">
        <fgColor theme="0" tint="-0.499984740745262"/>
        <bgColor indexed="65"/>
      </patternFill>
    </fill>
    <fill>
      <patternFill patternType="solid">
        <fgColor theme="6" tint="0.39997558519241921"/>
        <bgColor indexed="64"/>
      </patternFill>
    </fill>
    <fill>
      <patternFill patternType="darkUp">
        <fgColor theme="0" tint="-0.24994659260841701"/>
        <bgColor indexed="65"/>
      </patternFill>
    </fill>
    <fill>
      <patternFill patternType="solid">
        <fgColor rgb="FF00B0F0"/>
        <bgColor indexed="64"/>
      </patternFill>
    </fill>
    <fill>
      <patternFill patternType="lightUp">
        <fgColor theme="0" tint="-0.34998626667073579"/>
        <bgColor indexed="65"/>
      </patternFill>
    </fill>
    <fill>
      <patternFill patternType="darkUp">
        <fgColor theme="0" tint="-0.499984740745262"/>
        <bgColor theme="0" tint="-0.24994659260841701"/>
      </patternFill>
    </fill>
    <fill>
      <patternFill patternType="solid">
        <fgColor indexed="65"/>
        <bgColor theme="0"/>
      </patternFill>
    </fill>
    <fill>
      <patternFill patternType="solid">
        <fgColor indexed="65"/>
        <bgColor theme="0" tint="-0.24994659260841701"/>
      </patternFill>
    </fill>
    <fill>
      <patternFill patternType="solid">
        <fgColor theme="0" tint="-0.34998626667073579"/>
        <bgColor indexed="64"/>
      </patternFill>
    </fill>
    <fill>
      <patternFill patternType="solid">
        <fgColor rgb="FF92D050"/>
        <bgColor indexed="64"/>
      </patternFill>
    </fill>
    <fill>
      <patternFill patternType="solid">
        <fgColor rgb="FFEF9A8F"/>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0"/>
        <bgColor indexed="64"/>
      </patternFill>
    </fill>
    <fill>
      <patternFill patternType="solid">
        <fgColor rgb="FFFFFF00"/>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rgb="FFFF0000"/>
        <bgColor indexed="64"/>
      </patternFill>
    </fill>
    <fill>
      <patternFill patternType="solid">
        <fgColor rgb="FFFFFF99"/>
        <bgColor indexed="64"/>
      </patternFill>
    </fill>
    <fill>
      <patternFill patternType="solid">
        <fgColor rgb="FFFFDC50"/>
        <bgColor indexed="64"/>
      </patternFill>
    </fill>
    <fill>
      <patternFill patternType="lightUp">
        <fgColor theme="0" tint="-0.24994659260841701"/>
        <bgColor rgb="FFFFFF99"/>
      </patternFill>
    </fill>
    <fill>
      <patternFill patternType="solid">
        <fgColor rgb="FFFFFF66"/>
        <bgColor indexed="64"/>
      </patternFill>
    </fill>
    <fill>
      <patternFill patternType="solid">
        <fgColor rgb="FFFFCC66"/>
        <bgColor indexed="64"/>
      </patternFill>
    </fill>
    <fill>
      <patternFill patternType="solid">
        <fgColor theme="2" tint="-0.499984740745262"/>
        <bgColor indexed="64"/>
      </patternFill>
    </fill>
    <fill>
      <patternFill patternType="solid">
        <fgColor rgb="FF808080"/>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rgb="FF00B050"/>
        <bgColor indexed="64"/>
      </patternFill>
    </fill>
    <fill>
      <patternFill patternType="solid">
        <fgColor theme="5" tint="0.79998168889431442"/>
        <bgColor indexed="64"/>
      </patternFill>
    </fill>
  </fills>
  <borders count="95">
    <border>
      <left/>
      <right/>
      <top/>
      <bottom/>
      <diagonal/>
    </border>
    <border>
      <left/>
      <right/>
      <top style="double">
        <color indexed="64"/>
      </top>
      <bottom/>
      <diagonal/>
    </border>
    <border>
      <left/>
      <right/>
      <top style="thin">
        <color indexed="64"/>
      </top>
      <bottom style="double">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rgb="FFC00000"/>
      </left>
      <right/>
      <top/>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style="thin">
        <color rgb="FFC00000"/>
      </left>
      <right/>
      <top style="thin">
        <color rgb="FFC00000"/>
      </top>
      <bottom style="thin">
        <color rgb="FFC00000"/>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thin">
        <color rgb="FFFFC000"/>
      </top>
      <bottom style="thin">
        <color indexed="64"/>
      </bottom>
      <diagonal/>
    </border>
    <border>
      <left/>
      <right style="thin">
        <color indexed="64"/>
      </right>
      <top style="thin">
        <color rgb="FFFFC000"/>
      </top>
      <bottom style="thin">
        <color indexed="64"/>
      </bottom>
      <diagonal/>
    </border>
    <border>
      <left style="medium">
        <color indexed="64"/>
      </left>
      <right/>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thin">
        <color indexed="64"/>
      </top>
      <bottom style="medium">
        <color indexed="64"/>
      </bottom>
      <diagonal/>
    </border>
  </borders>
  <cellStyleXfs count="25">
    <xf numFmtId="0" fontId="0" fillId="0" borderId="0"/>
    <xf numFmtId="0" fontId="9" fillId="0" borderId="0" applyProtection="0"/>
    <xf numFmtId="166" fontId="8" fillId="0" borderId="0" applyFont="0" applyFill="0" applyBorder="0" applyAlignment="0" applyProtection="0"/>
    <xf numFmtId="2" fontId="9" fillId="0" borderId="0" applyProtection="0"/>
    <xf numFmtId="0" fontId="6" fillId="0" borderId="1" applyNumberFormat="0" applyFont="0" applyFill="0" applyAlignment="0" applyProtection="0"/>
    <xf numFmtId="4" fontId="9" fillId="0" borderId="0" applyProtection="0"/>
    <xf numFmtId="3" fontId="6" fillId="0" borderId="0" applyFont="0" applyFill="0" applyBorder="0" applyAlignment="0" applyProtection="0"/>
    <xf numFmtId="0" fontId="9" fillId="0" borderId="0" applyNumberFormat="0" applyFont="0" applyFill="0" applyBorder="0" applyAlignment="0" applyProtection="0"/>
    <xf numFmtId="0" fontId="5" fillId="0" borderId="0" applyProtection="0"/>
    <xf numFmtId="10" fontId="9" fillId="0" borderId="0" applyProtection="0"/>
    <xf numFmtId="0" fontId="8" fillId="0" borderId="0"/>
    <xf numFmtId="0" fontId="9" fillId="0" borderId="2" applyProtection="0"/>
    <xf numFmtId="164" fontId="6"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44" fontId="36"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xf numFmtId="0" fontId="55" fillId="0" borderId="0" applyNumberFormat="0" applyFill="0" applyBorder="0" applyAlignment="0" applyProtection="0"/>
    <xf numFmtId="0" fontId="9" fillId="0" borderId="0"/>
    <xf numFmtId="0" fontId="2" fillId="0" borderId="0"/>
    <xf numFmtId="10" fontId="9" fillId="0" borderId="0" applyProtection="0"/>
    <xf numFmtId="0" fontId="56" fillId="0" borderId="0" applyNumberFormat="0" applyFill="0" applyBorder="0" applyAlignment="0" applyProtection="0"/>
  </cellStyleXfs>
  <cellXfs count="3663">
    <xf numFmtId="0" fontId="0" fillId="0" borderId="0" xfId="0"/>
    <xf numFmtId="0" fontId="12" fillId="0" borderId="0" xfId="0" applyFont="1" applyAlignment="1">
      <alignment vertical="center"/>
    </xf>
    <xf numFmtId="0" fontId="12" fillId="0" borderId="17" xfId="0" applyFont="1" applyBorder="1" applyAlignment="1">
      <alignment vertical="center"/>
    </xf>
    <xf numFmtId="0" fontId="16" fillId="0" borderId="0" xfId="0" applyFont="1" applyAlignment="1">
      <alignment vertical="center"/>
    </xf>
    <xf numFmtId="0" fontId="14" fillId="0" borderId="0" xfId="0" applyFont="1" applyAlignment="1">
      <alignment vertical="center"/>
    </xf>
    <xf numFmtId="0" fontId="13" fillId="0" borderId="0" xfId="0" applyFont="1" applyAlignment="1">
      <alignment vertical="center"/>
    </xf>
    <xf numFmtId="0" fontId="19" fillId="0" borderId="26" xfId="0" applyFont="1" applyBorder="1" applyAlignment="1">
      <alignment horizontal="center" vertical="center"/>
    </xf>
    <xf numFmtId="0" fontId="20" fillId="0" borderId="0" xfId="0" applyFont="1"/>
    <xf numFmtId="0" fontId="20" fillId="0" borderId="18" xfId="0" applyFont="1" applyBorder="1"/>
    <xf numFmtId="0" fontId="20" fillId="0" borderId="19" xfId="0" applyFont="1" applyBorder="1"/>
    <xf numFmtId="0" fontId="20" fillId="0" borderId="22" xfId="0" applyFont="1" applyBorder="1"/>
    <xf numFmtId="167" fontId="20" fillId="0" borderId="27" xfId="0" applyNumberFormat="1" applyFont="1" applyBorder="1"/>
    <xf numFmtId="0" fontId="12" fillId="0" borderId="26" xfId="0" applyFont="1" applyBorder="1" applyAlignment="1">
      <alignment horizontal="center"/>
    </xf>
    <xf numFmtId="0" fontId="12" fillId="0" borderId="22" xfId="0" applyFont="1" applyBorder="1" applyAlignment="1">
      <alignment vertical="center"/>
    </xf>
    <xf numFmtId="0" fontId="12" fillId="0" borderId="32" xfId="0" applyFont="1" applyBorder="1" applyAlignment="1">
      <alignment vertical="center"/>
    </xf>
    <xf numFmtId="0" fontId="12" fillId="0" borderId="0" xfId="0" applyFont="1"/>
    <xf numFmtId="1" fontId="12" fillId="0" borderId="26" xfId="0" applyNumberFormat="1" applyFont="1" applyBorder="1" applyAlignment="1">
      <alignment horizontal="center" vertical="center"/>
    </xf>
    <xf numFmtId="10" fontId="12" fillId="0" borderId="26" xfId="9" applyFont="1" applyBorder="1" applyAlignment="1">
      <alignment horizontal="center" vertical="center"/>
    </xf>
    <xf numFmtId="0" fontId="13" fillId="0" borderId="26" xfId="0" applyFont="1" applyBorder="1" applyAlignment="1">
      <alignment horizontal="center" vertical="center"/>
    </xf>
    <xf numFmtId="1" fontId="12" fillId="0" borderId="28" xfId="0" applyNumberFormat="1" applyFont="1" applyBorder="1" applyAlignment="1">
      <alignment horizontal="center" vertical="center"/>
    </xf>
    <xf numFmtId="10" fontId="12" fillId="0" borderId="28" xfId="9" applyFont="1" applyBorder="1" applyAlignment="1">
      <alignment horizontal="center" vertical="center"/>
    </xf>
    <xf numFmtId="167" fontId="28" fillId="0" borderId="0" xfId="0" applyNumberFormat="1" applyFont="1" applyAlignment="1">
      <alignment vertical="center"/>
    </xf>
    <xf numFmtId="167" fontId="28" fillId="0" borderId="0" xfId="0" applyNumberFormat="1" applyFont="1" applyAlignment="1">
      <alignment horizontal="center" vertical="center"/>
    </xf>
    <xf numFmtId="0" fontId="13" fillId="0" borderId="17" xfId="0" applyFont="1" applyBorder="1" applyAlignment="1">
      <alignment vertical="center"/>
    </xf>
    <xf numFmtId="0" fontId="10" fillId="0" borderId="26" xfId="0" applyFont="1" applyBorder="1"/>
    <xf numFmtId="0" fontId="32" fillId="0" borderId="0" xfId="0" applyFont="1"/>
    <xf numFmtId="167" fontId="31" fillId="0" borderId="0" xfId="0" applyNumberFormat="1" applyFont="1" applyAlignment="1">
      <alignment horizontal="center" vertical="center"/>
    </xf>
    <xf numFmtId="167" fontId="31" fillId="0" borderId="14" xfId="0" applyNumberFormat="1" applyFont="1" applyBorder="1" applyAlignment="1">
      <alignment vertical="center"/>
    </xf>
    <xf numFmtId="4" fontId="24" fillId="0" borderId="23" xfId="5" applyFont="1" applyBorder="1" applyAlignment="1">
      <alignment vertical="center"/>
    </xf>
    <xf numFmtId="0" fontId="19" fillId="0" borderId="18" xfId="0" applyFont="1" applyBorder="1" applyAlignment="1">
      <alignment horizontal="center" vertical="center"/>
    </xf>
    <xf numFmtId="165" fontId="30" fillId="0" borderId="13" xfId="5" applyNumberFormat="1" applyFont="1" applyBorder="1" applyAlignment="1">
      <alignment vertical="center"/>
    </xf>
    <xf numFmtId="0" fontId="10" fillId="0" borderId="18" xfId="0" applyFont="1" applyBorder="1" applyAlignment="1">
      <alignment horizontal="center"/>
    </xf>
    <xf numFmtId="0" fontId="0" fillId="0" borderId="0" xfId="0" applyAlignment="1">
      <alignment horizontal="center"/>
    </xf>
    <xf numFmtId="165" fontId="30" fillId="7" borderId="13" xfId="5" applyNumberFormat="1" applyFont="1" applyFill="1" applyBorder="1" applyAlignment="1">
      <alignment vertical="center"/>
    </xf>
    <xf numFmtId="9" fontId="30" fillId="7" borderId="13" xfId="9" applyNumberFormat="1" applyFont="1" applyFill="1" applyBorder="1" applyAlignment="1">
      <alignment vertical="center"/>
    </xf>
    <xf numFmtId="4" fontId="30" fillId="7" borderId="27" xfId="5" applyFont="1" applyFill="1" applyBorder="1" applyAlignment="1">
      <alignment vertical="center"/>
    </xf>
    <xf numFmtId="0" fontId="24" fillId="7" borderId="13" xfId="0" applyFont="1" applyFill="1" applyBorder="1" applyAlignment="1">
      <alignment vertical="center"/>
    </xf>
    <xf numFmtId="0" fontId="24" fillId="7" borderId="27" xfId="0" applyFont="1" applyFill="1" applyBorder="1" applyAlignment="1">
      <alignment vertical="center"/>
    </xf>
    <xf numFmtId="165" fontId="30" fillId="7" borderId="25" xfId="5" applyNumberFormat="1" applyFont="1" applyFill="1" applyBorder="1" applyAlignment="1">
      <alignment vertical="center"/>
    </xf>
    <xf numFmtId="0" fontId="24" fillId="7" borderId="25" xfId="0" applyFont="1" applyFill="1" applyBorder="1" applyAlignment="1">
      <alignment vertical="center"/>
    </xf>
    <xf numFmtId="0" fontId="24" fillId="7" borderId="40" xfId="0" applyFont="1" applyFill="1" applyBorder="1" applyAlignment="1">
      <alignment vertical="center"/>
    </xf>
    <xf numFmtId="167" fontId="20" fillId="0" borderId="28" xfId="0" applyNumberFormat="1" applyFont="1" applyBorder="1"/>
    <xf numFmtId="0" fontId="23" fillId="0" borderId="0" xfId="0" applyFont="1"/>
    <xf numFmtId="0" fontId="21" fillId="0" borderId="27" xfId="0" applyFont="1" applyBorder="1" applyAlignment="1">
      <alignment horizontal="center" vertical="center"/>
    </xf>
    <xf numFmtId="0" fontId="21" fillId="0" borderId="28" xfId="0" applyFont="1" applyBorder="1" applyAlignment="1">
      <alignment horizontal="center" vertical="center"/>
    </xf>
    <xf numFmtId="0" fontId="23" fillId="0" borderId="13" xfId="0" applyFont="1" applyBorder="1"/>
    <xf numFmtId="0" fontId="23" fillId="0" borderId="21" xfId="0" applyFont="1" applyBorder="1"/>
    <xf numFmtId="0" fontId="23" fillId="0" borderId="17" xfId="0" applyFont="1" applyBorder="1"/>
    <xf numFmtId="167" fontId="23" fillId="0" borderId="26" xfId="0" applyNumberFormat="1" applyFont="1" applyBorder="1" applyAlignment="1">
      <alignment vertical="center"/>
    </xf>
    <xf numFmtId="2" fontId="23" fillId="0" borderId="28" xfId="0" applyNumberFormat="1" applyFont="1" applyBorder="1" applyAlignment="1">
      <alignment vertical="center"/>
    </xf>
    <xf numFmtId="10" fontId="23" fillId="0" borderId="28" xfId="0" applyNumberFormat="1" applyFont="1" applyBorder="1" applyAlignment="1">
      <alignment vertical="center"/>
    </xf>
    <xf numFmtId="167" fontId="23" fillId="0" borderId="28" xfId="0" applyNumberFormat="1" applyFont="1" applyBorder="1" applyAlignment="1">
      <alignment vertical="center"/>
    </xf>
    <xf numFmtId="0" fontId="27" fillId="0" borderId="18" xfId="0" applyFont="1" applyBorder="1"/>
    <xf numFmtId="10" fontId="23" fillId="0" borderId="30" xfId="9" applyFont="1" applyBorder="1" applyAlignment="1">
      <alignment vertical="center"/>
    </xf>
    <xf numFmtId="174" fontId="23" fillId="0" borderId="26" xfId="0" applyNumberFormat="1" applyFont="1" applyBorder="1" applyAlignment="1">
      <alignment vertical="center"/>
    </xf>
    <xf numFmtId="174" fontId="23" fillId="0" borderId="26" xfId="9" applyNumberFormat="1" applyFont="1" applyBorder="1" applyAlignment="1">
      <alignment vertical="center"/>
    </xf>
    <xf numFmtId="10" fontId="23" fillId="0" borderId="26" xfId="9" applyFont="1" applyBorder="1" applyAlignment="1">
      <alignment vertical="center"/>
    </xf>
    <xf numFmtId="167" fontId="23" fillId="0" borderId="32" xfId="0" applyNumberFormat="1" applyFont="1" applyBorder="1" applyAlignment="1">
      <alignment vertical="center"/>
    </xf>
    <xf numFmtId="0" fontId="23" fillId="0" borderId="20" xfId="0" applyFont="1" applyBorder="1"/>
    <xf numFmtId="0" fontId="23" fillId="0" borderId="11" xfId="0" applyFont="1" applyBorder="1"/>
    <xf numFmtId="167" fontId="23" fillId="0" borderId="30" xfId="0" applyNumberFormat="1" applyFont="1" applyBorder="1" applyAlignment="1">
      <alignment vertical="center"/>
    </xf>
    <xf numFmtId="4" fontId="23" fillId="5" borderId="26" xfId="0" applyNumberFormat="1" applyFont="1" applyFill="1" applyBorder="1" applyAlignment="1">
      <alignment vertical="center"/>
    </xf>
    <xf numFmtId="0" fontId="23" fillId="0" borderId="9" xfId="0" applyFont="1" applyBorder="1" applyAlignment="1">
      <alignment vertical="center"/>
    </xf>
    <xf numFmtId="0" fontId="23" fillId="0" borderId="13" xfId="0" applyFont="1" applyBorder="1" applyAlignment="1">
      <alignment vertical="center"/>
    </xf>
    <xf numFmtId="2" fontId="23" fillId="0" borderId="21" xfId="0" applyNumberFormat="1" applyFont="1" applyBorder="1" applyAlignment="1">
      <alignment vertical="center"/>
    </xf>
    <xf numFmtId="0" fontId="27" fillId="0" borderId="21" xfId="0" applyFont="1" applyBorder="1" applyAlignment="1">
      <alignment vertical="center"/>
    </xf>
    <xf numFmtId="0" fontId="23" fillId="0" borderId="0" xfId="0" applyFont="1" applyAlignment="1">
      <alignment wrapText="1"/>
    </xf>
    <xf numFmtId="0" fontId="23" fillId="0" borderId="19" xfId="0" applyFont="1" applyBorder="1" applyAlignment="1">
      <alignment vertical="center"/>
    </xf>
    <xf numFmtId="4" fontId="23" fillId="0" borderId="25" xfId="0" applyNumberFormat="1" applyFont="1" applyBorder="1" applyAlignment="1">
      <alignment vertical="center"/>
    </xf>
    <xf numFmtId="4" fontId="23" fillId="0" borderId="9" xfId="0" applyNumberFormat="1" applyFont="1" applyBorder="1" applyAlignment="1">
      <alignment vertical="center"/>
    </xf>
    <xf numFmtId="4" fontId="23" fillId="0" borderId="13" xfId="0" applyNumberFormat="1" applyFont="1" applyBorder="1" applyAlignment="1">
      <alignment vertical="center"/>
    </xf>
    <xf numFmtId="4" fontId="23" fillId="0" borderId="0" xfId="0" applyNumberFormat="1" applyFont="1" applyAlignment="1">
      <alignment vertical="center"/>
    </xf>
    <xf numFmtId="0" fontId="27" fillId="0" borderId="17" xfId="0" applyFont="1" applyBorder="1" applyAlignment="1">
      <alignment vertical="center"/>
    </xf>
    <xf numFmtId="167" fontId="23" fillId="0" borderId="17" xfId="0" applyNumberFormat="1" applyFont="1" applyBorder="1" applyAlignment="1">
      <alignment vertical="center"/>
    </xf>
    <xf numFmtId="10" fontId="27" fillId="0" borderId="0" xfId="0" applyNumberFormat="1" applyFont="1"/>
    <xf numFmtId="0" fontId="37" fillId="0" borderId="29" xfId="0" applyFont="1" applyBorder="1" applyAlignment="1">
      <alignment vertical="top"/>
    </xf>
    <xf numFmtId="170" fontId="3" fillId="0" borderId="28" xfId="0" applyNumberFormat="1" applyFont="1" applyBorder="1" applyAlignment="1">
      <alignment horizontal="left" vertical="top"/>
    </xf>
    <xf numFmtId="0" fontId="12" fillId="0" borderId="13" xfId="0" applyFont="1" applyBorder="1" applyAlignment="1">
      <alignment horizontal="left" vertical="center"/>
    </xf>
    <xf numFmtId="0" fontId="12" fillId="0" borderId="21" xfId="0" applyFont="1" applyBorder="1" applyAlignment="1">
      <alignment horizontal="center" vertical="center"/>
    </xf>
    <xf numFmtId="0" fontId="21" fillId="0" borderId="13" xfId="0" applyFont="1" applyBorder="1" applyAlignment="1">
      <alignment horizontal="center" vertical="center"/>
    </xf>
    <xf numFmtId="0" fontId="45" fillId="0" borderId="14" xfId="0" applyFont="1" applyBorder="1" applyAlignment="1">
      <alignment vertical="center"/>
    </xf>
    <xf numFmtId="0" fontId="45" fillId="0" borderId="27" xfId="0" applyFont="1" applyBorder="1" applyAlignment="1">
      <alignment vertical="center"/>
    </xf>
    <xf numFmtId="0" fontId="45" fillId="0" borderId="40" xfId="0" applyFont="1" applyBorder="1" applyAlignment="1">
      <alignment vertical="center"/>
    </xf>
    <xf numFmtId="10" fontId="23" fillId="0" borderId="0" xfId="9" applyFont="1"/>
    <xf numFmtId="167" fontId="23" fillId="0" borderId="21" xfId="0" applyNumberFormat="1" applyFont="1" applyBorder="1" applyAlignment="1">
      <alignment vertical="center"/>
    </xf>
    <xf numFmtId="167" fontId="23" fillId="0" borderId="13" xfId="0" applyNumberFormat="1" applyFont="1" applyBorder="1" applyAlignment="1">
      <alignment vertical="center"/>
    </xf>
    <xf numFmtId="10" fontId="27" fillId="0" borderId="27" xfId="9" applyFont="1" applyBorder="1" applyAlignment="1">
      <alignment vertical="center"/>
    </xf>
    <xf numFmtId="0" fontId="27" fillId="0" borderId="13" xfId="0" applyFont="1" applyBorder="1" applyAlignment="1">
      <alignment vertical="center"/>
    </xf>
    <xf numFmtId="167" fontId="23" fillId="0" borderId="13" xfId="0" applyNumberFormat="1" applyFont="1" applyBorder="1" applyAlignment="1">
      <alignment horizontal="center" vertical="center"/>
    </xf>
    <xf numFmtId="0" fontId="20" fillId="0" borderId="14" xfId="0" applyFont="1" applyBorder="1"/>
    <xf numFmtId="10" fontId="27" fillId="0" borderId="23" xfId="0" applyNumberFormat="1" applyFont="1" applyBorder="1"/>
    <xf numFmtId="0" fontId="23" fillId="9" borderId="26" xfId="0" applyFont="1" applyFill="1" applyBorder="1"/>
    <xf numFmtId="10" fontId="27" fillId="0" borderId="0" xfId="0" applyNumberFormat="1" applyFont="1" applyAlignment="1">
      <alignment vertical="center"/>
    </xf>
    <xf numFmtId="167" fontId="23" fillId="0" borderId="27" xfId="0" applyNumberFormat="1" applyFont="1" applyBorder="1" applyAlignment="1">
      <alignment vertical="center"/>
    </xf>
    <xf numFmtId="0" fontId="27" fillId="0" borderId="20" xfId="0" applyFont="1" applyBorder="1" applyAlignment="1">
      <alignment vertical="center"/>
    </xf>
    <xf numFmtId="10" fontId="27" fillId="0" borderId="11" xfId="0" applyNumberFormat="1" applyFont="1" applyBorder="1" applyAlignment="1">
      <alignment vertical="center"/>
    </xf>
    <xf numFmtId="0" fontId="20" fillId="0" borderId="11" xfId="0" applyFont="1" applyBorder="1"/>
    <xf numFmtId="0" fontId="20" fillId="0" borderId="24" xfId="0" applyFont="1" applyBorder="1"/>
    <xf numFmtId="0" fontId="20" fillId="0" borderId="17" xfId="0" applyFont="1" applyBorder="1"/>
    <xf numFmtId="0" fontId="20" fillId="0" borderId="23" xfId="0" applyFont="1" applyBorder="1"/>
    <xf numFmtId="0" fontId="12" fillId="0" borderId="18" xfId="0" applyFont="1" applyBorder="1" applyAlignment="1">
      <alignment horizontal="center" vertical="center" wrapText="1"/>
    </xf>
    <xf numFmtId="0" fontId="13" fillId="0" borderId="27" xfId="0" applyFont="1" applyBorder="1" applyAlignment="1">
      <alignment horizontal="center" vertical="center"/>
    </xf>
    <xf numFmtId="0" fontId="11" fillId="0" borderId="0" xfId="0" applyFont="1" applyAlignment="1">
      <alignment vertical="center"/>
    </xf>
    <xf numFmtId="0" fontId="0" fillId="0" borderId="14" xfId="0" applyBorder="1"/>
    <xf numFmtId="182" fontId="20" fillId="0" borderId="13" xfId="0" applyNumberFormat="1" applyFont="1" applyBorder="1"/>
    <xf numFmtId="182" fontId="20" fillId="0" borderId="0" xfId="0" applyNumberFormat="1" applyFont="1" applyAlignment="1">
      <alignment horizontal="center"/>
    </xf>
    <xf numFmtId="0" fontId="25" fillId="0" borderId="18" xfId="0" applyFont="1" applyBorder="1"/>
    <xf numFmtId="0" fontId="25" fillId="0" borderId="26" xfId="0" applyFont="1" applyBorder="1" applyAlignment="1">
      <alignment horizontal="center" vertical="top" wrapText="1"/>
    </xf>
    <xf numFmtId="9" fontId="20" fillId="10" borderId="29" xfId="0" quotePrefix="1" applyNumberFormat="1" applyFont="1" applyFill="1" applyBorder="1" applyProtection="1">
      <protection locked="0"/>
    </xf>
    <xf numFmtId="9" fontId="20" fillId="10" borderId="27" xfId="0" quotePrefix="1" applyNumberFormat="1" applyFont="1" applyFill="1" applyBorder="1" applyProtection="1">
      <protection locked="0"/>
    </xf>
    <xf numFmtId="9" fontId="20" fillId="10" borderId="28" xfId="0" quotePrefix="1" applyNumberFormat="1" applyFont="1" applyFill="1" applyBorder="1" applyProtection="1">
      <protection locked="0"/>
    </xf>
    <xf numFmtId="183" fontId="20" fillId="0" borderId="29" xfId="0" applyNumberFormat="1" applyFont="1" applyBorder="1"/>
    <xf numFmtId="183" fontId="20" fillId="0" borderId="27" xfId="0" applyNumberFormat="1" applyFont="1" applyBorder="1"/>
    <xf numFmtId="9" fontId="20" fillId="0" borderId="27" xfId="10" applyNumberFormat="1" applyFont="1" applyBorder="1"/>
    <xf numFmtId="0" fontId="25" fillId="0" borderId="26" xfId="0" applyFont="1" applyBorder="1"/>
    <xf numFmtId="0" fontId="25" fillId="0" borderId="26" xfId="0" applyFont="1" applyBorder="1" applyAlignment="1">
      <alignment horizontal="center"/>
    </xf>
    <xf numFmtId="182" fontId="20" fillId="0" borderId="20" xfId="0" applyNumberFormat="1" applyFont="1" applyBorder="1"/>
    <xf numFmtId="182" fontId="20" fillId="0" borderId="21" xfId="0" applyNumberFormat="1" applyFont="1" applyBorder="1"/>
    <xf numFmtId="167" fontId="25" fillId="0" borderId="27" xfId="0" applyNumberFormat="1" applyFont="1" applyBorder="1"/>
    <xf numFmtId="0" fontId="20" fillId="0" borderId="26" xfId="0" applyFont="1" applyBorder="1"/>
    <xf numFmtId="0" fontId="20" fillId="0" borderId="26" xfId="0" applyFont="1" applyBorder="1" applyAlignment="1">
      <alignment horizontal="center"/>
    </xf>
    <xf numFmtId="10" fontId="20" fillId="0" borderId="27" xfId="10" applyNumberFormat="1" applyFont="1" applyBorder="1"/>
    <xf numFmtId="10" fontId="37" fillId="0" borderId="28" xfId="19" applyNumberFormat="1" applyFont="1" applyBorder="1" applyAlignment="1">
      <alignment horizontal="right" vertical="center"/>
    </xf>
    <xf numFmtId="10" fontId="23" fillId="0" borderId="26" xfId="9" applyFont="1" applyBorder="1" applyAlignment="1">
      <alignment horizontal="right"/>
    </xf>
    <xf numFmtId="10" fontId="3" fillId="0" borderId="26" xfId="19" applyNumberFormat="1" applyFont="1" applyBorder="1" applyAlignment="1">
      <alignment horizontal="right" vertical="center"/>
    </xf>
    <xf numFmtId="10" fontId="23" fillId="0" borderId="24" xfId="9" applyFont="1" applyBorder="1"/>
    <xf numFmtId="10" fontId="23" fillId="0" borderId="14" xfId="9" applyFont="1" applyBorder="1"/>
    <xf numFmtId="10" fontId="23" fillId="0" borderId="23" xfId="9" applyFont="1" applyBorder="1"/>
    <xf numFmtId="0" fontId="23" fillId="0" borderId="24" xfId="0" applyFont="1" applyBorder="1" applyAlignment="1">
      <alignment horizontal="center" wrapText="1"/>
    </xf>
    <xf numFmtId="0" fontId="27" fillId="0" borderId="29" xfId="0" applyFont="1" applyBorder="1"/>
    <xf numFmtId="49" fontId="23" fillId="0" borderId="29" xfId="9" applyNumberFormat="1" applyFont="1" applyBorder="1"/>
    <xf numFmtId="49" fontId="23" fillId="0" borderId="27" xfId="9" applyNumberFormat="1" applyFont="1" applyBorder="1"/>
    <xf numFmtId="49" fontId="23" fillId="0" borderId="28" xfId="9" applyNumberFormat="1" applyFont="1" applyBorder="1"/>
    <xf numFmtId="0" fontId="27" fillId="0" borderId="28" xfId="0" applyFont="1" applyBorder="1"/>
    <xf numFmtId="0" fontId="13" fillId="0" borderId="18" xfId="0" applyFont="1" applyBorder="1" applyAlignment="1">
      <alignment horizontal="center" vertical="center"/>
    </xf>
    <xf numFmtId="16" fontId="13" fillId="0" borderId="51" xfId="0" quotePrefix="1" applyNumberFormat="1" applyFont="1" applyBorder="1" applyAlignment="1">
      <alignment horizontal="center" vertical="center"/>
    </xf>
    <xf numFmtId="174" fontId="23" fillId="0" borderId="28" xfId="0" applyNumberFormat="1" applyFont="1" applyBorder="1" applyAlignment="1">
      <alignment vertical="center"/>
    </xf>
    <xf numFmtId="174" fontId="23" fillId="0" borderId="28" xfId="9" applyNumberFormat="1" applyFont="1" applyBorder="1" applyAlignment="1">
      <alignment vertical="center"/>
    </xf>
    <xf numFmtId="165" fontId="23" fillId="0" borderId="28" xfId="9" applyNumberFormat="1" applyFont="1" applyBorder="1" applyAlignment="1">
      <alignment vertical="center"/>
    </xf>
    <xf numFmtId="10" fontId="23" fillId="0" borderId="28" xfId="9" applyFont="1" applyBorder="1" applyAlignment="1">
      <alignment vertical="center"/>
    </xf>
    <xf numFmtId="4" fontId="23" fillId="5" borderId="28" xfId="0" applyNumberFormat="1" applyFont="1" applyFill="1" applyBorder="1" applyAlignment="1">
      <alignment vertical="center"/>
    </xf>
    <xf numFmtId="0" fontId="23" fillId="9" borderId="28" xfId="0" applyFont="1" applyFill="1" applyBorder="1"/>
    <xf numFmtId="0" fontId="23" fillId="9" borderId="11" xfId="0" applyFont="1" applyFill="1" applyBorder="1"/>
    <xf numFmtId="0" fontId="23" fillId="9" borderId="0" xfId="0" applyFont="1" applyFill="1"/>
    <xf numFmtId="0" fontId="15" fillId="2" borderId="18" xfId="0" applyFont="1" applyFill="1" applyBorder="1" applyAlignment="1">
      <alignment vertical="center"/>
    </xf>
    <xf numFmtId="0" fontId="15" fillId="2" borderId="19" xfId="0" applyFont="1" applyFill="1" applyBorder="1" applyAlignment="1">
      <alignment vertical="center"/>
    </xf>
    <xf numFmtId="0" fontId="11" fillId="0" borderId="17" xfId="0" applyFont="1" applyBorder="1" applyAlignment="1">
      <alignment horizontal="left" vertical="center"/>
    </xf>
    <xf numFmtId="0" fontId="60" fillId="0" borderId="17" xfId="0" applyFont="1" applyBorder="1" applyAlignment="1">
      <alignment horizontal="left" vertical="center"/>
    </xf>
    <xf numFmtId="0" fontId="20" fillId="0" borderId="18" xfId="0" applyFont="1" applyBorder="1" applyAlignment="1">
      <alignment horizontal="right" vertical="center"/>
    </xf>
    <xf numFmtId="10" fontId="63" fillId="0" borderId="13" xfId="5" applyNumberFormat="1" applyFont="1" applyBorder="1" applyAlignment="1">
      <alignment vertical="center"/>
    </xf>
    <xf numFmtId="165" fontId="23" fillId="0" borderId="28" xfId="0" applyNumberFormat="1" applyFont="1" applyBorder="1" applyAlignment="1">
      <alignment vertical="center"/>
    </xf>
    <xf numFmtId="167" fontId="27" fillId="0" borderId="28" xfId="0" applyNumberFormat="1" applyFont="1" applyBorder="1" applyAlignment="1">
      <alignment vertical="center"/>
    </xf>
    <xf numFmtId="170" fontId="27" fillId="0" borderId="24" xfId="9" applyNumberFormat="1" applyFont="1" applyBorder="1" applyAlignment="1">
      <alignment horizontal="center"/>
    </xf>
    <xf numFmtId="0" fontId="20" fillId="0" borderId="0" xfId="0" applyFont="1" applyProtection="1">
      <protection locked="0"/>
    </xf>
    <xf numFmtId="10" fontId="27" fillId="0" borderId="13" xfId="9" applyFont="1" applyBorder="1" applyAlignment="1">
      <alignment vertical="center"/>
    </xf>
    <xf numFmtId="4" fontId="23" fillId="5" borderId="13" xfId="0" applyNumberFormat="1" applyFont="1" applyFill="1" applyBorder="1" applyAlignment="1">
      <alignment vertical="center"/>
    </xf>
    <xf numFmtId="0" fontId="23" fillId="0" borderId="26" xfId="0" applyFont="1" applyBorder="1" applyAlignment="1">
      <alignment horizontal="center" vertical="center"/>
    </xf>
    <xf numFmtId="10" fontId="23" fillId="0" borderId="26" xfId="0" applyNumberFormat="1" applyFont="1" applyBorder="1" applyAlignment="1">
      <alignment vertical="center"/>
    </xf>
    <xf numFmtId="10" fontId="23" fillId="0" borderId="27" xfId="0" applyNumberFormat="1" applyFont="1" applyBorder="1" applyAlignment="1">
      <alignment vertical="center"/>
    </xf>
    <xf numFmtId="0" fontId="25" fillId="0" borderId="19" xfId="0" applyFont="1" applyBorder="1" applyAlignment="1">
      <alignment horizontal="center"/>
    </xf>
    <xf numFmtId="0" fontId="23" fillId="0" borderId="0" xfId="0" applyFont="1" applyAlignment="1">
      <alignment vertical="center"/>
    </xf>
    <xf numFmtId="0" fontId="26" fillId="0" borderId="0" xfId="0" applyFont="1"/>
    <xf numFmtId="0" fontId="14" fillId="0" borderId="18" xfId="0" applyFont="1" applyBorder="1"/>
    <xf numFmtId="4" fontId="24" fillId="11" borderId="27" xfId="5" applyFont="1" applyFill="1" applyBorder="1" applyAlignment="1">
      <alignment vertical="center"/>
    </xf>
    <xf numFmtId="4" fontId="24" fillId="12" borderId="27" xfId="5" applyFont="1" applyFill="1" applyBorder="1" applyAlignment="1">
      <alignment vertical="center"/>
    </xf>
    <xf numFmtId="10" fontId="27" fillId="0" borderId="0" xfId="9" applyFont="1" applyAlignment="1">
      <alignment vertical="center"/>
    </xf>
    <xf numFmtId="0" fontId="20" fillId="14" borderId="11" xfId="0" applyFont="1" applyFill="1" applyBorder="1"/>
    <xf numFmtId="0" fontId="20" fillId="0" borderId="43" xfId="0" applyFont="1" applyBorder="1"/>
    <xf numFmtId="0" fontId="20" fillId="0" borderId="45" xfId="0" applyFont="1" applyBorder="1"/>
    <xf numFmtId="0" fontId="20" fillId="13" borderId="0" xfId="0" applyFont="1" applyFill="1"/>
    <xf numFmtId="0" fontId="20" fillId="13" borderId="3" xfId="0" applyFont="1" applyFill="1" applyBorder="1"/>
    <xf numFmtId="10" fontId="23" fillId="0" borderId="30" xfId="0" applyNumberFormat="1" applyFont="1" applyBorder="1" applyAlignment="1">
      <alignment vertical="center"/>
    </xf>
    <xf numFmtId="0" fontId="11" fillId="0" borderId="51" xfId="0" applyFont="1" applyBorder="1" applyAlignment="1">
      <alignment horizontal="center" vertical="center"/>
    </xf>
    <xf numFmtId="2" fontId="20" fillId="0" borderId="27" xfId="10" applyNumberFormat="1" applyFont="1" applyBorder="1"/>
    <xf numFmtId="0" fontId="62" fillId="0" borderId="14" xfId="0" applyFont="1" applyBorder="1" applyAlignment="1">
      <alignment horizontal="center" vertical="center" wrapText="1"/>
    </xf>
    <xf numFmtId="0" fontId="12" fillId="0" borderId="0" xfId="21" applyFont="1"/>
    <xf numFmtId="0" fontId="12" fillId="0" borderId="26" xfId="22" applyFont="1" applyBorder="1" applyAlignment="1">
      <alignment horizontal="center"/>
    </xf>
    <xf numFmtId="0" fontId="13" fillId="0" borderId="26" xfId="22" applyFont="1" applyBorder="1" applyAlignment="1">
      <alignment horizontal="center" vertical="center"/>
    </xf>
    <xf numFmtId="0" fontId="2" fillId="0" borderId="0" xfId="22"/>
    <xf numFmtId="0" fontId="12" fillId="0" borderId="22" xfId="21" applyFont="1" applyBorder="1" applyAlignment="1">
      <alignment vertical="center"/>
    </xf>
    <xf numFmtId="0" fontId="12" fillId="0" borderId="32" xfId="21" applyFont="1" applyBorder="1" applyAlignment="1">
      <alignment vertical="center"/>
    </xf>
    <xf numFmtId="0" fontId="10" fillId="0" borderId="26" xfId="21" applyFont="1" applyBorder="1"/>
    <xf numFmtId="0" fontId="12" fillId="0" borderId="19" xfId="21" applyFont="1" applyBorder="1" applyAlignment="1">
      <alignment vertical="top"/>
    </xf>
    <xf numFmtId="0" fontId="12" fillId="0" borderId="27" xfId="21" applyFont="1" applyBorder="1" applyAlignment="1">
      <alignment vertical="center" wrapText="1"/>
    </xf>
    <xf numFmtId="0" fontId="12" fillId="0" borderId="28" xfId="21" applyFont="1" applyBorder="1" applyAlignment="1">
      <alignment vertical="center" wrapText="1"/>
    </xf>
    <xf numFmtId="1" fontId="12" fillId="0" borderId="26" xfId="21" applyNumberFormat="1" applyFont="1" applyBorder="1" applyAlignment="1">
      <alignment horizontal="center" vertical="center"/>
    </xf>
    <xf numFmtId="0" fontId="20" fillId="0" borderId="28" xfId="0" applyFont="1" applyBorder="1"/>
    <xf numFmtId="0" fontId="62" fillId="0" borderId="23" xfId="0" applyFont="1" applyBorder="1" applyAlignment="1">
      <alignment horizontal="center" vertical="center" wrapText="1"/>
    </xf>
    <xf numFmtId="0" fontId="74" fillId="0" borderId="18" xfId="0" applyFont="1" applyBorder="1" applyAlignment="1">
      <alignment horizontal="right" vertical="center"/>
    </xf>
    <xf numFmtId="177" fontId="74" fillId="0" borderId="19" xfId="10" applyNumberFormat="1" applyFont="1" applyBorder="1" applyAlignment="1">
      <alignment vertical="center"/>
    </xf>
    <xf numFmtId="0" fontId="20" fillId="0" borderId="13" xfId="0" applyFont="1" applyBorder="1"/>
    <xf numFmtId="0" fontId="20" fillId="0" borderId="23" xfId="0" applyFont="1" applyBorder="1" applyAlignment="1">
      <alignment horizontal="left"/>
    </xf>
    <xf numFmtId="0" fontId="62" fillId="13" borderId="3" xfId="0" applyFont="1" applyFill="1" applyBorder="1" applyAlignment="1">
      <alignment vertical="center" wrapText="1"/>
    </xf>
    <xf numFmtId="186" fontId="12" fillId="0" borderId="28" xfId="9" applyNumberFormat="1" applyFont="1" applyBorder="1" applyAlignment="1">
      <alignment horizontal="center" vertical="center"/>
    </xf>
    <xf numFmtId="186" fontId="12" fillId="0" borderId="28" xfId="23" applyNumberFormat="1" applyFont="1" applyBorder="1" applyAlignment="1">
      <alignment horizontal="center" vertical="center"/>
    </xf>
    <xf numFmtId="186" fontId="12" fillId="0" borderId="26" xfId="23" applyNumberFormat="1" applyFont="1" applyBorder="1" applyAlignment="1">
      <alignment horizontal="center" vertical="center"/>
    </xf>
    <xf numFmtId="186" fontId="23" fillId="0" borderId="28" xfId="0" applyNumberFormat="1" applyFont="1" applyBorder="1" applyAlignment="1">
      <alignment vertical="center"/>
    </xf>
    <xf numFmtId="167" fontId="23" fillId="0" borderId="15" xfId="0" applyNumberFormat="1" applyFont="1" applyBorder="1" applyAlignment="1">
      <alignment vertical="center"/>
    </xf>
    <xf numFmtId="174" fontId="23" fillId="0" borderId="22" xfId="0" applyNumberFormat="1" applyFont="1" applyBorder="1" applyAlignment="1">
      <alignment vertical="center"/>
    </xf>
    <xf numFmtId="186" fontId="23" fillId="0" borderId="26" xfId="0" applyNumberFormat="1" applyFont="1" applyBorder="1" applyAlignment="1">
      <alignment vertical="center"/>
    </xf>
    <xf numFmtId="165" fontId="30" fillId="7" borderId="0" xfId="5" applyNumberFormat="1" applyFont="1" applyFill="1" applyAlignment="1">
      <alignment vertical="center"/>
    </xf>
    <xf numFmtId="165" fontId="30" fillId="7" borderId="9" xfId="5" applyNumberFormat="1" applyFont="1" applyFill="1" applyBorder="1" applyAlignment="1">
      <alignment vertical="center"/>
    </xf>
    <xf numFmtId="0" fontId="15" fillId="0" borderId="19" xfId="0" applyFont="1" applyBorder="1" applyAlignment="1">
      <alignment vertical="center"/>
    </xf>
    <xf numFmtId="0" fontId="15" fillId="0" borderId="22" xfId="0" applyFont="1" applyBorder="1" applyAlignment="1">
      <alignment vertical="center"/>
    </xf>
    <xf numFmtId="0" fontId="92" fillId="0" borderId="0" xfId="0" applyFont="1"/>
    <xf numFmtId="0" fontId="92" fillId="0" borderId="61" xfId="0" applyFont="1" applyBorder="1"/>
    <xf numFmtId="0" fontId="93" fillId="0" borderId="0" xfId="0" applyFont="1" applyAlignment="1">
      <alignment horizontal="center" vertical="top" wrapText="1"/>
    </xf>
    <xf numFmtId="186" fontId="27" fillId="0" borderId="26" xfId="0" applyNumberFormat="1" applyFont="1" applyBorder="1" applyAlignment="1">
      <alignment vertical="center"/>
    </xf>
    <xf numFmtId="167" fontId="34" fillId="0" borderId="28" xfId="0" applyNumberFormat="1" applyFont="1" applyBorder="1" applyAlignment="1">
      <alignment horizontal="center" vertical="center"/>
    </xf>
    <xf numFmtId="10" fontId="34" fillId="0" borderId="28" xfId="9" applyFont="1" applyBorder="1" applyAlignment="1" applyProtection="1">
      <alignment vertical="center"/>
    </xf>
    <xf numFmtId="10" fontId="34" fillId="0" borderId="26" xfId="9" applyFont="1" applyBorder="1" applyAlignment="1" applyProtection="1">
      <alignment vertical="center"/>
    </xf>
    <xf numFmtId="0" fontId="23" fillId="0" borderId="0" xfId="0" applyFont="1" applyAlignment="1">
      <alignment horizontal="center" vertical="center"/>
    </xf>
    <xf numFmtId="0" fontId="23" fillId="0" borderId="23" xfId="0" applyFont="1" applyBorder="1" applyAlignment="1">
      <alignment vertical="center"/>
    </xf>
    <xf numFmtId="174" fontId="23" fillId="0" borderId="30" xfId="0" applyNumberFormat="1" applyFont="1" applyBorder="1" applyAlignment="1">
      <alignment vertical="center"/>
    </xf>
    <xf numFmtId="174" fontId="23" fillId="0" borderId="30" xfId="9" applyNumberFormat="1" applyFont="1" applyBorder="1" applyAlignment="1">
      <alignment vertical="center"/>
    </xf>
    <xf numFmtId="165" fontId="23" fillId="0" borderId="30" xfId="9" applyNumberFormat="1" applyFont="1" applyBorder="1" applyAlignment="1">
      <alignment vertical="center"/>
    </xf>
    <xf numFmtId="0" fontId="23" fillId="0" borderId="14" xfId="0" applyFont="1" applyBorder="1"/>
    <xf numFmtId="0" fontId="27" fillId="0" borderId="20" xfId="0" applyFont="1" applyBorder="1"/>
    <xf numFmtId="167" fontId="23" fillId="0" borderId="0" xfId="0" applyNumberFormat="1" applyFont="1" applyAlignment="1">
      <alignment vertical="center"/>
    </xf>
    <xf numFmtId="167" fontId="23" fillId="0" borderId="48" xfId="0" applyNumberFormat="1" applyFont="1" applyBorder="1" applyAlignment="1">
      <alignment vertical="center"/>
    </xf>
    <xf numFmtId="10" fontId="34" fillId="0" borderId="9" xfId="9" applyFont="1" applyBorder="1" applyAlignment="1">
      <alignment horizontal="center" vertical="center"/>
    </xf>
    <xf numFmtId="10" fontId="34" fillId="0" borderId="40" xfId="9" applyFont="1" applyBorder="1" applyAlignment="1">
      <alignment vertical="center"/>
    </xf>
    <xf numFmtId="10" fontId="34" fillId="0" borderId="9" xfId="9" applyFont="1" applyBorder="1" applyAlignment="1">
      <alignment vertical="center"/>
    </xf>
    <xf numFmtId="167" fontId="27" fillId="4" borderId="5" xfId="0" applyNumberFormat="1" applyFont="1" applyFill="1" applyBorder="1" applyAlignment="1">
      <alignment vertical="center"/>
    </xf>
    <xf numFmtId="167" fontId="27" fillId="4" borderId="46" xfId="0" applyNumberFormat="1" applyFont="1" applyFill="1" applyBorder="1" applyAlignment="1">
      <alignment vertical="center"/>
    </xf>
    <xf numFmtId="167" fontId="27" fillId="4" borderId="27" xfId="0" applyNumberFormat="1" applyFont="1" applyFill="1" applyBorder="1" applyAlignment="1">
      <alignment vertical="center"/>
    </xf>
    <xf numFmtId="167" fontId="27" fillId="14" borderId="5" xfId="0" applyNumberFormat="1" applyFont="1" applyFill="1" applyBorder="1" applyAlignment="1">
      <alignment vertical="center"/>
    </xf>
    <xf numFmtId="167" fontId="27" fillId="14" borderId="46" xfId="0" applyNumberFormat="1" applyFont="1" applyFill="1" applyBorder="1" applyAlignment="1">
      <alignment vertical="center"/>
    </xf>
    <xf numFmtId="167" fontId="27" fillId="14" borderId="27" xfId="0" applyNumberFormat="1" applyFont="1" applyFill="1" applyBorder="1" applyAlignment="1">
      <alignment vertical="center"/>
    </xf>
    <xf numFmtId="167" fontId="96" fillId="16" borderId="5" xfId="0" applyNumberFormat="1" applyFont="1" applyFill="1" applyBorder="1" applyAlignment="1">
      <alignment vertical="center"/>
    </xf>
    <xf numFmtId="167" fontId="96" fillId="16" borderId="46" xfId="0" applyNumberFormat="1" applyFont="1" applyFill="1" applyBorder="1" applyAlignment="1">
      <alignment vertical="center"/>
    </xf>
    <xf numFmtId="167" fontId="96" fillId="16" borderId="27" xfId="0" applyNumberFormat="1" applyFont="1" applyFill="1" applyBorder="1" applyAlignment="1">
      <alignment vertical="center"/>
    </xf>
    <xf numFmtId="167" fontId="96" fillId="17" borderId="5" xfId="0" applyNumberFormat="1" applyFont="1" applyFill="1" applyBorder="1" applyAlignment="1">
      <alignment vertical="center"/>
    </xf>
    <xf numFmtId="167" fontId="96" fillId="17" borderId="46" xfId="0" applyNumberFormat="1" applyFont="1" applyFill="1" applyBorder="1" applyAlignment="1">
      <alignment vertical="center"/>
    </xf>
    <xf numFmtId="167" fontId="96" fillId="17" borderId="27" xfId="0" applyNumberFormat="1" applyFont="1" applyFill="1" applyBorder="1" applyAlignment="1">
      <alignment vertical="center"/>
    </xf>
    <xf numFmtId="167" fontId="96" fillId="20" borderId="5" xfId="0" applyNumberFormat="1" applyFont="1" applyFill="1" applyBorder="1" applyAlignment="1">
      <alignment vertical="center"/>
    </xf>
    <xf numFmtId="167" fontId="96" fillId="20" borderId="46" xfId="0" applyNumberFormat="1" applyFont="1" applyFill="1" applyBorder="1" applyAlignment="1">
      <alignment vertical="center"/>
    </xf>
    <xf numFmtId="167" fontId="96" fillId="20" borderId="27" xfId="0" applyNumberFormat="1" applyFont="1" applyFill="1" applyBorder="1" applyAlignment="1">
      <alignment vertical="center"/>
    </xf>
    <xf numFmtId="167" fontId="96" fillId="8" borderId="5" xfId="0" applyNumberFormat="1" applyFont="1" applyFill="1" applyBorder="1" applyAlignment="1">
      <alignment vertical="center"/>
    </xf>
    <xf numFmtId="167" fontId="96" fillId="8" borderId="46" xfId="0" applyNumberFormat="1" applyFont="1" applyFill="1" applyBorder="1" applyAlignment="1">
      <alignment vertical="center"/>
    </xf>
    <xf numFmtId="167" fontId="96" fillId="8" borderId="27" xfId="0" applyNumberFormat="1" applyFont="1" applyFill="1" applyBorder="1" applyAlignment="1">
      <alignment vertical="center"/>
    </xf>
    <xf numFmtId="0" fontId="96" fillId="16" borderId="5" xfId="0" applyFont="1" applyFill="1" applyBorder="1" applyAlignment="1">
      <alignment horizontal="left" vertical="center"/>
    </xf>
    <xf numFmtId="0" fontId="64" fillId="17" borderId="5" xfId="0" applyFont="1" applyFill="1" applyBorder="1" applyAlignment="1">
      <alignment horizontal="left" vertical="center"/>
    </xf>
    <xf numFmtId="0" fontId="64" fillId="20" borderId="5" xfId="0" applyFont="1" applyFill="1" applyBorder="1" applyAlignment="1">
      <alignment horizontal="left" vertical="center"/>
    </xf>
    <xf numFmtId="0" fontId="23" fillId="4" borderId="27" xfId="0" applyFont="1" applyFill="1" applyBorder="1"/>
    <xf numFmtId="0" fontId="96" fillId="16" borderId="16" xfId="0" applyFont="1" applyFill="1" applyBorder="1" applyAlignment="1">
      <alignment horizontal="left" vertical="center"/>
    </xf>
    <xf numFmtId="0" fontId="64" fillId="17" borderId="16" xfId="0" applyFont="1" applyFill="1" applyBorder="1" applyAlignment="1">
      <alignment horizontal="left" vertical="center"/>
    </xf>
    <xf numFmtId="0" fontId="64" fillId="20" borderId="16" xfId="0" applyFont="1" applyFill="1" applyBorder="1" applyAlignment="1">
      <alignment horizontal="left" vertical="center"/>
    </xf>
    <xf numFmtId="193" fontId="12" fillId="0" borderId="28" xfId="23" applyNumberFormat="1" applyFont="1" applyBorder="1" applyAlignment="1">
      <alignment horizontal="center" vertical="center"/>
    </xf>
    <xf numFmtId="174" fontId="20" fillId="0" borderId="27" xfId="0" applyNumberFormat="1" applyFont="1" applyBorder="1"/>
    <xf numFmtId="0" fontId="70" fillId="0" borderId="0" xfId="0" applyFont="1"/>
    <xf numFmtId="0" fontId="67" fillId="14" borderId="20" xfId="0" applyFont="1" applyFill="1" applyBorder="1" applyAlignment="1">
      <alignment horizontal="left" vertical="center"/>
    </xf>
    <xf numFmtId="14" fontId="20" fillId="0" borderId="0" xfId="0" applyNumberFormat="1" applyFont="1"/>
    <xf numFmtId="0" fontId="20" fillId="0" borderId="20" xfId="0" applyFont="1" applyBorder="1" applyAlignment="1">
      <alignment vertical="top" wrapText="1"/>
    </xf>
    <xf numFmtId="0" fontId="73" fillId="0" borderId="24" xfId="0" applyFont="1" applyBorder="1" applyAlignment="1">
      <alignment horizontal="left"/>
    </xf>
    <xf numFmtId="0" fontId="20" fillId="0" borderId="0" xfId="0" applyFont="1" applyAlignment="1">
      <alignment vertical="top" wrapText="1"/>
    </xf>
    <xf numFmtId="0" fontId="20" fillId="0" borderId="20" xfId="0" applyFont="1" applyBorder="1"/>
    <xf numFmtId="0" fontId="20" fillId="0" borderId="21" xfId="0" applyFont="1" applyBorder="1" applyAlignment="1">
      <alignment vertical="top" wrapText="1"/>
    </xf>
    <xf numFmtId="14" fontId="25" fillId="0" borderId="29" xfId="0" applyNumberFormat="1" applyFont="1" applyBorder="1" applyAlignment="1">
      <alignment horizontal="center" vertical="center"/>
    </xf>
    <xf numFmtId="0" fontId="10" fillId="0" borderId="0" xfId="0" applyFont="1"/>
    <xf numFmtId="0" fontId="11" fillId="0" borderId="0" xfId="0" applyFont="1"/>
    <xf numFmtId="9" fontId="12" fillId="0" borderId="28" xfId="23" applyNumberFormat="1" applyFont="1" applyBorder="1" applyAlignment="1">
      <alignment horizontal="center" vertical="center"/>
    </xf>
    <xf numFmtId="9" fontId="12" fillId="0" borderId="26" xfId="23" applyNumberFormat="1" applyFont="1" applyBorder="1" applyAlignment="1">
      <alignment horizontal="center" vertical="center"/>
    </xf>
    <xf numFmtId="4" fontId="23" fillId="0" borderId="13" xfId="0" applyNumberFormat="1" applyFont="1" applyBorder="1" applyAlignment="1">
      <alignment horizontal="left" vertical="center"/>
    </xf>
    <xf numFmtId="4" fontId="23" fillId="0" borderId="0" xfId="0" applyNumberFormat="1" applyFont="1" applyAlignment="1">
      <alignment horizontal="left" vertical="center"/>
    </xf>
    <xf numFmtId="171" fontId="34" fillId="0" borderId="26" xfId="0" applyNumberFormat="1" applyFont="1" applyBorder="1" applyAlignment="1">
      <alignment vertical="center"/>
    </xf>
    <xf numFmtId="0" fontId="12" fillId="0" borderId="0" xfId="21" applyFont="1" applyAlignment="1">
      <alignment horizontal="center" vertical="center" wrapText="1"/>
    </xf>
    <xf numFmtId="0" fontId="23" fillId="0" borderId="0" xfId="0" applyFont="1" applyProtection="1">
      <protection hidden="1"/>
    </xf>
    <xf numFmtId="186" fontId="23" fillId="0" borderId="14" xfId="9" applyNumberFormat="1" applyFont="1" applyBorder="1"/>
    <xf numFmtId="186" fontId="23" fillId="0" borderId="14" xfId="0" applyNumberFormat="1" applyFont="1" applyBorder="1"/>
    <xf numFmtId="0" fontId="15" fillId="0" borderId="14" xfId="0" applyFont="1" applyBorder="1" applyAlignment="1">
      <alignment vertical="center" wrapText="1"/>
    </xf>
    <xf numFmtId="0" fontId="43" fillId="0" borderId="0" xfId="0" applyFont="1" applyAlignment="1">
      <alignment vertical="center"/>
    </xf>
    <xf numFmtId="193" fontId="12" fillId="0" borderId="0" xfId="23" applyNumberFormat="1" applyFont="1" applyAlignment="1">
      <alignment horizontal="center" vertical="center"/>
    </xf>
    <xf numFmtId="0" fontId="45" fillId="0" borderId="0" xfId="21" applyFont="1" applyAlignment="1">
      <alignment horizontal="left" vertical="top" wrapText="1"/>
    </xf>
    <xf numFmtId="14" fontId="45" fillId="0" borderId="0" xfId="21" applyNumberFormat="1" applyFont="1" applyAlignment="1">
      <alignment horizontal="center" vertical="center"/>
    </xf>
    <xf numFmtId="0" fontId="13" fillId="0" borderId="0" xfId="21" applyFont="1" applyAlignment="1">
      <alignment horizontal="center" vertical="center"/>
    </xf>
    <xf numFmtId="0" fontId="12" fillId="0" borderId="0" xfId="22" applyFont="1" applyAlignment="1">
      <alignment horizontal="center"/>
    </xf>
    <xf numFmtId="0" fontId="13" fillId="0" borderId="0" xfId="22" applyFont="1" applyAlignment="1">
      <alignment horizontal="center" vertical="center"/>
    </xf>
    <xf numFmtId="0" fontId="52" fillId="0" borderId="0" xfId="0" applyFont="1" applyAlignment="1" applyProtection="1">
      <alignment horizontal="center" vertical="center"/>
      <protection hidden="1"/>
    </xf>
    <xf numFmtId="186" fontId="14" fillId="3" borderId="28" xfId="23" applyNumberFormat="1" applyFont="1" applyFill="1" applyBorder="1" applyAlignment="1" applyProtection="1">
      <alignment vertical="center"/>
      <protection locked="0"/>
    </xf>
    <xf numFmtId="186" fontId="14" fillId="3" borderId="26" xfId="23" applyNumberFormat="1" applyFont="1" applyFill="1" applyBorder="1" applyAlignment="1" applyProtection="1">
      <alignment vertical="center"/>
      <protection locked="0"/>
    </xf>
    <xf numFmtId="186" fontId="14" fillId="3" borderId="28" xfId="23" applyNumberFormat="1" applyFont="1" applyFill="1" applyBorder="1" applyAlignment="1" applyProtection="1">
      <alignment horizontal="center" vertical="center"/>
      <protection locked="0"/>
    </xf>
    <xf numFmtId="186" fontId="14" fillId="3" borderId="26" xfId="23" applyNumberFormat="1" applyFont="1" applyFill="1" applyBorder="1" applyAlignment="1" applyProtection="1">
      <alignment horizontal="center" vertical="center"/>
      <protection locked="0"/>
    </xf>
    <xf numFmtId="9" fontId="12" fillId="0" borderId="0" xfId="22" applyNumberFormat="1" applyFont="1" applyAlignment="1">
      <alignment vertical="center"/>
    </xf>
    <xf numFmtId="0" fontId="11" fillId="0" borderId="0" xfId="21" applyFont="1" applyAlignment="1">
      <alignment horizontal="center" vertical="center" wrapText="1"/>
    </xf>
    <xf numFmtId="0" fontId="12" fillId="0" borderId="13" xfId="21" applyFont="1" applyBorder="1" applyAlignment="1">
      <alignment vertical="center" wrapText="1"/>
    </xf>
    <xf numFmtId="0" fontId="12" fillId="0" borderId="29" xfId="22" applyFont="1" applyBorder="1" applyAlignment="1">
      <alignment horizontal="center"/>
    </xf>
    <xf numFmtId="0" fontId="83" fillId="0" borderId="3" xfId="20" applyFont="1" applyFill="1" applyBorder="1" applyAlignment="1" applyProtection="1">
      <alignment vertical="center"/>
      <protection hidden="1"/>
    </xf>
    <xf numFmtId="0" fontId="83" fillId="0" borderId="0" xfId="20" applyFont="1" applyFill="1" applyBorder="1" applyAlignment="1" applyProtection="1">
      <alignment horizontal="center" vertical="center"/>
      <protection hidden="1"/>
    </xf>
    <xf numFmtId="0" fontId="13" fillId="0" borderId="28" xfId="22" applyFont="1" applyBorder="1" applyAlignment="1">
      <alignment horizontal="center" vertical="center"/>
    </xf>
    <xf numFmtId="186" fontId="12" fillId="0" borderId="26" xfId="21" applyNumberFormat="1" applyFont="1" applyBorder="1" applyAlignment="1">
      <alignment vertical="center" wrapText="1"/>
    </xf>
    <xf numFmtId="186" fontId="12" fillId="0" borderId="18" xfId="21" applyNumberFormat="1" applyFont="1" applyBorder="1" applyAlignment="1">
      <alignment vertical="center" wrapText="1"/>
    </xf>
    <xf numFmtId="1" fontId="12" fillId="0" borderId="21" xfId="21" applyNumberFormat="1" applyFont="1" applyBorder="1" applyAlignment="1">
      <alignment horizontal="center" vertical="center"/>
    </xf>
    <xf numFmtId="193" fontId="15" fillId="0" borderId="0" xfId="23" applyNumberFormat="1" applyFont="1" applyAlignment="1" applyProtection="1">
      <alignment horizontal="center" vertical="center"/>
    </xf>
    <xf numFmtId="1" fontId="12" fillId="0" borderId="18" xfId="21" applyNumberFormat="1" applyFont="1" applyBorder="1" applyAlignment="1">
      <alignment horizontal="center" vertical="center"/>
    </xf>
    <xf numFmtId="186" fontId="47" fillId="0" borderId="21" xfId="23" applyNumberFormat="1" applyFont="1" applyBorder="1" applyAlignment="1" applyProtection="1">
      <alignment vertical="center"/>
    </xf>
    <xf numFmtId="186" fontId="12" fillId="3" borderId="28" xfId="23" applyNumberFormat="1" applyFont="1" applyFill="1" applyBorder="1" applyAlignment="1" applyProtection="1">
      <alignment horizontal="center" vertical="center"/>
      <protection locked="0"/>
    </xf>
    <xf numFmtId="186" fontId="12" fillId="3" borderId="30" xfId="23" applyNumberFormat="1" applyFont="1" applyFill="1" applyBorder="1" applyAlignment="1" applyProtection="1">
      <alignment horizontal="center" vertical="center"/>
      <protection locked="0"/>
    </xf>
    <xf numFmtId="186" fontId="12" fillId="3" borderId="26" xfId="23" applyNumberFormat="1" applyFont="1" applyFill="1" applyBorder="1" applyAlignment="1" applyProtection="1">
      <alignment vertical="center"/>
      <protection locked="0"/>
    </xf>
    <xf numFmtId="186" fontId="12" fillId="0" borderId="26" xfId="23" applyNumberFormat="1" applyFont="1" applyBorder="1" applyAlignment="1" applyProtection="1">
      <alignment horizontal="center" vertical="center"/>
    </xf>
    <xf numFmtId="186" fontId="12" fillId="0" borderId="28" xfId="23" applyNumberFormat="1" applyFont="1" applyBorder="1" applyAlignment="1" applyProtection="1">
      <alignment horizontal="center" vertical="center"/>
    </xf>
    <xf numFmtId="186" fontId="12" fillId="3" borderId="28" xfId="23" applyNumberFormat="1" applyFont="1" applyFill="1" applyBorder="1" applyAlignment="1" applyProtection="1">
      <alignment vertical="center"/>
      <protection locked="0"/>
    </xf>
    <xf numFmtId="186" fontId="12" fillId="0" borderId="28" xfId="21" applyNumberFormat="1" applyFont="1" applyBorder="1" applyAlignment="1">
      <alignment vertical="center" wrapText="1"/>
    </xf>
    <xf numFmtId="186" fontId="12" fillId="0" borderId="21" xfId="21" applyNumberFormat="1" applyFont="1" applyBorder="1" applyAlignment="1">
      <alignment vertical="center" wrapText="1"/>
    </xf>
    <xf numFmtId="0" fontId="13" fillId="0" borderId="71" xfId="22" applyFont="1" applyBorder="1" applyAlignment="1">
      <alignment horizontal="center" vertical="center"/>
    </xf>
    <xf numFmtId="0" fontId="13" fillId="0" borderId="70" xfId="22" applyFont="1" applyBorder="1" applyAlignment="1">
      <alignment horizontal="center" vertical="center"/>
    </xf>
    <xf numFmtId="0" fontId="12" fillId="0" borderId="20" xfId="22" applyFont="1" applyBorder="1" applyAlignment="1">
      <alignment horizontal="center"/>
    </xf>
    <xf numFmtId="0" fontId="14" fillId="0" borderId="45" xfId="20" applyFont="1" applyFill="1" applyBorder="1" applyAlignment="1" applyProtection="1">
      <alignment vertical="top"/>
      <protection hidden="1"/>
    </xf>
    <xf numFmtId="1" fontId="12" fillId="0" borderId="28" xfId="21" applyNumberFormat="1" applyFont="1" applyBorder="1" applyAlignment="1">
      <alignment horizontal="center" vertical="center"/>
    </xf>
    <xf numFmtId="0" fontId="13" fillId="0" borderId="71" xfId="21" applyFont="1" applyBorder="1" applyAlignment="1">
      <alignment horizontal="center" vertical="center"/>
    </xf>
    <xf numFmtId="0" fontId="12" fillId="0" borderId="28" xfId="21" applyFont="1" applyBorder="1" applyAlignment="1">
      <alignment horizontal="center" vertical="center"/>
    </xf>
    <xf numFmtId="0" fontId="12" fillId="0" borderId="56" xfId="21" applyFont="1" applyBorder="1" applyAlignment="1">
      <alignment vertical="center" wrapText="1"/>
    </xf>
    <xf numFmtId="1" fontId="12" fillId="0" borderId="31" xfId="21" applyNumberFormat="1" applyFont="1" applyBorder="1" applyAlignment="1">
      <alignment horizontal="center" vertical="center"/>
    </xf>
    <xf numFmtId="186" fontId="12" fillId="0" borderId="30" xfId="23" applyNumberFormat="1" applyFont="1" applyBorder="1" applyAlignment="1" applyProtection="1">
      <alignment horizontal="center" vertical="center"/>
    </xf>
    <xf numFmtId="186" fontId="47" fillId="0" borderId="31" xfId="23" applyNumberFormat="1" applyFont="1" applyBorder="1" applyAlignment="1" applyProtection="1">
      <alignment vertical="center"/>
    </xf>
    <xf numFmtId="186" fontId="12" fillId="3" borderId="30" xfId="23" applyNumberFormat="1" applyFont="1" applyFill="1" applyBorder="1" applyAlignment="1" applyProtection="1">
      <alignment vertical="center"/>
      <protection locked="0"/>
    </xf>
    <xf numFmtId="186" fontId="12" fillId="0" borderId="30" xfId="21" applyNumberFormat="1" applyFont="1" applyBorder="1" applyAlignment="1">
      <alignment vertical="center" wrapText="1"/>
    </xf>
    <xf numFmtId="186" fontId="12" fillId="0" borderId="31" xfId="21" applyNumberFormat="1" applyFont="1" applyBorder="1" applyAlignment="1">
      <alignment vertical="center" wrapText="1"/>
    </xf>
    <xf numFmtId="0" fontId="13" fillId="0" borderId="72" xfId="0" applyFont="1" applyBorder="1" applyAlignment="1">
      <alignment horizontal="center" vertical="center" wrapText="1"/>
    </xf>
    <xf numFmtId="0" fontId="13" fillId="0" borderId="77" xfId="0" applyFont="1" applyBorder="1" applyAlignment="1">
      <alignment horizontal="center" vertical="center"/>
    </xf>
    <xf numFmtId="1" fontId="12" fillId="0" borderId="30" xfId="0" applyNumberFormat="1" applyFont="1" applyBorder="1" applyAlignment="1">
      <alignment horizontal="center" vertical="center"/>
    </xf>
    <xf numFmtId="186" fontId="12" fillId="0" borderId="30" xfId="9" applyNumberFormat="1" applyFont="1" applyBorder="1" applyAlignment="1">
      <alignment horizontal="center" vertical="center"/>
    </xf>
    <xf numFmtId="4" fontId="27" fillId="0" borderId="5" xfId="0" applyNumberFormat="1" applyFont="1" applyBorder="1" applyAlignment="1">
      <alignment vertical="center"/>
    </xf>
    <xf numFmtId="0" fontId="23" fillId="4" borderId="5" xfId="0" applyFont="1" applyFill="1" applyBorder="1" applyAlignment="1">
      <alignment vertical="center"/>
    </xf>
    <xf numFmtId="0" fontId="64" fillId="0" borderId="19" xfId="0" applyFont="1" applyBorder="1" applyAlignment="1">
      <alignment vertical="center"/>
    </xf>
    <xf numFmtId="0" fontId="43" fillId="0" borderId="14" xfId="0" applyFont="1" applyBorder="1" applyAlignment="1">
      <alignment vertical="center"/>
    </xf>
    <xf numFmtId="179" fontId="34" fillId="0" borderId="0" xfId="0" applyNumberFormat="1" applyFont="1" applyAlignment="1">
      <alignment horizontal="center" vertical="center"/>
    </xf>
    <xf numFmtId="2" fontId="23" fillId="3" borderId="28" xfId="0" applyNumberFormat="1" applyFont="1" applyFill="1" applyBorder="1" applyAlignment="1" applyProtection="1">
      <alignment vertical="center"/>
      <protection locked="0"/>
    </xf>
    <xf numFmtId="2" fontId="23" fillId="3" borderId="30" xfId="0" applyNumberFormat="1" applyFont="1" applyFill="1" applyBorder="1" applyAlignment="1" applyProtection="1">
      <alignment vertical="center"/>
      <protection locked="0"/>
    </xf>
    <xf numFmtId="9" fontId="23" fillId="3" borderId="28" xfId="23" applyNumberFormat="1" applyFont="1" applyFill="1" applyBorder="1" applyAlignment="1" applyProtection="1">
      <alignment vertical="center"/>
      <protection locked="0"/>
    </xf>
    <xf numFmtId="9" fontId="23" fillId="3" borderId="26" xfId="23" applyNumberFormat="1" applyFont="1" applyFill="1" applyBorder="1" applyAlignment="1" applyProtection="1">
      <alignment vertical="center"/>
      <protection locked="0"/>
    </xf>
    <xf numFmtId="9" fontId="23" fillId="3" borderId="30" xfId="23" applyNumberFormat="1" applyFont="1" applyFill="1" applyBorder="1" applyAlignment="1" applyProtection="1">
      <alignment vertical="center"/>
      <protection locked="0"/>
    </xf>
    <xf numFmtId="187" fontId="23" fillId="3" borderId="28" xfId="0" applyNumberFormat="1" applyFont="1" applyFill="1" applyBorder="1" applyAlignment="1" applyProtection="1">
      <alignment vertical="center"/>
      <protection locked="0"/>
    </xf>
    <xf numFmtId="187" fontId="23" fillId="3" borderId="26" xfId="0" applyNumberFormat="1" applyFont="1" applyFill="1" applyBorder="1" applyAlignment="1" applyProtection="1">
      <alignment vertical="center"/>
      <protection locked="0"/>
    </xf>
    <xf numFmtId="188" fontId="23" fillId="3" borderId="28" xfId="0" applyNumberFormat="1" applyFont="1" applyFill="1" applyBorder="1" applyAlignment="1" applyProtection="1">
      <alignment vertical="center"/>
      <protection locked="0"/>
    </xf>
    <xf numFmtId="188" fontId="23" fillId="3" borderId="26" xfId="0" applyNumberFormat="1" applyFont="1" applyFill="1" applyBorder="1" applyAlignment="1" applyProtection="1">
      <alignment vertical="center"/>
      <protection locked="0"/>
    </xf>
    <xf numFmtId="188" fontId="23" fillId="3" borderId="30" xfId="0" applyNumberFormat="1" applyFont="1" applyFill="1" applyBorder="1" applyAlignment="1" applyProtection="1">
      <alignment vertical="center"/>
      <protection locked="0"/>
    </xf>
    <xf numFmtId="10" fontId="23" fillId="3" borderId="26" xfId="0" applyNumberFormat="1" applyFont="1" applyFill="1" applyBorder="1" applyAlignment="1" applyProtection="1">
      <alignment vertical="center"/>
      <protection locked="0"/>
    </xf>
    <xf numFmtId="186" fontId="23" fillId="3" borderId="26" xfId="0" applyNumberFormat="1" applyFont="1" applyFill="1" applyBorder="1" applyAlignment="1" applyProtection="1">
      <alignment vertical="center"/>
      <protection locked="0"/>
    </xf>
    <xf numFmtId="186" fontId="23" fillId="3" borderId="18" xfId="0" applyNumberFormat="1" applyFont="1" applyFill="1" applyBorder="1" applyAlignment="1" applyProtection="1">
      <alignment vertical="center"/>
      <protection locked="0"/>
    </xf>
    <xf numFmtId="10" fontId="23" fillId="3" borderId="28" xfId="0" applyNumberFormat="1" applyFont="1" applyFill="1" applyBorder="1" applyAlignment="1" applyProtection="1">
      <alignment vertical="center"/>
      <protection locked="0"/>
    </xf>
    <xf numFmtId="167" fontId="23" fillId="3" borderId="26" xfId="0" applyNumberFormat="1" applyFont="1" applyFill="1" applyBorder="1" applyAlignment="1" applyProtection="1">
      <alignment vertical="center"/>
      <protection locked="0"/>
    </xf>
    <xf numFmtId="10" fontId="23" fillId="3" borderId="40" xfId="23" applyFont="1" applyFill="1" applyBorder="1" applyAlignment="1" applyProtection="1">
      <alignment vertical="center"/>
      <protection locked="0"/>
    </xf>
    <xf numFmtId="4" fontId="34" fillId="0" borderId="71" xfId="0" quotePrefix="1" applyNumberFormat="1" applyFont="1" applyBorder="1" applyAlignment="1">
      <alignment horizontal="center" vertical="center" wrapText="1"/>
    </xf>
    <xf numFmtId="4" fontId="23" fillId="5" borderId="34" xfId="0" applyNumberFormat="1" applyFont="1" applyFill="1" applyBorder="1" applyAlignment="1">
      <alignment horizontal="center" vertical="center"/>
    </xf>
    <xf numFmtId="0" fontId="23" fillId="4" borderId="19" xfId="0" applyFont="1" applyFill="1" applyBorder="1" applyAlignment="1">
      <alignment vertical="center"/>
    </xf>
    <xf numFmtId="4" fontId="23" fillId="0" borderId="19" xfId="0" applyNumberFormat="1" applyFont="1" applyBorder="1" applyAlignment="1">
      <alignment vertical="center"/>
    </xf>
    <xf numFmtId="0" fontId="64" fillId="0" borderId="22" xfId="0" applyFont="1" applyBorder="1" applyAlignment="1">
      <alignment vertical="center"/>
    </xf>
    <xf numFmtId="0" fontId="64" fillId="0" borderId="0" xfId="0" applyFont="1" applyAlignment="1">
      <alignment vertical="center"/>
    </xf>
    <xf numFmtId="167" fontId="23" fillId="0" borderId="40" xfId="0" applyNumberFormat="1" applyFont="1" applyBorder="1" applyAlignment="1">
      <alignment vertical="center"/>
    </xf>
    <xf numFmtId="179" fontId="71" fillId="3" borderId="26" xfId="0" applyNumberFormat="1" applyFont="1" applyFill="1" applyBorder="1" applyAlignment="1" applyProtection="1">
      <alignment horizontal="center" vertical="center"/>
      <protection locked="0"/>
    </xf>
    <xf numFmtId="179" fontId="71" fillId="15" borderId="29" xfId="0" applyNumberFormat="1" applyFont="1" applyFill="1" applyBorder="1" applyAlignment="1" applyProtection="1">
      <alignment horizontal="center" vertical="center"/>
      <protection locked="0"/>
    </xf>
    <xf numFmtId="179" fontId="71" fillId="15" borderId="26" xfId="0" applyNumberFormat="1" applyFont="1" applyFill="1" applyBorder="1" applyAlignment="1" applyProtection="1">
      <alignment horizontal="center" vertical="center"/>
      <protection locked="0"/>
    </xf>
    <xf numFmtId="0" fontId="23" fillId="4" borderId="0" xfId="0" applyFont="1" applyFill="1" applyAlignment="1">
      <alignment vertical="center"/>
    </xf>
    <xf numFmtId="167" fontId="23" fillId="0" borderId="73" xfId="0" applyNumberFormat="1" applyFont="1" applyBorder="1" applyAlignment="1">
      <alignment vertical="center"/>
    </xf>
    <xf numFmtId="0" fontId="23" fillId="0" borderId="24" xfId="0" applyFont="1" applyBorder="1" applyAlignment="1">
      <alignment vertical="center"/>
    </xf>
    <xf numFmtId="0" fontId="23" fillId="4" borderId="22" xfId="0" applyFont="1" applyFill="1" applyBorder="1" applyAlignment="1">
      <alignment vertical="center"/>
    </xf>
    <xf numFmtId="10" fontId="23" fillId="3" borderId="40" xfId="9" applyFont="1" applyFill="1" applyBorder="1" applyAlignment="1" applyProtection="1">
      <alignment vertical="center"/>
      <protection locked="0"/>
    </xf>
    <xf numFmtId="10" fontId="23" fillId="3" borderId="25" xfId="9" applyFont="1" applyFill="1" applyBorder="1" applyAlignment="1" applyProtection="1">
      <alignment vertical="center"/>
      <protection locked="0"/>
    </xf>
    <xf numFmtId="2" fontId="23" fillId="3" borderId="31" xfId="0" applyNumberFormat="1" applyFont="1" applyFill="1" applyBorder="1" applyAlignment="1" applyProtection="1">
      <alignment vertical="center"/>
      <protection locked="0"/>
    </xf>
    <xf numFmtId="0" fontId="15" fillId="0" borderId="14" xfId="0" applyFont="1" applyBorder="1" applyAlignment="1">
      <alignment wrapText="1"/>
    </xf>
    <xf numFmtId="167" fontId="27" fillId="0" borderId="21" xfId="0" applyNumberFormat="1" applyFont="1" applyBorder="1" applyAlignment="1">
      <alignment vertical="center"/>
    </xf>
    <xf numFmtId="167" fontId="27" fillId="0" borderId="18" xfId="0" applyNumberFormat="1" applyFont="1" applyBorder="1" applyAlignment="1">
      <alignment vertical="center"/>
    </xf>
    <xf numFmtId="10" fontId="27" fillId="0" borderId="18" xfId="0" applyNumberFormat="1" applyFont="1" applyBorder="1" applyAlignment="1">
      <alignment vertical="center"/>
    </xf>
    <xf numFmtId="167" fontId="23" fillId="3" borderId="28" xfId="0" applyNumberFormat="1" applyFont="1" applyFill="1" applyBorder="1" applyAlignment="1" applyProtection="1">
      <alignment vertical="center"/>
      <protection locked="0"/>
    </xf>
    <xf numFmtId="0" fontId="15" fillId="0" borderId="14" xfId="0" applyFont="1" applyBorder="1" applyAlignment="1">
      <alignment horizontal="left" wrapText="1"/>
    </xf>
    <xf numFmtId="0" fontId="65" fillId="6" borderId="0" xfId="0" applyFont="1" applyFill="1" applyAlignment="1">
      <alignment horizontal="center" vertical="center"/>
    </xf>
    <xf numFmtId="2" fontId="66" fillId="0" borderId="11" xfId="0" applyNumberFormat="1" applyFont="1" applyBorder="1" applyAlignment="1">
      <alignment horizontal="center" vertical="center"/>
    </xf>
    <xf numFmtId="10" fontId="34" fillId="0" borderId="27" xfId="9" applyFont="1" applyBorder="1" applyAlignment="1">
      <alignment horizontal="center" vertical="center"/>
    </xf>
    <xf numFmtId="10" fontId="34" fillId="0" borderId="13" xfId="9" applyFont="1" applyBorder="1" applyAlignment="1">
      <alignment horizontal="center" vertical="center"/>
    </xf>
    <xf numFmtId="0" fontId="107" fillId="16" borderId="18" xfId="0" applyFont="1" applyFill="1" applyBorder="1" applyAlignment="1">
      <alignment vertical="center"/>
    </xf>
    <xf numFmtId="0" fontId="107" fillId="16" borderId="19" xfId="0" applyFont="1" applyFill="1" applyBorder="1" applyAlignment="1">
      <alignment vertical="center"/>
    </xf>
    <xf numFmtId="0" fontId="65" fillId="8" borderId="0" xfId="0" applyFont="1" applyFill="1" applyAlignment="1">
      <alignment horizontal="center" vertical="center"/>
    </xf>
    <xf numFmtId="0" fontId="23" fillId="0" borderId="17" xfId="0" applyFont="1" applyBorder="1" applyAlignment="1">
      <alignment vertical="center"/>
    </xf>
    <xf numFmtId="0" fontId="9" fillId="0" borderId="0" xfId="0" applyFont="1"/>
    <xf numFmtId="167" fontId="31" fillId="2" borderId="18" xfId="0" applyNumberFormat="1" applyFont="1" applyFill="1" applyBorder="1" applyAlignment="1">
      <alignment vertical="center"/>
    </xf>
    <xf numFmtId="167" fontId="31" fillId="2" borderId="22" xfId="0" applyNumberFormat="1" applyFont="1" applyFill="1" applyBorder="1" applyAlignment="1">
      <alignment vertical="center"/>
    </xf>
    <xf numFmtId="0" fontId="76" fillId="0" borderId="19" xfId="0" applyFont="1" applyBorder="1" applyAlignment="1">
      <alignment horizontal="left" vertical="center"/>
    </xf>
    <xf numFmtId="10" fontId="23" fillId="3" borderId="30" xfId="9" applyFont="1" applyFill="1" applyBorder="1" applyAlignment="1" applyProtection="1">
      <alignment vertical="center"/>
      <protection locked="0"/>
    </xf>
    <xf numFmtId="10" fontId="23" fillId="3" borderId="31" xfId="9" applyFont="1" applyFill="1" applyBorder="1" applyAlignment="1" applyProtection="1">
      <alignment vertical="center"/>
      <protection locked="0"/>
    </xf>
    <xf numFmtId="2" fontId="23" fillId="3" borderId="26" xfId="0" applyNumberFormat="1" applyFont="1" applyFill="1" applyBorder="1" applyAlignment="1" applyProtection="1">
      <alignment vertical="center"/>
      <protection locked="0"/>
    </xf>
    <xf numFmtId="4" fontId="45" fillId="0" borderId="0" xfId="5" applyFont="1" applyAlignment="1">
      <alignment horizontal="right" vertical="center"/>
    </xf>
    <xf numFmtId="9" fontId="23" fillId="0" borderId="28" xfId="0" applyNumberFormat="1" applyFont="1" applyBorder="1" applyAlignment="1">
      <alignment vertical="center"/>
    </xf>
    <xf numFmtId="0" fontId="43" fillId="0" borderId="17" xfId="0" applyFont="1" applyBorder="1" applyAlignment="1">
      <alignment vertical="center" wrapText="1"/>
    </xf>
    <xf numFmtId="0" fontId="43" fillId="0" borderId="23" xfId="0" applyFont="1" applyBorder="1" applyAlignment="1">
      <alignment vertical="center" wrapText="1"/>
    </xf>
    <xf numFmtId="0" fontId="27" fillId="0" borderId="11" xfId="0" applyFont="1" applyBorder="1" applyAlignment="1">
      <alignment vertical="top" wrapText="1"/>
    </xf>
    <xf numFmtId="0" fontId="27" fillId="0" borderId="21" xfId="0" applyFont="1" applyBorder="1"/>
    <xf numFmtId="0" fontId="27" fillId="0" borderId="17" xfId="0" applyFont="1" applyBorder="1" applyAlignment="1">
      <alignment vertical="top" wrapText="1"/>
    </xf>
    <xf numFmtId="9" fontId="23" fillId="3" borderId="29" xfId="23" applyNumberFormat="1" applyFont="1" applyFill="1" applyBorder="1" applyAlignment="1" applyProtection="1">
      <alignment vertical="center"/>
      <protection locked="0"/>
    </xf>
    <xf numFmtId="167" fontId="23" fillId="0" borderId="29" xfId="0" applyNumberFormat="1" applyFont="1" applyBorder="1" applyAlignment="1">
      <alignment vertical="center"/>
    </xf>
    <xf numFmtId="0" fontId="27" fillId="0" borderId="18" xfId="0" applyFont="1" applyBorder="1" applyAlignment="1">
      <alignment vertical="center"/>
    </xf>
    <xf numFmtId="0" fontId="27" fillId="0" borderId="19" xfId="0" applyFont="1" applyBorder="1" applyAlignment="1">
      <alignment vertical="center"/>
    </xf>
    <xf numFmtId="0" fontId="23" fillId="0" borderId="21" xfId="0" applyFont="1" applyBorder="1" applyAlignment="1">
      <alignment vertical="center"/>
    </xf>
    <xf numFmtId="0" fontId="13" fillId="0" borderId="71" xfId="0" applyFont="1" applyBorder="1" applyAlignment="1">
      <alignment horizontal="center" vertical="center"/>
    </xf>
    <xf numFmtId="0" fontId="45" fillId="0" borderId="0" xfId="0" applyFont="1" applyAlignment="1">
      <alignment horizontal="left" vertical="top" wrapText="1"/>
    </xf>
    <xf numFmtId="0" fontId="25" fillId="0" borderId="23" xfId="0" applyFont="1" applyBorder="1" applyAlignment="1">
      <alignment vertical="top" wrapText="1"/>
    </xf>
    <xf numFmtId="0" fontId="43" fillId="0" borderId="13" xfId="0" applyFont="1" applyBorder="1" applyAlignment="1">
      <alignment horizontal="left" vertical="center"/>
    </xf>
    <xf numFmtId="0" fontId="43" fillId="0" borderId="14" xfId="0" applyFont="1" applyBorder="1" applyAlignment="1">
      <alignment horizontal="left" vertical="center"/>
    </xf>
    <xf numFmtId="0" fontId="20" fillId="0" borderId="22" xfId="0" applyFont="1" applyBorder="1" applyAlignment="1">
      <alignment vertical="center"/>
    </xf>
    <xf numFmtId="0" fontId="20" fillId="0" borderId="13" xfId="0" applyFont="1" applyBorder="1" applyAlignment="1">
      <alignment vertical="top" wrapText="1"/>
    </xf>
    <xf numFmtId="2" fontId="99" fillId="0" borderId="27" xfId="0" applyNumberFormat="1" applyFont="1" applyBorder="1" applyAlignment="1">
      <alignment horizontal="center" vertical="center"/>
    </xf>
    <xf numFmtId="167" fontId="99" fillId="0" borderId="27" xfId="0" applyNumberFormat="1" applyFont="1" applyBorder="1" applyAlignment="1">
      <alignment horizontal="center" vertical="center"/>
    </xf>
    <xf numFmtId="167" fontId="99" fillId="0" borderId="13" xfId="0" applyNumberFormat="1" applyFont="1" applyBorder="1" applyAlignment="1">
      <alignment horizontal="center" vertical="center"/>
    </xf>
    <xf numFmtId="0" fontId="58" fillId="0" borderId="21" xfId="0" applyFont="1" applyBorder="1" applyAlignment="1">
      <alignment horizontal="left" vertical="center" wrapText="1"/>
    </xf>
    <xf numFmtId="0" fontId="20" fillId="0" borderId="18" xfId="0" applyFont="1" applyBorder="1" applyAlignment="1">
      <alignment vertical="center" wrapText="1"/>
    </xf>
    <xf numFmtId="186" fontId="12" fillId="0" borderId="0" xfId="9" applyNumberFormat="1" applyFont="1" applyAlignment="1">
      <alignment horizontal="center" vertical="center"/>
    </xf>
    <xf numFmtId="14" fontId="45" fillId="0" borderId="0" xfId="0" applyNumberFormat="1" applyFont="1" applyAlignment="1">
      <alignment horizontal="center" vertical="center"/>
    </xf>
    <xf numFmtId="0" fontId="13" fillId="0" borderId="0" xfId="0" applyFont="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center"/>
    </xf>
    <xf numFmtId="193" fontId="12" fillId="0" borderId="0" xfId="9" applyNumberFormat="1" applyFont="1" applyAlignment="1">
      <alignment horizontal="center" vertical="center"/>
    </xf>
    <xf numFmtId="0" fontId="37" fillId="0" borderId="0" xfId="0" applyFont="1" applyAlignment="1">
      <alignment horizontal="center" vertical="center" wrapText="1"/>
    </xf>
    <xf numFmtId="0" fontId="11" fillId="0" borderId="0" xfId="0" applyFont="1" applyAlignment="1">
      <alignment horizontal="center" vertical="center"/>
    </xf>
    <xf numFmtId="16" fontId="13" fillId="0" borderId="0" xfId="0" quotePrefix="1" applyNumberFormat="1" applyFont="1" applyAlignment="1">
      <alignment horizontal="center" vertical="center"/>
    </xf>
    <xf numFmtId="10" fontId="12" fillId="0" borderId="30" xfId="9" applyFont="1" applyBorder="1" applyAlignment="1">
      <alignment horizontal="center" vertical="center"/>
    </xf>
    <xf numFmtId="1" fontId="12" fillId="0" borderId="0" xfId="21" applyNumberFormat="1" applyFont="1" applyAlignment="1">
      <alignment horizontal="center" vertical="center"/>
    </xf>
    <xf numFmtId="1" fontId="12" fillId="0" borderId="30" xfId="21" applyNumberFormat="1" applyFont="1" applyBorder="1" applyAlignment="1">
      <alignment horizontal="center" vertical="center"/>
    </xf>
    <xf numFmtId="9" fontId="12" fillId="0" borderId="30" xfId="23" applyNumberFormat="1" applyFont="1" applyBorder="1" applyAlignment="1">
      <alignment horizontal="center" vertical="center"/>
    </xf>
    <xf numFmtId="186" fontId="14" fillId="3" borderId="30" xfId="23" applyNumberFormat="1" applyFont="1" applyFill="1" applyBorder="1" applyAlignment="1" applyProtection="1">
      <alignment vertical="center"/>
      <protection locked="0"/>
    </xf>
    <xf numFmtId="193" fontId="12" fillId="0" borderId="30" xfId="23" applyNumberFormat="1" applyFont="1" applyBorder="1" applyAlignment="1">
      <alignment horizontal="center" vertical="center"/>
    </xf>
    <xf numFmtId="186" fontId="12" fillId="0" borderId="30" xfId="23" applyNumberFormat="1" applyFont="1" applyBorder="1" applyAlignment="1">
      <alignment horizontal="center" vertical="center"/>
    </xf>
    <xf numFmtId="186" fontId="14" fillId="3" borderId="30" xfId="23" applyNumberFormat="1" applyFont="1" applyFill="1" applyBorder="1" applyAlignment="1" applyProtection="1">
      <alignment horizontal="center" vertical="center"/>
      <protection locked="0"/>
    </xf>
    <xf numFmtId="0" fontId="10" fillId="0" borderId="26" xfId="0" applyFont="1" applyBorder="1" applyAlignment="1">
      <alignment vertical="center"/>
    </xf>
    <xf numFmtId="0" fontId="10" fillId="0" borderId="26" xfId="0" applyFont="1" applyBorder="1" applyAlignment="1">
      <alignment horizontal="left" vertical="center"/>
    </xf>
    <xf numFmtId="0" fontId="12" fillId="0" borderId="19" xfId="0" applyFont="1" applyBorder="1" applyAlignment="1">
      <alignment vertical="center"/>
    </xf>
    <xf numFmtId="0" fontId="10" fillId="0" borderId="26" xfId="21" applyFont="1" applyBorder="1" applyAlignment="1">
      <alignment vertical="center"/>
    </xf>
    <xf numFmtId="0" fontId="45" fillId="0" borderId="0" xfId="21" applyFont="1" applyAlignment="1" applyProtection="1">
      <alignment horizontal="center" vertical="center" wrapText="1"/>
      <protection locked="0"/>
    </xf>
    <xf numFmtId="0" fontId="12" fillId="0" borderId="0" xfId="21" applyFont="1" applyProtection="1">
      <protection hidden="1"/>
    </xf>
    <xf numFmtId="0" fontId="12" fillId="0" borderId="0" xfId="0" applyFont="1" applyProtection="1">
      <protection hidden="1"/>
    </xf>
    <xf numFmtId="0" fontId="2" fillId="0" borderId="0" xfId="22" applyProtection="1">
      <protection hidden="1"/>
    </xf>
    <xf numFmtId="0" fontId="12" fillId="0" borderId="13"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56" xfId="0" applyFont="1" applyBorder="1" applyAlignment="1">
      <alignment horizontal="center" vertical="center" wrapText="1"/>
    </xf>
    <xf numFmtId="0" fontId="25" fillId="0" borderId="21" xfId="0" applyFont="1" applyBorder="1"/>
    <xf numFmtId="0" fontId="23" fillId="0" borderId="18" xfId="0" applyFont="1" applyBorder="1" applyAlignment="1">
      <alignment vertical="center"/>
    </xf>
    <xf numFmtId="0" fontId="23" fillId="0" borderId="22" xfId="0" applyFont="1" applyBorder="1" applyAlignment="1">
      <alignment vertical="center"/>
    </xf>
    <xf numFmtId="0" fontId="23" fillId="29" borderId="18" xfId="0" applyFont="1" applyFill="1" applyBorder="1" applyAlignment="1">
      <alignment vertical="center"/>
    </xf>
    <xf numFmtId="0" fontId="23" fillId="4" borderId="0" xfId="0" applyFont="1" applyFill="1"/>
    <xf numFmtId="4" fontId="27" fillId="4" borderId="16" xfId="0" applyNumberFormat="1" applyFont="1" applyFill="1" applyBorder="1" applyAlignment="1">
      <alignment vertical="center"/>
    </xf>
    <xf numFmtId="0" fontId="23" fillId="0" borderId="21" xfId="0" applyFont="1" applyBorder="1" applyAlignment="1">
      <alignment horizontal="left"/>
    </xf>
    <xf numFmtId="186" fontId="23" fillId="3" borderId="21" xfId="0" applyNumberFormat="1" applyFont="1" applyFill="1" applyBorder="1" applyAlignment="1" applyProtection="1">
      <alignment vertical="center"/>
      <protection locked="0"/>
    </xf>
    <xf numFmtId="0" fontId="27" fillId="29" borderId="26" xfId="0" applyFont="1" applyFill="1" applyBorder="1" applyAlignment="1">
      <alignment horizontal="center"/>
    </xf>
    <xf numFmtId="186" fontId="27" fillId="29" borderId="26" xfId="0" applyNumberFormat="1" applyFont="1" applyFill="1" applyBorder="1" applyAlignment="1">
      <alignment vertical="center"/>
    </xf>
    <xf numFmtId="0" fontId="27" fillId="29" borderId="26" xfId="0" applyFont="1" applyFill="1" applyBorder="1" applyAlignment="1">
      <alignment horizontal="center" vertical="center"/>
    </xf>
    <xf numFmtId="0" fontId="23" fillId="0" borderId="29" xfId="0" applyFont="1" applyBorder="1" applyAlignment="1">
      <alignment vertical="center"/>
    </xf>
    <xf numFmtId="0" fontId="23" fillId="0" borderId="27" xfId="0" applyFont="1" applyBorder="1" applyAlignment="1">
      <alignment vertical="center"/>
    </xf>
    <xf numFmtId="4" fontId="34" fillId="0" borderId="19" xfId="0" applyNumberFormat="1" applyFont="1" applyBorder="1" applyAlignment="1">
      <alignment vertical="center"/>
    </xf>
    <xf numFmtId="2" fontId="122" fillId="0" borderId="18" xfId="0" applyNumberFormat="1" applyFont="1" applyBorder="1" applyAlignment="1">
      <alignment horizontal="center" vertical="center"/>
    </xf>
    <xf numFmtId="167" fontId="122" fillId="0" borderId="26" xfId="0" applyNumberFormat="1" applyFont="1" applyBorder="1" applyAlignment="1">
      <alignment horizontal="center" vertical="center"/>
    </xf>
    <xf numFmtId="167" fontId="122" fillId="0" borderId="18" xfId="0" applyNumberFormat="1" applyFont="1" applyBorder="1" applyAlignment="1">
      <alignment horizontal="center" vertical="center"/>
    </xf>
    <xf numFmtId="167" fontId="122" fillId="0" borderId="58" xfId="0" applyNumberFormat="1" applyFont="1" applyBorder="1" applyAlignment="1">
      <alignment vertical="center"/>
    </xf>
    <xf numFmtId="167" fontId="122" fillId="0" borderId="28" xfId="0" applyNumberFormat="1" applyFont="1" applyBorder="1" applyAlignment="1">
      <alignment vertical="center"/>
    </xf>
    <xf numFmtId="2" fontId="122" fillId="0" borderId="31" xfId="0" applyNumberFormat="1" applyFont="1" applyBorder="1" applyAlignment="1">
      <alignment horizontal="center" vertical="center"/>
    </xf>
    <xf numFmtId="167" fontId="122" fillId="0" borderId="30" xfId="0" applyNumberFormat="1" applyFont="1" applyBorder="1" applyAlignment="1">
      <alignment horizontal="center" vertical="center"/>
    </xf>
    <xf numFmtId="167" fontId="122" fillId="0" borderId="31" xfId="0" applyNumberFormat="1" applyFont="1" applyBorder="1" applyAlignment="1">
      <alignment horizontal="center" vertical="center"/>
    </xf>
    <xf numFmtId="167" fontId="122" fillId="0" borderId="41" xfId="0" applyNumberFormat="1" applyFont="1" applyBorder="1" applyAlignment="1">
      <alignment vertical="center"/>
    </xf>
    <xf numFmtId="167" fontId="122" fillId="0" borderId="30" xfId="0" applyNumberFormat="1" applyFont="1" applyBorder="1" applyAlignment="1">
      <alignment vertical="center"/>
    </xf>
    <xf numFmtId="0" fontId="122" fillId="0" borderId="26" xfId="0" applyFont="1" applyBorder="1" applyAlignment="1">
      <alignment vertical="center"/>
    </xf>
    <xf numFmtId="0" fontId="122" fillId="0" borderId="26" xfId="0" applyFont="1" applyBorder="1" applyAlignment="1">
      <alignment horizontal="center" vertical="center"/>
    </xf>
    <xf numFmtId="0" fontId="122" fillId="0" borderId="30" xfId="0" applyFont="1" applyBorder="1" applyAlignment="1">
      <alignment vertical="center"/>
    </xf>
    <xf numFmtId="0" fontId="122" fillId="0" borderId="30" xfId="0" applyFont="1" applyBorder="1" applyAlignment="1">
      <alignment horizontal="center" vertical="center"/>
    </xf>
    <xf numFmtId="0" fontId="115" fillId="0" borderId="13" xfId="0" applyFont="1" applyBorder="1"/>
    <xf numFmtId="0" fontId="115" fillId="0" borderId="0" xfId="0" applyFont="1"/>
    <xf numFmtId="167" fontId="115" fillId="0" borderId="27" xfId="0" applyNumberFormat="1" applyFont="1" applyBorder="1" applyAlignment="1">
      <alignment vertical="center"/>
    </xf>
    <xf numFmtId="0" fontId="115" fillId="0" borderId="19" xfId="0" applyFont="1" applyBorder="1"/>
    <xf numFmtId="0" fontId="19" fillId="0" borderId="29" xfId="0" applyFont="1" applyBorder="1" applyAlignment="1">
      <alignment horizontal="center" vertical="center"/>
    </xf>
    <xf numFmtId="2" fontId="45" fillId="0" borderId="24" xfId="0" applyNumberFormat="1" applyFont="1" applyBorder="1" applyAlignment="1">
      <alignment vertical="center"/>
    </xf>
    <xf numFmtId="2" fontId="45" fillId="0" borderId="14" xfId="0" applyNumberFormat="1" applyFont="1" applyBorder="1" applyAlignment="1">
      <alignment vertical="center"/>
    </xf>
    <xf numFmtId="0" fontId="45" fillId="0" borderId="15" xfId="0" applyFont="1" applyBorder="1" applyAlignment="1">
      <alignment vertical="center"/>
    </xf>
    <xf numFmtId="0" fontId="19" fillId="0" borderId="24" xfId="0" applyFont="1" applyBorder="1" applyAlignment="1">
      <alignment horizontal="center" vertical="center"/>
    </xf>
    <xf numFmtId="9" fontId="45" fillId="0" borderId="29" xfId="9" applyNumberFormat="1" applyFont="1" applyBorder="1" applyAlignment="1">
      <alignment vertical="center"/>
    </xf>
    <xf numFmtId="9" fontId="45" fillId="0" borderId="27" xfId="9" applyNumberFormat="1" applyFont="1" applyBorder="1" applyAlignment="1">
      <alignment vertical="center"/>
    </xf>
    <xf numFmtId="192" fontId="23" fillId="0" borderId="28" xfId="9" applyNumberFormat="1" applyFont="1" applyBorder="1" applyAlignment="1">
      <alignment vertical="center"/>
    </xf>
    <xf numFmtId="175" fontId="23" fillId="0" borderId="26" xfId="15" applyNumberFormat="1" applyFont="1" applyBorder="1" applyAlignment="1">
      <alignment vertical="center"/>
    </xf>
    <xf numFmtId="197" fontId="12" fillId="0" borderId="21" xfId="9" applyNumberFormat="1" applyFont="1" applyBorder="1" applyAlignment="1">
      <alignment horizontal="center" vertical="center"/>
    </xf>
    <xf numFmtId="197" fontId="12" fillId="0" borderId="31" xfId="9" applyNumberFormat="1" applyFont="1" applyBorder="1" applyAlignment="1">
      <alignment horizontal="center" vertical="center"/>
    </xf>
    <xf numFmtId="0" fontId="12" fillId="0" borderId="20" xfId="0" applyFont="1" applyBorder="1"/>
    <xf numFmtId="0" fontId="12" fillId="0" borderId="11" xfId="0" applyFont="1" applyBorder="1"/>
    <xf numFmtId="0" fontId="12" fillId="0" borderId="24" xfId="0" applyFont="1" applyBorder="1"/>
    <xf numFmtId="0" fontId="12" fillId="0" borderId="13" xfId="0" applyFont="1" applyBorder="1"/>
    <xf numFmtId="0" fontId="12" fillId="0" borderId="14" xfId="0" applyFont="1" applyBorder="1"/>
    <xf numFmtId="0" fontId="43" fillId="0" borderId="13" xfId="0" applyFont="1" applyBorder="1" applyAlignment="1">
      <alignment vertical="center"/>
    </xf>
    <xf numFmtId="0" fontId="21" fillId="30" borderId="29" xfId="21" applyFont="1" applyFill="1" applyBorder="1"/>
    <xf numFmtId="0" fontId="21" fillId="30" borderId="27" xfId="21" applyFont="1" applyFill="1" applyBorder="1" applyAlignment="1">
      <alignment horizontal="center"/>
    </xf>
    <xf numFmtId="186" fontId="13" fillId="30" borderId="26" xfId="9" applyNumberFormat="1" applyFont="1" applyFill="1" applyBorder="1" applyAlignment="1" applyProtection="1">
      <alignment horizontal="center" vertical="center"/>
    </xf>
    <xf numFmtId="186" fontId="13" fillId="30" borderId="27" xfId="9" applyNumberFormat="1" applyFont="1" applyFill="1" applyBorder="1" applyAlignment="1" applyProtection="1">
      <alignment horizontal="center" vertical="center"/>
    </xf>
    <xf numFmtId="186" fontId="23" fillId="0" borderId="40" xfId="0" applyNumberFormat="1" applyFont="1" applyBorder="1" applyAlignment="1">
      <alignment vertical="center"/>
    </xf>
    <xf numFmtId="197" fontId="12" fillId="0" borderId="82" xfId="9" applyNumberFormat="1" applyFont="1" applyBorder="1" applyAlignment="1">
      <alignment horizontal="center" vertical="center"/>
    </xf>
    <xf numFmtId="0" fontId="106" fillId="0" borderId="19" xfId="0" applyFont="1" applyBorder="1" applyAlignment="1">
      <alignment horizontal="right" vertical="center"/>
    </xf>
    <xf numFmtId="2" fontId="27" fillId="0" borderId="28" xfId="0" applyNumberFormat="1" applyFont="1" applyBorder="1" applyAlignment="1">
      <alignment vertical="center"/>
    </xf>
    <xf numFmtId="2" fontId="23" fillId="0" borderId="28" xfId="0" applyNumberFormat="1" applyFont="1" applyBorder="1" applyAlignment="1">
      <alignment horizontal="center" vertical="center"/>
    </xf>
    <xf numFmtId="10" fontId="23" fillId="3" borderId="28" xfId="23" applyFont="1" applyFill="1" applyBorder="1" applyAlignment="1" applyProtection="1">
      <alignment vertical="center"/>
      <protection locked="0"/>
    </xf>
    <xf numFmtId="2" fontId="106" fillId="0" borderId="19" xfId="0" applyNumberFormat="1" applyFont="1" applyBorder="1" applyAlignment="1">
      <alignment horizontal="left" vertical="center"/>
    </xf>
    <xf numFmtId="175" fontId="23" fillId="0" borderId="30" xfId="15" applyNumberFormat="1" applyFont="1" applyBorder="1" applyAlignment="1">
      <alignment vertical="center"/>
    </xf>
    <xf numFmtId="0" fontId="23" fillId="9" borderId="30" xfId="0" applyFont="1" applyFill="1" applyBorder="1"/>
    <xf numFmtId="167" fontId="34" fillId="0" borderId="30" xfId="0" applyNumberFormat="1" applyFont="1" applyBorder="1" applyAlignment="1">
      <alignment horizontal="center" vertical="center"/>
    </xf>
    <xf numFmtId="10" fontId="34" fillId="0" borderId="30" xfId="9" applyFont="1" applyBorder="1" applyAlignment="1" applyProtection="1">
      <alignment vertical="center"/>
    </xf>
    <xf numFmtId="174" fontId="23" fillId="0" borderId="19" xfId="0" applyNumberFormat="1" applyFont="1" applyBorder="1" applyAlignment="1">
      <alignment vertical="center"/>
    </xf>
    <xf numFmtId="167" fontId="115" fillId="0" borderId="29" xfId="0" applyNumberFormat="1" applyFont="1" applyBorder="1" applyAlignment="1">
      <alignment vertical="center"/>
    </xf>
    <xf numFmtId="0" fontId="23" fillId="4" borderId="18" xfId="0" applyFont="1" applyFill="1" applyBorder="1" applyAlignment="1">
      <alignment vertical="center"/>
    </xf>
    <xf numFmtId="0" fontId="23" fillId="0" borderId="28" xfId="0" applyFont="1" applyBorder="1"/>
    <xf numFmtId="0" fontId="27" fillId="29" borderId="18" xfId="0" applyFont="1" applyFill="1" applyBorder="1" applyAlignment="1">
      <alignment horizontal="center"/>
    </xf>
    <xf numFmtId="186" fontId="27" fillId="29" borderId="18" xfId="0" applyNumberFormat="1" applyFont="1" applyFill="1" applyBorder="1" applyAlignment="1">
      <alignment vertical="center"/>
    </xf>
    <xf numFmtId="0" fontId="27" fillId="29" borderId="18" xfId="0" applyFont="1" applyFill="1" applyBorder="1" applyAlignment="1">
      <alignment horizontal="center" vertical="center"/>
    </xf>
    <xf numFmtId="0" fontId="52" fillId="0" borderId="0" xfId="0" applyFont="1" applyAlignment="1" applyProtection="1">
      <alignment vertical="center"/>
      <protection hidden="1"/>
    </xf>
    <xf numFmtId="176" fontId="79" fillId="0" borderId="0" xfId="0" applyNumberFormat="1" applyFont="1" applyAlignment="1" applyProtection="1">
      <alignment horizontal="center" vertical="center"/>
      <protection hidden="1"/>
    </xf>
    <xf numFmtId="176" fontId="52" fillId="0" borderId="0" xfId="0" applyNumberFormat="1" applyFont="1" applyAlignment="1" applyProtection="1">
      <alignment horizontal="left" vertical="center"/>
      <protection hidden="1"/>
    </xf>
    <xf numFmtId="186" fontId="52" fillId="0" borderId="0" xfId="9" applyNumberFormat="1" applyFont="1" applyProtection="1">
      <protection hidden="1"/>
    </xf>
    <xf numFmtId="0" fontId="113" fillId="0" borderId="0" xfId="0" applyFont="1" applyProtection="1">
      <protection hidden="1"/>
    </xf>
    <xf numFmtId="0" fontId="113" fillId="0" borderId="0" xfId="0" applyFont="1" applyAlignment="1" applyProtection="1">
      <alignment horizontal="center" vertical="center"/>
      <protection hidden="1"/>
    </xf>
    <xf numFmtId="199" fontId="52" fillId="0" borderId="0" xfId="0" applyNumberFormat="1" applyFont="1" applyAlignment="1" applyProtection="1">
      <alignment vertical="center"/>
      <protection hidden="1"/>
    </xf>
    <xf numFmtId="2" fontId="79" fillId="0" borderId="0" xfId="0" applyNumberFormat="1" applyFont="1" applyAlignment="1" applyProtection="1">
      <alignment horizontal="center" vertical="center"/>
      <protection hidden="1"/>
    </xf>
    <xf numFmtId="2" fontId="52" fillId="0" borderId="0" xfId="0" applyNumberFormat="1" applyFont="1" applyAlignment="1" applyProtection="1">
      <alignment horizontal="left" vertical="center"/>
      <protection hidden="1"/>
    </xf>
    <xf numFmtId="2" fontId="79" fillId="0" borderId="0" xfId="0" applyNumberFormat="1" applyFont="1" applyAlignment="1" applyProtection="1">
      <alignment horizontal="left" vertical="center"/>
      <protection hidden="1"/>
    </xf>
    <xf numFmtId="176" fontId="79" fillId="0" borderId="0" xfId="0" applyNumberFormat="1" applyFont="1" applyProtection="1">
      <protection hidden="1"/>
    </xf>
    <xf numFmtId="2" fontId="23" fillId="0" borderId="0" xfId="0" applyNumberFormat="1" applyFont="1" applyProtection="1">
      <protection hidden="1"/>
    </xf>
    <xf numFmtId="2" fontId="52" fillId="0" borderId="0" xfId="0" applyNumberFormat="1" applyFont="1" applyAlignment="1" applyProtection="1">
      <alignment vertical="center"/>
      <protection hidden="1"/>
    </xf>
    <xf numFmtId="0" fontId="52" fillId="0" borderId="0" xfId="0" applyFont="1" applyProtection="1">
      <protection hidden="1"/>
    </xf>
    <xf numFmtId="0" fontId="90" fillId="0" borderId="0" xfId="0" applyFont="1" applyProtection="1">
      <protection hidden="1"/>
    </xf>
    <xf numFmtId="2" fontId="23" fillId="0" borderId="40" xfId="0" applyNumberFormat="1" applyFont="1" applyBorder="1" applyAlignment="1">
      <alignment vertical="center"/>
    </xf>
    <xf numFmtId="10" fontId="23" fillId="0" borderId="40" xfId="9" applyFont="1" applyBorder="1" applyAlignment="1">
      <alignment vertical="center"/>
    </xf>
    <xf numFmtId="167" fontId="23" fillId="0" borderId="25" xfId="0" applyNumberFormat="1" applyFont="1" applyBorder="1" applyAlignment="1">
      <alignment vertical="center"/>
    </xf>
    <xf numFmtId="0" fontId="109" fillId="0" borderId="70" xfId="0" applyFont="1" applyBorder="1" applyAlignment="1">
      <alignment horizontal="center" vertical="center"/>
    </xf>
    <xf numFmtId="0" fontId="123" fillId="3" borderId="26" xfId="0" applyFont="1" applyFill="1" applyBorder="1" applyAlignment="1" applyProtection="1">
      <alignment horizontal="center" vertical="center"/>
      <protection locked="0"/>
    </xf>
    <xf numFmtId="198" fontId="12" fillId="0" borderId="69" xfId="9" applyNumberFormat="1" applyFont="1" applyBorder="1" applyAlignment="1">
      <alignment horizontal="center" vertical="center"/>
    </xf>
    <xf numFmtId="0" fontId="41" fillId="0" borderId="0" xfId="0" applyFont="1"/>
    <xf numFmtId="0" fontId="41" fillId="0" borderId="14" xfId="0" applyFont="1" applyBorder="1"/>
    <xf numFmtId="0" fontId="40" fillId="0" borderId="13" xfId="0" applyFont="1" applyBorder="1" applyAlignment="1">
      <alignment vertical="center"/>
    </xf>
    <xf numFmtId="0" fontId="40" fillId="0" borderId="0" xfId="0" applyFont="1" applyAlignment="1">
      <alignment vertical="center"/>
    </xf>
    <xf numFmtId="0" fontId="44" fillId="0" borderId="0" xfId="0" applyFont="1" applyAlignment="1">
      <alignment horizontal="right" vertical="center"/>
    </xf>
    <xf numFmtId="0" fontId="44" fillId="0" borderId="18" xfId="0" applyFont="1" applyBorder="1"/>
    <xf numFmtId="167" fontId="44" fillId="0" borderId="19" xfId="0" applyNumberFormat="1" applyFont="1" applyBorder="1" applyAlignment="1">
      <alignment vertical="center"/>
    </xf>
    <xf numFmtId="0" fontId="105" fillId="0" borderId="18" xfId="0" applyFont="1" applyBorder="1" applyAlignment="1">
      <alignment vertical="center"/>
    </xf>
    <xf numFmtId="0" fontId="105" fillId="0" borderId="19" xfId="0" applyFont="1" applyBorder="1" applyAlignment="1">
      <alignment vertical="center"/>
    </xf>
    <xf numFmtId="0" fontId="105" fillId="0" borderId="26" xfId="0" applyFont="1" applyBorder="1" applyAlignment="1">
      <alignment horizontal="center" vertical="center"/>
    </xf>
    <xf numFmtId="0" fontId="40" fillId="0" borderId="18" xfId="0" applyFont="1" applyBorder="1" applyAlignment="1">
      <alignment vertical="center"/>
    </xf>
    <xf numFmtId="167" fontId="40" fillId="0" borderId="26" xfId="0" applyNumberFormat="1" applyFont="1" applyBorder="1" applyAlignment="1">
      <alignment vertical="center"/>
    </xf>
    <xf numFmtId="10" fontId="40" fillId="0" borderId="26" xfId="0" applyNumberFormat="1" applyFont="1" applyBorder="1" applyAlignment="1" applyProtection="1">
      <alignment vertical="center"/>
      <protection locked="0"/>
    </xf>
    <xf numFmtId="0" fontId="40" fillId="0" borderId="18" xfId="0" applyFont="1" applyBorder="1" applyAlignment="1">
      <alignment horizontal="left" vertical="center"/>
    </xf>
    <xf numFmtId="0" fontId="23" fillId="29" borderId="13" xfId="0" applyFont="1" applyFill="1" applyBorder="1" applyAlignment="1">
      <alignment horizontal="right" vertical="center"/>
    </xf>
    <xf numFmtId="4" fontId="23" fillId="29" borderId="14" xfId="5" applyFont="1" applyFill="1" applyBorder="1" applyAlignment="1" applyProtection="1">
      <alignment vertical="center"/>
    </xf>
    <xf numFmtId="10" fontId="23" fillId="29" borderId="14" xfId="0" applyNumberFormat="1" applyFont="1" applyFill="1" applyBorder="1" applyAlignment="1">
      <alignment vertical="center"/>
    </xf>
    <xf numFmtId="0" fontId="42" fillId="31" borderId="29" xfId="0" applyFont="1" applyFill="1" applyBorder="1" applyAlignment="1">
      <alignment vertical="center"/>
    </xf>
    <xf numFmtId="10" fontId="23" fillId="31" borderId="27" xfId="0" applyNumberFormat="1" applyFont="1" applyFill="1" applyBorder="1" applyAlignment="1">
      <alignment vertical="center"/>
    </xf>
    <xf numFmtId="4" fontId="23" fillId="31" borderId="27" xfId="5" applyFont="1" applyFill="1" applyBorder="1" applyAlignment="1" applyProtection="1">
      <alignment vertical="center"/>
    </xf>
    <xf numFmtId="176" fontId="23" fillId="31" borderId="28" xfId="0" applyNumberFormat="1" applyFont="1" applyFill="1" applyBorder="1" applyAlignment="1">
      <alignment vertical="center"/>
    </xf>
    <xf numFmtId="0" fontId="42" fillId="29" borderId="29" xfId="0" applyFont="1" applyFill="1" applyBorder="1" applyAlignment="1">
      <alignment vertical="center"/>
    </xf>
    <xf numFmtId="184" fontId="23" fillId="31" borderId="27" xfId="5" applyNumberFormat="1" applyFont="1" applyFill="1" applyBorder="1" applyAlignment="1" applyProtection="1">
      <alignment vertical="center"/>
    </xf>
    <xf numFmtId="10" fontId="23" fillId="29" borderId="27" xfId="0" applyNumberFormat="1" applyFont="1" applyFill="1" applyBorder="1" applyAlignment="1">
      <alignment vertical="center"/>
    </xf>
    <xf numFmtId="184" fontId="23" fillId="29" borderId="23" xfId="0" applyNumberFormat="1" applyFont="1" applyFill="1" applyBorder="1" applyAlignment="1">
      <alignment vertical="center"/>
    </xf>
    <xf numFmtId="0" fontId="23" fillId="29" borderId="27" xfId="0" applyFont="1" applyFill="1" applyBorder="1" applyAlignment="1">
      <alignment horizontal="right" vertical="center"/>
    </xf>
    <xf numFmtId="0" fontId="23" fillId="29" borderId="21" xfId="0" applyFont="1" applyFill="1" applyBorder="1" applyAlignment="1">
      <alignment horizontal="right" vertical="center"/>
    </xf>
    <xf numFmtId="0" fontId="23" fillId="29" borderId="22" xfId="0" applyFont="1" applyFill="1" applyBorder="1" applyAlignment="1">
      <alignment horizontal="right" vertical="center"/>
    </xf>
    <xf numFmtId="10" fontId="40" fillId="0" borderId="26" xfId="0" applyNumberFormat="1" applyFont="1" applyBorder="1" applyAlignment="1">
      <alignment vertical="center"/>
    </xf>
    <xf numFmtId="0" fontId="23" fillId="0" borderId="17" xfId="0" applyFont="1" applyBorder="1" applyAlignment="1">
      <alignment horizontal="center" vertical="center"/>
    </xf>
    <xf numFmtId="4" fontId="124" fillId="7" borderId="27" xfId="5" applyFont="1" applyFill="1" applyBorder="1" applyAlignment="1">
      <alignment horizontal="center" vertical="center"/>
    </xf>
    <xf numFmtId="4" fontId="124" fillId="7" borderId="27" xfId="5" applyFont="1" applyFill="1" applyBorder="1" applyAlignment="1">
      <alignment vertical="center"/>
    </xf>
    <xf numFmtId="0" fontId="124" fillId="7" borderId="27" xfId="5" applyNumberFormat="1" applyFont="1" applyFill="1" applyBorder="1" applyAlignment="1">
      <alignment horizontal="center" vertical="center"/>
    </xf>
    <xf numFmtId="179" fontId="71" fillId="15" borderId="27" xfId="0" applyNumberFormat="1" applyFont="1" applyFill="1" applyBorder="1" applyAlignment="1" applyProtection="1">
      <alignment horizontal="center" vertical="center"/>
      <protection locked="0"/>
    </xf>
    <xf numFmtId="0" fontId="12" fillId="0" borderId="0" xfId="0" applyFont="1" applyAlignment="1">
      <alignment horizontal="center" vertical="center"/>
    </xf>
    <xf numFmtId="0" fontId="45" fillId="0" borderId="0" xfId="0" applyFont="1" applyAlignment="1">
      <alignment horizontal="left" vertical="center"/>
    </xf>
    <xf numFmtId="167" fontId="45" fillId="0" borderId="0" xfId="0" applyNumberFormat="1" applyFont="1" applyAlignment="1">
      <alignment horizontal="center" vertical="center"/>
    </xf>
    <xf numFmtId="0" fontId="12" fillId="0" borderId="0" xfId="0" applyFont="1" applyAlignment="1">
      <alignment horizontal="left" vertical="center"/>
    </xf>
    <xf numFmtId="0" fontId="45" fillId="0" borderId="0" xfId="0" applyFont="1" applyAlignment="1">
      <alignment horizontal="left" vertical="top"/>
    </xf>
    <xf numFmtId="4" fontId="16" fillId="0" borderId="72" xfId="0" applyNumberFormat="1" applyFont="1" applyBorder="1" applyAlignment="1">
      <alignment horizontal="center" vertical="center" wrapText="1"/>
    </xf>
    <xf numFmtId="4" fontId="34" fillId="0" borderId="18" xfId="0" applyNumberFormat="1" applyFont="1" applyBorder="1" applyAlignment="1">
      <alignment vertical="center"/>
    </xf>
    <xf numFmtId="202" fontId="23" fillId="3" borderId="26" xfId="23" applyNumberFormat="1" applyFont="1" applyFill="1" applyBorder="1" applyAlignment="1" applyProtection="1">
      <alignment vertical="center"/>
      <protection locked="0"/>
    </xf>
    <xf numFmtId="10" fontId="23" fillId="3" borderId="30" xfId="0" applyNumberFormat="1" applyFont="1" applyFill="1" applyBorder="1" applyAlignment="1" applyProtection="1">
      <alignment vertical="center"/>
      <protection locked="0"/>
    </xf>
    <xf numFmtId="0" fontId="23" fillId="29" borderId="31" xfId="0" applyFont="1" applyFill="1" applyBorder="1" applyAlignment="1">
      <alignment vertical="center"/>
    </xf>
    <xf numFmtId="167" fontId="23" fillId="0" borderId="18" xfId="0" applyNumberFormat="1" applyFont="1" applyBorder="1" applyAlignment="1">
      <alignment vertical="center"/>
    </xf>
    <xf numFmtId="167" fontId="23" fillId="0" borderId="31" xfId="0" applyNumberFormat="1" applyFont="1" applyBorder="1" applyAlignment="1">
      <alignment vertical="center"/>
    </xf>
    <xf numFmtId="179" fontId="71" fillId="3" borderId="11" xfId="0" applyNumberFormat="1" applyFont="1" applyFill="1" applyBorder="1" applyAlignment="1" applyProtection="1">
      <alignment horizontal="center" vertical="center"/>
      <protection locked="0"/>
    </xf>
    <xf numFmtId="2" fontId="23" fillId="0" borderId="21" xfId="0" applyNumberFormat="1" applyFont="1" applyBorder="1" applyAlignment="1">
      <alignment horizontal="center" vertical="center"/>
    </xf>
    <xf numFmtId="167" fontId="122" fillId="0" borderId="17" xfId="0" applyNumberFormat="1" applyFont="1" applyBorder="1" applyAlignment="1">
      <alignment vertical="center"/>
    </xf>
    <xf numFmtId="167" fontId="122" fillId="0" borderId="42" xfId="0" applyNumberFormat="1" applyFont="1" applyBorder="1" applyAlignment="1">
      <alignment vertical="center"/>
    </xf>
    <xf numFmtId="10" fontId="23" fillId="3" borderId="25" xfId="23" applyFont="1" applyFill="1" applyBorder="1" applyAlignment="1" applyProtection="1">
      <alignment vertical="center"/>
      <protection locked="0"/>
    </xf>
    <xf numFmtId="0" fontId="43" fillId="4" borderId="0" xfId="0" applyFont="1" applyFill="1"/>
    <xf numFmtId="0" fontId="65" fillId="4" borderId="0" xfId="0" applyFont="1" applyFill="1" applyAlignment="1">
      <alignment horizontal="center" vertical="center"/>
    </xf>
    <xf numFmtId="0" fontId="123" fillId="3" borderId="18" xfId="0" applyFont="1" applyFill="1" applyBorder="1" applyAlignment="1" applyProtection="1">
      <alignment horizontal="center" vertical="center"/>
      <protection locked="0"/>
    </xf>
    <xf numFmtId="10" fontId="27" fillId="0" borderId="17" xfId="0" applyNumberFormat="1" applyFont="1" applyBorder="1" applyAlignment="1">
      <alignment vertical="center"/>
    </xf>
    <xf numFmtId="169" fontId="34" fillId="0" borderId="19" xfId="0" applyNumberFormat="1" applyFont="1" applyBorder="1" applyAlignment="1">
      <alignment vertical="center"/>
    </xf>
    <xf numFmtId="10" fontId="23" fillId="0" borderId="21" xfId="0" applyNumberFormat="1" applyFont="1" applyBorder="1" applyAlignment="1">
      <alignment vertical="center"/>
    </xf>
    <xf numFmtId="0" fontId="44" fillId="4" borderId="0" xfId="0" applyFont="1" applyFill="1"/>
    <xf numFmtId="172" fontId="14" fillId="0" borderId="0" xfId="0" applyNumberFormat="1" applyFont="1" applyAlignment="1">
      <alignment horizontal="center"/>
    </xf>
    <xf numFmtId="167" fontId="23" fillId="0" borderId="21" xfId="0" applyNumberFormat="1" applyFont="1" applyBorder="1"/>
    <xf numFmtId="167" fontId="23" fillId="0" borderId="18" xfId="0" applyNumberFormat="1" applyFont="1" applyBorder="1"/>
    <xf numFmtId="167" fontId="23" fillId="0" borderId="31" xfId="0" applyNumberFormat="1" applyFont="1" applyBorder="1"/>
    <xf numFmtId="0" fontId="41" fillId="4" borderId="0" xfId="0" applyFont="1" applyFill="1"/>
    <xf numFmtId="0" fontId="23" fillId="0" borderId="13" xfId="0" applyFont="1" applyBorder="1" applyAlignment="1">
      <alignment horizontal="center" vertical="center"/>
    </xf>
    <xf numFmtId="0" fontId="27" fillId="4" borderId="0" xfId="0" applyFont="1" applyFill="1" applyAlignment="1">
      <alignment vertical="center"/>
    </xf>
    <xf numFmtId="10" fontId="37" fillId="3" borderId="26" xfId="19" applyNumberFormat="1" applyFont="1" applyFill="1" applyBorder="1" applyAlignment="1" applyProtection="1">
      <alignment horizontal="right" vertical="center"/>
      <protection locked="0"/>
    </xf>
    <xf numFmtId="4" fontId="23" fillId="5" borderId="42" xfId="0" applyNumberFormat="1" applyFont="1" applyFill="1" applyBorder="1" applyAlignment="1">
      <alignment vertical="center"/>
    </xf>
    <xf numFmtId="0" fontId="23" fillId="0" borderId="24" xfId="0" applyFont="1" applyBorder="1"/>
    <xf numFmtId="0" fontId="23" fillId="0" borderId="23" xfId="0" applyFont="1" applyBorder="1"/>
    <xf numFmtId="173" fontId="16" fillId="0" borderId="0" xfId="0" applyNumberFormat="1" applyFont="1" applyAlignment="1">
      <alignment vertical="center"/>
    </xf>
    <xf numFmtId="0" fontId="52" fillId="0" borderId="0" xfId="0" applyFont="1" applyAlignment="1">
      <alignment vertical="center"/>
    </xf>
    <xf numFmtId="0" fontId="52" fillId="0" borderId="11" xfId="0" applyFont="1" applyBorder="1" applyAlignment="1">
      <alignment vertical="center"/>
    </xf>
    <xf numFmtId="0" fontId="52" fillId="29" borderId="18" xfId="0" applyFont="1" applyFill="1" applyBorder="1" applyAlignment="1">
      <alignment vertical="center"/>
    </xf>
    <xf numFmtId="0" fontId="52" fillId="29" borderId="13" xfId="0" applyFont="1" applyFill="1" applyBorder="1" applyAlignment="1">
      <alignment vertical="center" wrapText="1"/>
    </xf>
    <xf numFmtId="10" fontId="52" fillId="29" borderId="0" xfId="0" applyNumberFormat="1" applyFont="1" applyFill="1" applyAlignment="1">
      <alignment vertical="center"/>
    </xf>
    <xf numFmtId="0" fontId="52" fillId="29" borderId="13" xfId="0" applyFont="1" applyFill="1" applyBorder="1" applyAlignment="1">
      <alignment vertical="center"/>
    </xf>
    <xf numFmtId="186" fontId="52" fillId="29" borderId="26" xfId="9" applyNumberFormat="1" applyFont="1" applyFill="1" applyBorder="1" applyAlignment="1" applyProtection="1">
      <alignment vertical="center"/>
    </xf>
    <xf numFmtId="186" fontId="52" fillId="29" borderId="18" xfId="9" applyNumberFormat="1" applyFont="1" applyFill="1" applyBorder="1" applyAlignment="1" applyProtection="1">
      <alignment vertical="center"/>
    </xf>
    <xf numFmtId="0" fontId="23" fillId="0" borderId="18" xfId="0" applyFont="1" applyBorder="1"/>
    <xf numFmtId="0" fontId="23" fillId="0" borderId="19" xfId="0" applyFont="1" applyBorder="1" applyAlignment="1">
      <alignment vertical="center" wrapText="1"/>
    </xf>
    <xf numFmtId="0" fontId="52" fillId="0" borderId="27" xfId="0" applyFont="1" applyBorder="1" applyAlignment="1">
      <alignment horizontal="center"/>
    </xf>
    <xf numFmtId="0" fontId="23" fillId="29" borderId="11" xfId="0" applyFont="1" applyFill="1" applyBorder="1" applyAlignment="1">
      <alignment vertical="center"/>
    </xf>
    <xf numFmtId="10" fontId="23" fillId="29" borderId="0" xfId="0" applyNumberFormat="1" applyFont="1" applyFill="1" applyAlignment="1">
      <alignment vertical="center"/>
    </xf>
    <xf numFmtId="4" fontId="23" fillId="29" borderId="0" xfId="0" applyNumberFormat="1" applyFont="1" applyFill="1" applyAlignment="1">
      <alignment vertical="center"/>
    </xf>
    <xf numFmtId="0" fontId="23" fillId="29" borderId="20" xfId="0" applyFont="1" applyFill="1" applyBorder="1" applyAlignment="1">
      <alignment vertical="center"/>
    </xf>
    <xf numFmtId="10" fontId="23" fillId="29" borderId="13" xfId="0" applyNumberFormat="1" applyFont="1" applyFill="1" applyBorder="1" applyAlignment="1">
      <alignment vertical="center"/>
    </xf>
    <xf numFmtId="10" fontId="27" fillId="0" borderId="19" xfId="0" applyNumberFormat="1" applyFont="1" applyBorder="1" applyAlignment="1">
      <alignment vertical="center"/>
    </xf>
    <xf numFmtId="0" fontId="23" fillId="20" borderId="0" xfId="0" applyFont="1" applyFill="1"/>
    <xf numFmtId="0" fontId="65" fillId="20" borderId="0" xfId="0" applyFont="1" applyFill="1" applyAlignment="1">
      <alignment horizontal="center" vertical="center"/>
    </xf>
    <xf numFmtId="0" fontId="42" fillId="20" borderId="0" xfId="0" applyFont="1" applyFill="1"/>
    <xf numFmtId="0" fontId="23" fillId="20" borderId="0" xfId="0" applyFont="1" applyFill="1" applyProtection="1">
      <protection locked="0"/>
    </xf>
    <xf numFmtId="0" fontId="16" fillId="20" borderId="0" xfId="0" applyFont="1" applyFill="1" applyAlignment="1">
      <alignment vertical="center"/>
    </xf>
    <xf numFmtId="0" fontId="87" fillId="17" borderId="0" xfId="0" applyFont="1" applyFill="1" applyAlignment="1">
      <alignment vertical="center" wrapText="1"/>
    </xf>
    <xf numFmtId="0" fontId="23" fillId="17" borderId="0" xfId="0" applyFont="1" applyFill="1"/>
    <xf numFmtId="0" fontId="65" fillId="17" borderId="0" xfId="0" applyFont="1" applyFill="1" applyAlignment="1">
      <alignment horizontal="center" vertical="center"/>
    </xf>
    <xf numFmtId="0" fontId="42" fillId="17" borderId="0" xfId="0" applyFont="1" applyFill="1"/>
    <xf numFmtId="0" fontId="23" fillId="17" borderId="0" xfId="0" applyFont="1" applyFill="1" applyProtection="1">
      <protection locked="0"/>
    </xf>
    <xf numFmtId="0" fontId="101" fillId="17" borderId="0" xfId="0" applyFont="1" applyFill="1" applyAlignment="1">
      <alignment horizontal="center" vertical="center"/>
    </xf>
    <xf numFmtId="0" fontId="103" fillId="17" borderId="0" xfId="0" applyFont="1" applyFill="1"/>
    <xf numFmtId="0" fontId="87" fillId="16" borderId="0" xfId="0" applyFont="1" applyFill="1" applyAlignment="1">
      <alignment vertical="center" wrapText="1"/>
    </xf>
    <xf numFmtId="167" fontId="107" fillId="16" borderId="19" xfId="0" applyNumberFormat="1" applyFont="1" applyFill="1" applyBorder="1" applyAlignment="1">
      <alignment vertical="center"/>
    </xf>
    <xf numFmtId="0" fontId="102" fillId="16" borderId="0" xfId="0" applyFont="1" applyFill="1"/>
    <xf numFmtId="0" fontId="101" fillId="16" borderId="0" xfId="0" applyFont="1" applyFill="1" applyAlignment="1">
      <alignment horizontal="center" vertical="center"/>
    </xf>
    <xf numFmtId="0" fontId="103" fillId="16" borderId="0" xfId="0" applyFont="1" applyFill="1"/>
    <xf numFmtId="0" fontId="102" fillId="16" borderId="0" xfId="0" applyFont="1" applyFill="1" applyProtection="1">
      <protection locked="0"/>
    </xf>
    <xf numFmtId="0" fontId="42" fillId="16" borderId="0" xfId="0" applyFont="1" applyFill="1"/>
    <xf numFmtId="0" fontId="23" fillId="16" borderId="0" xfId="0" applyFont="1" applyFill="1"/>
    <xf numFmtId="0" fontId="107" fillId="8" borderId="0" xfId="0" applyFont="1" applyFill="1" applyAlignment="1">
      <alignment vertical="center"/>
    </xf>
    <xf numFmtId="0" fontId="87" fillId="8" borderId="0" xfId="0" applyFont="1" applyFill="1" applyAlignment="1">
      <alignment vertical="center" wrapText="1"/>
    </xf>
    <xf numFmtId="10" fontId="107" fillId="8" borderId="0" xfId="0" applyNumberFormat="1" applyFont="1" applyFill="1" applyAlignment="1">
      <alignment vertical="center"/>
    </xf>
    <xf numFmtId="167" fontId="107" fillId="8" borderId="0" xfId="0" applyNumberFormat="1" applyFont="1" applyFill="1" applyAlignment="1">
      <alignment vertical="center"/>
    </xf>
    <xf numFmtId="0" fontId="23" fillId="8" borderId="0" xfId="0" applyFont="1" applyFill="1"/>
    <xf numFmtId="0" fontId="23" fillId="8" borderId="0" xfId="0" applyFont="1" applyFill="1" applyProtection="1">
      <protection locked="0"/>
    </xf>
    <xf numFmtId="0" fontId="42" fillId="8" borderId="0" xfId="0" applyFont="1" applyFill="1"/>
    <xf numFmtId="0" fontId="86" fillId="6" borderId="0" xfId="0" applyFont="1" applyFill="1" applyAlignment="1">
      <alignment vertical="center" wrapText="1"/>
    </xf>
    <xf numFmtId="0" fontId="23" fillId="6" borderId="0" xfId="0" applyFont="1" applyFill="1"/>
    <xf numFmtId="0" fontId="23" fillId="6" borderId="0" xfId="0" applyFont="1" applyFill="1" applyProtection="1">
      <protection locked="0"/>
    </xf>
    <xf numFmtId="0" fontId="42" fillId="6" borderId="0" xfId="0" applyFont="1" applyFill="1"/>
    <xf numFmtId="0" fontId="27" fillId="0" borderId="14" xfId="0" applyFont="1" applyBorder="1" applyAlignment="1">
      <alignment vertical="center"/>
    </xf>
    <xf numFmtId="10" fontId="27" fillId="0" borderId="5" xfId="9" applyFont="1" applyBorder="1" applyAlignment="1">
      <alignment vertical="center"/>
    </xf>
    <xf numFmtId="0" fontId="108" fillId="0" borderId="71" xfId="0" applyFont="1" applyBorder="1" applyAlignment="1">
      <alignment horizontal="center" vertical="center"/>
    </xf>
    <xf numFmtId="0" fontId="104" fillId="0" borderId="18" xfId="0" applyFont="1" applyBorder="1" applyAlignment="1">
      <alignment vertical="center"/>
    </xf>
    <xf numFmtId="0" fontId="27" fillId="0" borderId="45" xfId="0" applyFont="1" applyBorder="1" applyAlignment="1">
      <alignment horizontal="center" vertical="center"/>
    </xf>
    <xf numFmtId="10" fontId="27" fillId="0" borderId="40" xfId="9" applyFont="1" applyBorder="1" applyAlignment="1">
      <alignment vertical="center"/>
    </xf>
    <xf numFmtId="10" fontId="27" fillId="0" borderId="25" xfId="9" applyFont="1" applyBorder="1" applyAlignment="1">
      <alignment vertical="center"/>
    </xf>
    <xf numFmtId="167" fontId="34" fillId="0" borderId="26" xfId="0" applyNumberFormat="1" applyFont="1" applyBorder="1" applyAlignment="1">
      <alignment horizontal="center" vertical="center"/>
    </xf>
    <xf numFmtId="0" fontId="34" fillId="0" borderId="26" xfId="0" applyFont="1" applyBorder="1" applyAlignment="1">
      <alignment horizontal="center" vertical="center"/>
    </xf>
    <xf numFmtId="0" fontId="34" fillId="0" borderId="26" xfId="0" applyFont="1" applyBorder="1" applyAlignment="1">
      <alignment vertical="center"/>
    </xf>
    <xf numFmtId="167" fontId="34" fillId="0" borderId="26" xfId="0" applyNumberFormat="1" applyFont="1" applyBorder="1" applyAlignment="1">
      <alignment vertical="center"/>
    </xf>
    <xf numFmtId="169" fontId="34" fillId="0" borderId="26" xfId="0" applyNumberFormat="1" applyFont="1" applyBorder="1"/>
    <xf numFmtId="188" fontId="27" fillId="0" borderId="26" xfId="0" applyNumberFormat="1" applyFont="1" applyBorder="1" applyAlignment="1">
      <alignment vertical="center"/>
    </xf>
    <xf numFmtId="10" fontId="34" fillId="0" borderId="26" xfId="9" applyFont="1" applyBorder="1" applyAlignment="1">
      <alignment vertical="center"/>
    </xf>
    <xf numFmtId="4" fontId="27" fillId="0" borderId="26" xfId="0" applyNumberFormat="1" applyFont="1" applyBorder="1" applyAlignment="1">
      <alignment vertical="center"/>
    </xf>
    <xf numFmtId="188" fontId="23" fillId="0" borderId="26" xfId="0" applyNumberFormat="1" applyFont="1" applyBorder="1" applyAlignment="1">
      <alignment vertical="center"/>
    </xf>
    <xf numFmtId="4" fontId="23" fillId="0" borderId="26" xfId="0" applyNumberFormat="1" applyFont="1" applyBorder="1" applyAlignment="1">
      <alignment horizontal="right" vertical="center"/>
    </xf>
    <xf numFmtId="175" fontId="23" fillId="0" borderId="28" xfId="15" applyNumberFormat="1" applyFont="1" applyBorder="1" applyAlignment="1">
      <alignment vertical="center"/>
    </xf>
    <xf numFmtId="0" fontId="23" fillId="9" borderId="54" xfId="0" applyFont="1" applyFill="1" applyBorder="1"/>
    <xf numFmtId="167" fontId="34" fillId="0" borderId="23" xfId="0" applyNumberFormat="1" applyFont="1" applyBorder="1" applyAlignment="1">
      <alignment vertical="center"/>
    </xf>
    <xf numFmtId="0" fontId="34" fillId="0" borderId="0" xfId="0" applyFont="1"/>
    <xf numFmtId="186" fontId="27" fillId="0" borderId="29" xfId="0" applyNumberFormat="1" applyFont="1" applyBorder="1" applyAlignment="1">
      <alignment vertical="center"/>
    </xf>
    <xf numFmtId="201" fontId="14" fillId="0" borderId="0" xfId="9" applyNumberFormat="1" applyFont="1" applyAlignment="1" applyProtection="1">
      <alignment horizontal="left"/>
      <protection hidden="1"/>
    </xf>
    <xf numFmtId="2" fontId="113" fillId="3" borderId="0" xfId="0" applyNumberFormat="1" applyFont="1" applyFill="1" applyAlignment="1" applyProtection="1">
      <alignment horizontal="center" vertical="center"/>
      <protection hidden="1"/>
    </xf>
    <xf numFmtId="2" fontId="85" fillId="3" borderId="0" xfId="0" applyNumberFormat="1" applyFont="1" applyFill="1" applyAlignment="1" applyProtection="1">
      <alignment horizontal="center" vertical="center"/>
      <protection hidden="1"/>
    </xf>
    <xf numFmtId="0" fontId="23" fillId="0" borderId="13" xfId="0" applyFont="1" applyBorder="1" applyProtection="1">
      <protection hidden="1"/>
    </xf>
    <xf numFmtId="0" fontId="14" fillId="0" borderId="0" xfId="0" applyFont="1" applyAlignment="1" applyProtection="1">
      <alignment vertical="center"/>
      <protection hidden="1"/>
    </xf>
    <xf numFmtId="0" fontId="23" fillId="0" borderId="11" xfId="0" applyFont="1" applyBorder="1" applyProtection="1">
      <protection hidden="1"/>
    </xf>
    <xf numFmtId="4" fontId="23" fillId="29" borderId="53" xfId="0" applyNumberFormat="1" applyFont="1" applyFill="1" applyBorder="1" applyAlignment="1">
      <alignment vertical="center"/>
    </xf>
    <xf numFmtId="0" fontId="23" fillId="29" borderId="55" xfId="0" applyFont="1" applyFill="1" applyBorder="1" applyAlignment="1">
      <alignment vertical="center"/>
    </xf>
    <xf numFmtId="4" fontId="22" fillId="29" borderId="56" xfId="0" quotePrefix="1" applyNumberFormat="1" applyFont="1" applyFill="1" applyBorder="1" applyAlignment="1">
      <alignment horizontal="center" vertical="center" wrapText="1"/>
    </xf>
    <xf numFmtId="4" fontId="22" fillId="29" borderId="53" xfId="0" quotePrefix="1" applyNumberFormat="1" applyFont="1" applyFill="1" applyBorder="1" applyAlignment="1">
      <alignment horizontal="center" vertical="center" wrapText="1"/>
    </xf>
    <xf numFmtId="174" fontId="23" fillId="29" borderId="83" xfId="9" applyNumberFormat="1" applyFont="1" applyFill="1" applyBorder="1" applyAlignment="1">
      <alignment vertical="center"/>
    </xf>
    <xf numFmtId="165" fontId="23" fillId="29" borderId="83" xfId="9" applyNumberFormat="1" applyFont="1" applyFill="1" applyBorder="1" applyAlignment="1">
      <alignment vertical="center"/>
    </xf>
    <xf numFmtId="10" fontId="23" fillId="29" borderId="84" xfId="9" applyFont="1" applyFill="1" applyBorder="1" applyAlignment="1">
      <alignment vertical="center"/>
    </xf>
    <xf numFmtId="0" fontId="104" fillId="0" borderId="28" xfId="0" applyFont="1" applyBorder="1" applyAlignment="1">
      <alignment vertical="center"/>
    </xf>
    <xf numFmtId="0" fontId="104" fillId="0" borderId="28" xfId="0" applyFont="1" applyBorder="1" applyAlignment="1">
      <alignment horizontal="center" vertical="center"/>
    </xf>
    <xf numFmtId="0" fontId="104" fillId="0" borderId="21" xfId="0" applyFont="1" applyBorder="1" applyAlignment="1">
      <alignment horizontal="center" vertical="center"/>
    </xf>
    <xf numFmtId="167" fontId="104" fillId="0" borderId="28" xfId="0" applyNumberFormat="1" applyFont="1" applyBorder="1" applyAlignment="1">
      <alignment horizontal="center" vertical="center"/>
    </xf>
    <xf numFmtId="167" fontId="104" fillId="0" borderId="21" xfId="0" applyNumberFormat="1" applyFont="1" applyBorder="1" applyAlignment="1">
      <alignment horizontal="center" vertical="center"/>
    </xf>
    <xf numFmtId="167" fontId="104" fillId="0" borderId="58" xfId="0" applyNumberFormat="1" applyFont="1" applyBorder="1" applyAlignment="1">
      <alignment vertical="center"/>
    </xf>
    <xf numFmtId="167" fontId="104" fillId="0" borderId="28" xfId="0" applyNumberFormat="1" applyFont="1" applyBorder="1" applyAlignment="1">
      <alignment vertical="center"/>
    </xf>
    <xf numFmtId="167" fontId="104" fillId="0" borderId="17" xfId="0" applyNumberFormat="1" applyFont="1" applyBorder="1" applyAlignment="1">
      <alignment vertical="center"/>
    </xf>
    <xf numFmtId="0" fontId="104" fillId="0" borderId="30" xfId="0" applyFont="1" applyBorder="1" applyAlignment="1">
      <alignment vertical="center"/>
    </xf>
    <xf numFmtId="0" fontId="104" fillId="0" borderId="30" xfId="0" applyFont="1" applyBorder="1" applyAlignment="1">
      <alignment horizontal="center" vertical="center"/>
    </xf>
    <xf numFmtId="0" fontId="104" fillId="0" borderId="31" xfId="0" applyFont="1" applyBorder="1" applyAlignment="1">
      <alignment horizontal="center" vertical="center"/>
    </xf>
    <xf numFmtId="167" fontId="104" fillId="0" borderId="30" xfId="0" applyNumberFormat="1" applyFont="1" applyBorder="1" applyAlignment="1">
      <alignment horizontal="center" vertical="center"/>
    </xf>
    <xf numFmtId="167" fontId="104" fillId="0" borderId="31" xfId="0" applyNumberFormat="1" applyFont="1" applyBorder="1" applyAlignment="1">
      <alignment horizontal="center" vertical="center"/>
    </xf>
    <xf numFmtId="167" fontId="104" fillId="0" borderId="41" xfId="0" applyNumberFormat="1" applyFont="1" applyBorder="1" applyAlignment="1">
      <alignment vertical="center"/>
    </xf>
    <xf numFmtId="167" fontId="104" fillId="0" borderId="30" xfId="0" applyNumberFormat="1" applyFont="1" applyBorder="1" applyAlignment="1">
      <alignment vertical="center"/>
    </xf>
    <xf numFmtId="167" fontId="104" fillId="0" borderId="42" xfId="0" applyNumberFormat="1" applyFont="1" applyBorder="1" applyAlignment="1">
      <alignment vertical="center"/>
    </xf>
    <xf numFmtId="0" fontId="106" fillId="0" borderId="13" xfId="0" applyFont="1" applyBorder="1" applyAlignment="1">
      <alignment vertical="center"/>
    </xf>
    <xf numFmtId="0" fontId="106" fillId="0" borderId="0" xfId="0" applyFont="1" applyAlignment="1">
      <alignment horizontal="center" vertical="center"/>
    </xf>
    <xf numFmtId="0" fontId="104" fillId="0" borderId="13" xfId="0" applyFont="1" applyBorder="1" applyAlignment="1">
      <alignment horizontal="center" vertical="center"/>
    </xf>
    <xf numFmtId="167" fontId="104" fillId="0" borderId="27" xfId="0" applyNumberFormat="1" applyFont="1" applyBorder="1" applyAlignment="1">
      <alignment horizontal="center" vertical="center"/>
    </xf>
    <xf numFmtId="167" fontId="104" fillId="0" borderId="13" xfId="0" applyNumberFormat="1" applyFont="1" applyBorder="1" applyAlignment="1">
      <alignment horizontal="center" vertical="center"/>
    </xf>
    <xf numFmtId="0" fontId="106" fillId="0" borderId="10" xfId="0" applyFont="1" applyBorder="1" applyAlignment="1">
      <alignment horizontal="center" vertical="center"/>
    </xf>
    <xf numFmtId="10" fontId="106" fillId="0" borderId="40" xfId="9" applyFont="1" applyBorder="1" applyAlignment="1">
      <alignment vertical="center"/>
    </xf>
    <xf numFmtId="10" fontId="106" fillId="0" borderId="9" xfId="9" applyFont="1" applyBorder="1" applyAlignment="1">
      <alignment vertical="center"/>
    </xf>
    <xf numFmtId="0" fontId="104" fillId="0" borderId="26" xfId="0" applyFont="1" applyBorder="1" applyAlignment="1">
      <alignment vertical="center"/>
    </xf>
    <xf numFmtId="0" fontId="104" fillId="0" borderId="26" xfId="0" applyFont="1" applyBorder="1" applyAlignment="1">
      <alignment horizontal="center" vertical="center"/>
    </xf>
    <xf numFmtId="0" fontId="104" fillId="0" borderId="18" xfId="0" applyFont="1" applyBorder="1" applyAlignment="1">
      <alignment horizontal="center" vertical="center"/>
    </xf>
    <xf numFmtId="167" fontId="104" fillId="0" borderId="26" xfId="0" applyNumberFormat="1" applyFont="1" applyBorder="1" applyAlignment="1">
      <alignment horizontal="center" vertical="center"/>
    </xf>
    <xf numFmtId="167" fontId="104" fillId="0" borderId="18" xfId="0" applyNumberFormat="1" applyFont="1" applyBorder="1" applyAlignment="1">
      <alignment horizontal="center" vertical="center"/>
    </xf>
    <xf numFmtId="167" fontId="104" fillId="0" borderId="58" xfId="0" applyNumberFormat="1" applyFont="1" applyBorder="1" applyAlignment="1">
      <alignment horizontal="left" vertical="center"/>
    </xf>
    <xf numFmtId="167" fontId="104" fillId="0" borderId="41" xfId="0" applyNumberFormat="1" applyFont="1" applyBorder="1" applyAlignment="1">
      <alignment horizontal="left" vertical="center"/>
    </xf>
    <xf numFmtId="0" fontId="106" fillId="0" borderId="45" xfId="0" applyFont="1" applyBorder="1" applyAlignment="1">
      <alignment vertical="center"/>
    </xf>
    <xf numFmtId="10" fontId="106" fillId="0" borderId="27" xfId="9" applyFont="1" applyBorder="1" applyAlignment="1">
      <alignment vertical="center"/>
    </xf>
    <xf numFmtId="10" fontId="106" fillId="0" borderId="0" xfId="9" applyFont="1" applyAlignment="1">
      <alignment vertical="center"/>
    </xf>
    <xf numFmtId="10" fontId="23" fillId="0" borderId="21" xfId="9" applyFont="1" applyBorder="1" applyAlignment="1" applyProtection="1">
      <alignment vertical="center"/>
    </xf>
    <xf numFmtId="0" fontId="122" fillId="0" borderId="18" xfId="0" applyFont="1" applyBorder="1" applyAlignment="1">
      <alignment horizontal="center" vertical="center"/>
    </xf>
    <xf numFmtId="0" fontId="14" fillId="0" borderId="71" xfId="0" applyFont="1" applyBorder="1" applyAlignment="1">
      <alignment horizontal="center" vertical="center"/>
    </xf>
    <xf numFmtId="4" fontId="14" fillId="0" borderId="71" xfId="0" applyNumberFormat="1" applyFont="1" applyBorder="1" applyAlignment="1">
      <alignment horizontal="center" vertical="center"/>
    </xf>
    <xf numFmtId="0" fontId="99" fillId="0" borderId="26" xfId="0" applyFont="1" applyBorder="1" applyAlignment="1">
      <alignment horizontal="center" vertical="center"/>
    </xf>
    <xf numFmtId="0" fontId="99" fillId="0" borderId="18" xfId="0" applyFont="1" applyBorder="1" applyAlignment="1">
      <alignment horizontal="center" vertical="center"/>
    </xf>
    <xf numFmtId="0" fontId="99" fillId="0" borderId="34" xfId="0" applyFont="1" applyBorder="1" applyAlignment="1">
      <alignment horizontal="center" vertical="center"/>
    </xf>
    <xf numFmtId="0" fontId="99" fillId="0" borderId="8" xfId="0" applyFont="1" applyBorder="1" applyAlignment="1">
      <alignment horizontal="center" vertical="center"/>
    </xf>
    <xf numFmtId="0" fontId="126" fillId="0" borderId="7" xfId="0" applyFont="1" applyBorder="1" applyAlignment="1">
      <alignment horizontal="center" vertical="center"/>
    </xf>
    <xf numFmtId="0" fontId="23" fillId="0" borderId="17" xfId="0" applyFont="1" applyBorder="1" applyProtection="1">
      <protection hidden="1"/>
    </xf>
    <xf numFmtId="0" fontId="107" fillId="8" borderId="0" xfId="0" applyFont="1" applyFill="1" applyAlignment="1">
      <alignment horizontal="left" vertical="center"/>
    </xf>
    <xf numFmtId="0" fontId="64" fillId="20" borderId="0" xfId="0" applyFont="1" applyFill="1" applyAlignment="1">
      <alignment vertical="center"/>
    </xf>
    <xf numFmtId="0" fontId="23" fillId="35" borderId="0" xfId="0" applyFont="1" applyFill="1"/>
    <xf numFmtId="0" fontId="23" fillId="4" borderId="0" xfId="0" applyFont="1" applyFill="1" applyAlignment="1">
      <alignment horizontal="center" vertical="center"/>
    </xf>
    <xf numFmtId="0" fontId="23" fillId="23" borderId="0" xfId="0" applyFont="1" applyFill="1" applyAlignment="1">
      <alignment horizontal="center" vertical="center"/>
    </xf>
    <xf numFmtId="0" fontId="23" fillId="36" borderId="0" xfId="0" applyFont="1" applyFill="1" applyAlignment="1">
      <alignment horizontal="center" vertical="center"/>
    </xf>
    <xf numFmtId="0" fontId="102" fillId="16" borderId="0" xfId="0" applyFont="1" applyFill="1" applyAlignment="1">
      <alignment horizontal="center" vertical="center"/>
    </xf>
    <xf numFmtId="0" fontId="64" fillId="17" borderId="0" xfId="0" applyFont="1" applyFill="1" applyAlignment="1">
      <alignment horizontal="center" vertical="center"/>
    </xf>
    <xf numFmtId="0" fontId="23" fillId="20" borderId="0" xfId="0" applyFont="1" applyFill="1" applyAlignment="1">
      <alignment horizontal="center" vertical="center"/>
    </xf>
    <xf numFmtId="0" fontId="23" fillId="8" borderId="0" xfId="0" applyFont="1" applyFill="1" applyAlignment="1">
      <alignment horizontal="center" vertical="center"/>
    </xf>
    <xf numFmtId="0" fontId="23" fillId="14" borderId="0" xfId="0" applyFont="1" applyFill="1" applyAlignment="1">
      <alignment horizontal="center" vertical="center"/>
    </xf>
    <xf numFmtId="0" fontId="16" fillId="0" borderId="0" xfId="0" applyFont="1" applyAlignment="1">
      <alignment horizontal="left" vertical="center"/>
    </xf>
    <xf numFmtId="14" fontId="24" fillId="0" borderId="0" xfId="0" applyNumberFormat="1" applyFont="1" applyAlignment="1">
      <alignment horizontal="center" vertical="center"/>
    </xf>
    <xf numFmtId="4" fontId="24" fillId="0" borderId="0" xfId="5" applyFont="1" applyAlignment="1">
      <alignment vertical="center"/>
    </xf>
    <xf numFmtId="0" fontId="19" fillId="0" borderId="0" xfId="0" applyFont="1" applyAlignment="1">
      <alignment horizontal="center" vertical="center"/>
    </xf>
    <xf numFmtId="2" fontId="45" fillId="0" borderId="0" xfId="0" applyNumberFormat="1" applyFont="1" applyAlignment="1">
      <alignment vertical="center"/>
    </xf>
    <xf numFmtId="0" fontId="45" fillId="0" borderId="0" xfId="0" applyFont="1" applyAlignment="1">
      <alignment vertical="center"/>
    </xf>
    <xf numFmtId="167" fontId="46" fillId="0" borderId="0" xfId="0" applyNumberFormat="1" applyFont="1" applyAlignment="1">
      <alignment horizontal="center" vertical="center"/>
    </xf>
    <xf numFmtId="167" fontId="31" fillId="0" borderId="0" xfId="0" applyNumberFormat="1" applyFont="1" applyAlignment="1">
      <alignment vertical="center"/>
    </xf>
    <xf numFmtId="4" fontId="45" fillId="0" borderId="0" xfId="5" applyFont="1" applyAlignment="1">
      <alignment vertical="center"/>
    </xf>
    <xf numFmtId="0" fontId="16" fillId="0" borderId="0" xfId="0" applyFont="1" applyAlignment="1">
      <alignment horizontal="center" vertical="center"/>
    </xf>
    <xf numFmtId="0" fontId="46" fillId="0" borderId="0" xfId="0" applyFont="1" applyAlignment="1">
      <alignment horizontal="center" vertical="center" wrapText="1"/>
    </xf>
    <xf numFmtId="0" fontId="33" fillId="0" borderId="0" xfId="0" applyFont="1" applyAlignment="1">
      <alignment horizontal="center" vertical="center"/>
    </xf>
    <xf numFmtId="0" fontId="14" fillId="0" borderId="0" xfId="0" applyFont="1" applyProtection="1">
      <protection hidden="1"/>
    </xf>
    <xf numFmtId="0" fontId="78" fillId="0" borderId="2" xfId="0" applyFont="1" applyBorder="1" applyAlignment="1">
      <alignment horizontal="center" vertical="center"/>
    </xf>
    <xf numFmtId="0" fontId="79" fillId="0" borderId="0" xfId="0" applyFont="1" applyAlignment="1" applyProtection="1">
      <alignment vertical="center"/>
      <protection hidden="1"/>
    </xf>
    <xf numFmtId="200" fontId="79" fillId="0" borderId="0" xfId="0" applyNumberFormat="1" applyFont="1" applyAlignment="1" applyProtection="1">
      <alignment vertical="center"/>
      <protection hidden="1"/>
    </xf>
    <xf numFmtId="186" fontId="15" fillId="0" borderId="0" xfId="9" applyNumberFormat="1" applyFont="1" applyAlignment="1" applyProtection="1">
      <alignment horizontal="right"/>
      <protection hidden="1"/>
    </xf>
    <xf numFmtId="203" fontId="79" fillId="3" borderId="0" xfId="0" applyNumberFormat="1" applyFont="1" applyFill="1" applyAlignment="1" applyProtection="1">
      <alignment horizontal="right" vertical="center"/>
      <protection hidden="1"/>
    </xf>
    <xf numFmtId="2" fontId="79" fillId="3" borderId="0" xfId="0" applyNumberFormat="1" applyFont="1" applyFill="1" applyAlignment="1" applyProtection="1">
      <alignment horizontal="center" vertical="center"/>
      <protection hidden="1"/>
    </xf>
    <xf numFmtId="2" fontId="52" fillId="0" borderId="0" xfId="0" applyNumberFormat="1" applyFont="1" applyAlignment="1" applyProtection="1">
      <alignment horizontal="center" vertical="center"/>
      <protection hidden="1"/>
    </xf>
    <xf numFmtId="0" fontId="85" fillId="0" borderId="0" xfId="0" applyFont="1" applyProtection="1">
      <protection hidden="1"/>
    </xf>
    <xf numFmtId="0" fontId="85" fillId="0" borderId="0" xfId="0" applyFont="1" applyAlignment="1" applyProtection="1">
      <alignment horizontal="right"/>
      <protection hidden="1"/>
    </xf>
    <xf numFmtId="2" fontId="85" fillId="0" borderId="0" xfId="0" applyNumberFormat="1" applyFont="1" applyProtection="1">
      <protection hidden="1"/>
    </xf>
    <xf numFmtId="176" fontId="52" fillId="0" borderId="0" xfId="0" applyNumberFormat="1" applyFont="1" applyAlignment="1" applyProtection="1">
      <alignment vertical="center"/>
      <protection hidden="1"/>
    </xf>
    <xf numFmtId="0" fontId="23" fillId="29" borderId="28" xfId="0" applyFont="1" applyFill="1" applyBorder="1" applyAlignment="1">
      <alignment horizontal="right" vertical="center"/>
    </xf>
    <xf numFmtId="184" fontId="23" fillId="31" borderId="28" xfId="5" applyNumberFormat="1" applyFont="1" applyFill="1" applyBorder="1" applyAlignment="1" applyProtection="1">
      <alignment vertical="center"/>
    </xf>
    <xf numFmtId="10" fontId="23" fillId="29" borderId="21" xfId="0" applyNumberFormat="1" applyFont="1" applyFill="1" applyBorder="1" applyAlignment="1">
      <alignment vertical="center"/>
    </xf>
    <xf numFmtId="186" fontId="115" fillId="0" borderId="27" xfId="0" applyNumberFormat="1" applyFont="1" applyBorder="1" applyAlignment="1">
      <alignment vertical="center"/>
    </xf>
    <xf numFmtId="9" fontId="23" fillId="3" borderId="17" xfId="0" applyNumberFormat="1" applyFont="1" applyFill="1" applyBorder="1" applyAlignment="1" applyProtection="1">
      <alignment horizontal="center" vertical="center"/>
      <protection locked="0"/>
    </xf>
    <xf numFmtId="186" fontId="23" fillId="0" borderId="26" xfId="0" applyNumberFormat="1" applyFont="1" applyBorder="1"/>
    <xf numFmtId="0" fontId="15" fillId="0" borderId="14" xfId="0" applyFont="1" applyBorder="1" applyAlignment="1">
      <alignment horizontal="center" vertical="top" wrapText="1"/>
    </xf>
    <xf numFmtId="0" fontId="43" fillId="0" borderId="14" xfId="0" applyFont="1" applyBorder="1" applyAlignment="1">
      <alignment vertical="center" wrapText="1"/>
    </xf>
    <xf numFmtId="9" fontId="23" fillId="32" borderId="83" xfId="23" applyNumberFormat="1" applyFont="1" applyFill="1" applyBorder="1" applyAlignment="1" applyProtection="1">
      <alignment vertical="center"/>
    </xf>
    <xf numFmtId="10" fontId="0" fillId="0" borderId="0" xfId="0" applyNumberFormat="1"/>
    <xf numFmtId="0" fontId="27" fillId="0" borderId="13" xfId="0" applyFont="1" applyBorder="1" applyAlignment="1">
      <alignment horizontal="left" vertical="center"/>
    </xf>
    <xf numFmtId="0" fontId="27" fillId="0" borderId="0" xfId="0" applyFont="1" applyAlignment="1">
      <alignment horizontal="left" vertical="center"/>
    </xf>
    <xf numFmtId="167" fontId="27" fillId="0" borderId="0" xfId="0" applyNumberFormat="1" applyFont="1" applyAlignment="1">
      <alignment vertical="center"/>
    </xf>
    <xf numFmtId="167" fontId="27" fillId="0" borderId="27" xfId="0" applyNumberFormat="1" applyFont="1" applyBorder="1" applyAlignment="1">
      <alignment vertical="center"/>
    </xf>
    <xf numFmtId="0" fontId="96" fillId="0" borderId="13" xfId="0" applyFont="1" applyBorder="1" applyAlignment="1">
      <alignment horizontal="left" vertical="center"/>
    </xf>
    <xf numFmtId="0" fontId="96" fillId="0" borderId="0" xfId="0" applyFont="1" applyAlignment="1">
      <alignment horizontal="left" vertical="center"/>
    </xf>
    <xf numFmtId="167" fontId="96" fillId="0" borderId="0" xfId="0" applyNumberFormat="1" applyFont="1" applyAlignment="1">
      <alignment vertical="center"/>
    </xf>
    <xf numFmtId="167" fontId="96" fillId="0" borderId="27" xfId="0" applyNumberFormat="1" applyFont="1" applyBorder="1" applyAlignment="1">
      <alignment vertical="center"/>
    </xf>
    <xf numFmtId="0" fontId="64" fillId="0" borderId="13" xfId="0" applyFont="1" applyBorder="1" applyAlignment="1">
      <alignment horizontal="left" vertical="center"/>
    </xf>
    <xf numFmtId="0" fontId="64" fillId="0" borderId="0" xfId="0" applyFont="1" applyAlignment="1">
      <alignment horizontal="left" vertical="center"/>
    </xf>
    <xf numFmtId="0" fontId="23" fillId="3" borderId="13" xfId="0" applyFont="1" applyFill="1" applyBorder="1"/>
    <xf numFmtId="0" fontId="23" fillId="0" borderId="14" xfId="0" applyFont="1" applyBorder="1" applyProtection="1">
      <protection hidden="1"/>
    </xf>
    <xf numFmtId="0" fontId="23" fillId="0" borderId="17" xfId="0" applyFont="1" applyBorder="1" applyAlignment="1">
      <alignment wrapText="1"/>
    </xf>
    <xf numFmtId="0" fontId="0" fillId="6" borderId="0" xfId="0" applyFill="1"/>
    <xf numFmtId="0" fontId="0" fillId="8" borderId="0" xfId="0" applyFill="1"/>
    <xf numFmtId="0" fontId="0" fillId="16" borderId="0" xfId="0" applyFill="1"/>
    <xf numFmtId="0" fontId="0" fillId="17" borderId="0" xfId="0" applyFill="1"/>
    <xf numFmtId="0" fontId="0" fillId="20" borderId="0" xfId="0" applyFill="1"/>
    <xf numFmtId="0" fontId="110" fillId="20" borderId="0" xfId="0" applyFont="1" applyFill="1"/>
    <xf numFmtId="0" fontId="16" fillId="4" borderId="0" xfId="0" applyFont="1" applyFill="1" applyAlignment="1">
      <alignment horizontal="left" vertical="center"/>
    </xf>
    <xf numFmtId="0" fontId="12" fillId="4" borderId="0" xfId="0" applyFont="1" applyFill="1" applyAlignment="1">
      <alignment horizontal="left" vertical="center"/>
    </xf>
    <xf numFmtId="0" fontId="45" fillId="4" borderId="0" xfId="0" applyFont="1" applyFill="1" applyAlignment="1">
      <alignment horizontal="left" vertical="center"/>
    </xf>
    <xf numFmtId="0" fontId="45" fillId="4" borderId="0" xfId="0" applyFont="1" applyFill="1" applyAlignment="1">
      <alignment horizontal="left" vertical="top"/>
    </xf>
    <xf numFmtId="14" fontId="24" fillId="4" borderId="0" xfId="0" applyNumberFormat="1" applyFont="1" applyFill="1" applyAlignment="1">
      <alignment horizontal="center" vertical="center"/>
    </xf>
    <xf numFmtId="0" fontId="12" fillId="4" borderId="0" xfId="0" applyFont="1" applyFill="1" applyAlignment="1">
      <alignment horizontal="center" vertical="center"/>
    </xf>
    <xf numFmtId="14" fontId="45" fillId="4" borderId="0" xfId="0" applyNumberFormat="1" applyFont="1" applyFill="1" applyAlignment="1">
      <alignment horizontal="center" vertical="center"/>
    </xf>
    <xf numFmtId="4" fontId="24" fillId="4" borderId="0" xfId="5" applyFont="1" applyFill="1" applyAlignment="1">
      <alignment vertical="center"/>
    </xf>
    <xf numFmtId="0" fontId="19" fillId="4" borderId="0" xfId="0" applyFont="1" applyFill="1" applyAlignment="1">
      <alignment horizontal="center" vertical="center"/>
    </xf>
    <xf numFmtId="2" fontId="45" fillId="4" borderId="0" xfId="0" applyNumberFormat="1" applyFont="1" applyFill="1" applyAlignment="1">
      <alignment vertical="center"/>
    </xf>
    <xf numFmtId="0" fontId="45" fillId="4" borderId="0" xfId="0" applyFont="1" applyFill="1" applyAlignment="1">
      <alignment vertical="center"/>
    </xf>
    <xf numFmtId="4" fontId="45" fillId="4" borderId="0" xfId="5" applyFont="1" applyFill="1" applyAlignment="1">
      <alignment vertical="center"/>
    </xf>
    <xf numFmtId="0" fontId="16" fillId="4" borderId="0" xfId="0" applyFont="1" applyFill="1" applyAlignment="1">
      <alignment horizontal="center" vertical="center"/>
    </xf>
    <xf numFmtId="167" fontId="46" fillId="4" borderId="0" xfId="0" applyNumberFormat="1" applyFont="1" applyFill="1" applyAlignment="1">
      <alignment horizontal="center" vertical="center"/>
    </xf>
    <xf numFmtId="167" fontId="45" fillId="4" borderId="0" xfId="0" applyNumberFormat="1" applyFont="1" applyFill="1" applyAlignment="1">
      <alignment horizontal="center" vertical="center"/>
    </xf>
    <xf numFmtId="0" fontId="46" fillId="4" borderId="0" xfId="0" applyFont="1" applyFill="1" applyAlignment="1">
      <alignment horizontal="center" vertical="center" wrapText="1"/>
    </xf>
    <xf numFmtId="167" fontId="31" fillId="4" borderId="0" xfId="0" applyNumberFormat="1" applyFont="1" applyFill="1" applyAlignment="1">
      <alignment vertical="center"/>
    </xf>
    <xf numFmtId="0" fontId="33" fillId="4" borderId="0" xfId="0" applyFont="1" applyFill="1" applyAlignment="1">
      <alignment horizontal="center" vertical="center"/>
    </xf>
    <xf numFmtId="0" fontId="0" fillId="4" borderId="0" xfId="0" applyFill="1"/>
    <xf numFmtId="0" fontId="23" fillId="4" borderId="29" xfId="0" applyFont="1" applyFill="1" applyBorder="1"/>
    <xf numFmtId="0" fontId="23" fillId="4" borderId="28" xfId="0" applyFont="1" applyFill="1" applyBorder="1"/>
    <xf numFmtId="167" fontId="23" fillId="3" borderId="21" xfId="0" applyNumberFormat="1" applyFont="1" applyFill="1" applyBorder="1" applyAlignment="1" applyProtection="1">
      <alignment vertical="center"/>
      <protection locked="0"/>
    </xf>
    <xf numFmtId="0" fontId="14" fillId="0" borderId="72" xfId="0" applyFont="1" applyBorder="1" applyAlignment="1">
      <alignment vertical="center"/>
    </xf>
    <xf numFmtId="0" fontId="14" fillId="0" borderId="2" xfId="0" applyFont="1" applyBorder="1" applyAlignment="1">
      <alignment vertical="center"/>
    </xf>
    <xf numFmtId="0" fontId="109" fillId="0" borderId="71" xfId="0" applyFont="1" applyBorder="1" applyAlignment="1">
      <alignment horizontal="center" vertical="center"/>
    </xf>
    <xf numFmtId="10" fontId="23" fillId="0" borderId="86" xfId="0" applyNumberFormat="1" applyFont="1" applyBorder="1" applyAlignment="1">
      <alignment vertical="center"/>
    </xf>
    <xf numFmtId="49" fontId="71" fillId="3" borderId="26" xfId="0" applyNumberFormat="1" applyFont="1" applyFill="1" applyBorder="1" applyAlignment="1" applyProtection="1">
      <alignment horizontal="center" vertical="center"/>
      <protection locked="0"/>
    </xf>
    <xf numFmtId="171" fontId="71" fillId="3" borderId="26" xfId="0" applyNumberFormat="1" applyFont="1" applyFill="1" applyBorder="1" applyAlignment="1" applyProtection="1">
      <alignment horizontal="center" vertical="center"/>
      <protection locked="0"/>
    </xf>
    <xf numFmtId="0" fontId="0" fillId="15" borderId="0" xfId="0" applyFill="1"/>
    <xf numFmtId="0" fontId="110" fillId="15" borderId="0" xfId="0" applyFont="1" applyFill="1"/>
    <xf numFmtId="0" fontId="23" fillId="15" borderId="0" xfId="0" applyFont="1" applyFill="1"/>
    <xf numFmtId="0" fontId="65" fillId="15" borderId="0" xfId="0" applyFont="1" applyFill="1" applyAlignment="1">
      <alignment horizontal="center" vertical="center"/>
    </xf>
    <xf numFmtId="0" fontId="42" fillId="15" borderId="0" xfId="0" applyFont="1" applyFill="1"/>
    <xf numFmtId="0" fontId="23" fillId="15" borderId="0" xfId="0" applyFont="1" applyFill="1" applyProtection="1">
      <protection locked="0"/>
    </xf>
    <xf numFmtId="0" fontId="64" fillId="15" borderId="0" xfId="0" applyFont="1" applyFill="1" applyAlignment="1">
      <alignment vertical="center"/>
    </xf>
    <xf numFmtId="0" fontId="23" fillId="15" borderId="16" xfId="0" applyFont="1" applyFill="1" applyBorder="1" applyAlignment="1">
      <alignment horizontal="left" vertical="center"/>
    </xf>
    <xf numFmtId="167" fontId="27" fillId="15" borderId="5" xfId="0" applyNumberFormat="1" applyFont="1" applyFill="1" applyBorder="1" applyAlignment="1">
      <alignment vertical="center"/>
    </xf>
    <xf numFmtId="167" fontId="27" fillId="15" borderId="46" xfId="0" applyNumberFormat="1" applyFont="1" applyFill="1" applyBorder="1" applyAlignment="1">
      <alignment vertical="center"/>
    </xf>
    <xf numFmtId="167" fontId="27" fillId="15" borderId="27" xfId="0" applyNumberFormat="1" applyFont="1" applyFill="1" applyBorder="1" applyAlignment="1">
      <alignment vertical="center"/>
    </xf>
    <xf numFmtId="49" fontId="123" fillId="3" borderId="26" xfId="0" applyNumberFormat="1" applyFont="1" applyFill="1" applyBorder="1" applyAlignment="1" applyProtection="1">
      <alignment horizontal="center" vertical="center"/>
      <protection locked="0"/>
    </xf>
    <xf numFmtId="0" fontId="0" fillId="24" borderId="0" xfId="0" applyFill="1"/>
    <xf numFmtId="0" fontId="49" fillId="15" borderId="0" xfId="0" applyFont="1" applyFill="1" applyAlignment="1">
      <alignment vertical="center"/>
    </xf>
    <xf numFmtId="167" fontId="49" fillId="24" borderId="0" xfId="0" applyNumberFormat="1" applyFont="1" applyFill="1" applyAlignment="1">
      <alignment vertical="center"/>
    </xf>
    <xf numFmtId="0" fontId="49" fillId="24" borderId="0" xfId="0" applyFont="1" applyFill="1" applyAlignment="1">
      <alignment vertical="center"/>
    </xf>
    <xf numFmtId="0" fontId="27" fillId="24" borderId="0" xfId="0" applyFont="1" applyFill="1"/>
    <xf numFmtId="0" fontId="49" fillId="20" borderId="0" xfId="0" applyFont="1" applyFill="1" applyAlignment="1">
      <alignment vertical="center"/>
    </xf>
    <xf numFmtId="167" fontId="49" fillId="20" borderId="0" xfId="0" applyNumberFormat="1" applyFont="1" applyFill="1" applyAlignment="1">
      <alignment vertical="center"/>
    </xf>
    <xf numFmtId="186" fontId="23" fillId="0" borderId="27" xfId="0" applyNumberFormat="1" applyFont="1" applyBorder="1" applyAlignment="1">
      <alignment vertical="center"/>
    </xf>
    <xf numFmtId="0" fontId="27" fillId="20" borderId="0" xfId="0" applyFont="1" applyFill="1"/>
    <xf numFmtId="0" fontId="134" fillId="17" borderId="0" xfId="0" applyFont="1" applyFill="1" applyAlignment="1">
      <alignment vertical="center"/>
    </xf>
    <xf numFmtId="10" fontId="134" fillId="17" borderId="0" xfId="0" applyNumberFormat="1" applyFont="1" applyFill="1" applyAlignment="1">
      <alignment vertical="center"/>
    </xf>
    <xf numFmtId="167" fontId="134" fillId="17" borderId="0" xfId="0" applyNumberFormat="1" applyFont="1" applyFill="1" applyAlignment="1">
      <alignment vertical="center"/>
    </xf>
    <xf numFmtId="0" fontId="134" fillId="16" borderId="0" xfId="0" applyFont="1" applyFill="1" applyAlignment="1">
      <alignment vertical="center"/>
    </xf>
    <xf numFmtId="10" fontId="134" fillId="16" borderId="0" xfId="0" applyNumberFormat="1" applyFont="1" applyFill="1" applyAlignment="1">
      <alignment vertical="center"/>
    </xf>
    <xf numFmtId="167" fontId="134" fillId="16" borderId="0" xfId="0" applyNumberFormat="1" applyFont="1" applyFill="1" applyAlignment="1">
      <alignment vertical="center"/>
    </xf>
    <xf numFmtId="167" fontId="134" fillId="8" borderId="0" xfId="0" applyNumberFormat="1" applyFont="1" applyFill="1" applyAlignment="1">
      <alignment vertical="center"/>
    </xf>
    <xf numFmtId="0" fontId="49" fillId="8" borderId="0" xfId="0" applyFont="1" applyFill="1" applyAlignment="1">
      <alignment vertical="center"/>
    </xf>
    <xf numFmtId="0" fontId="49" fillId="6" borderId="0" xfId="0" applyFont="1" applyFill="1" applyAlignment="1">
      <alignment vertical="center"/>
    </xf>
    <xf numFmtId="10" fontId="49" fillId="6" borderId="0" xfId="9" applyFont="1" applyFill="1" applyAlignment="1">
      <alignment vertical="center"/>
    </xf>
    <xf numFmtId="167" fontId="49" fillId="6" borderId="0" xfId="0" applyNumberFormat="1" applyFont="1" applyFill="1" applyAlignment="1">
      <alignment vertical="center"/>
    </xf>
    <xf numFmtId="0" fontId="23" fillId="15" borderId="0" xfId="0" applyFont="1" applyFill="1" applyAlignment="1">
      <alignment horizontal="center" vertical="center"/>
    </xf>
    <xf numFmtId="0" fontId="23" fillId="0" borderId="13" xfId="0" applyFont="1" applyBorder="1" applyAlignment="1">
      <alignment horizontal="left"/>
    </xf>
    <xf numFmtId="0" fontId="27" fillId="0" borderId="54" xfId="0" applyFont="1" applyBorder="1" applyAlignment="1">
      <alignment vertical="center"/>
    </xf>
    <xf numFmtId="0" fontId="23" fillId="0" borderId="54" xfId="0" applyFont="1" applyBorder="1"/>
    <xf numFmtId="167" fontId="23" fillId="0" borderId="54" xfId="0" applyNumberFormat="1" applyFont="1" applyBorder="1" applyAlignment="1">
      <alignment vertical="center"/>
    </xf>
    <xf numFmtId="0" fontId="23" fillId="29" borderId="27" xfId="0" applyFont="1" applyFill="1" applyBorder="1"/>
    <xf numFmtId="0" fontId="14" fillId="0" borderId="14" xfId="21" applyFont="1" applyBorder="1" applyAlignment="1">
      <alignment horizontal="center" vertical="top" wrapText="1"/>
    </xf>
    <xf numFmtId="9" fontId="23" fillId="3" borderId="28" xfId="0" applyNumberFormat="1" applyFont="1" applyFill="1" applyBorder="1" applyAlignment="1" applyProtection="1">
      <alignment horizontal="center" vertical="center"/>
      <protection locked="0"/>
    </xf>
    <xf numFmtId="0" fontId="99" fillId="0" borderId="56" xfId="0" applyFont="1" applyBorder="1" applyAlignment="1">
      <alignment horizontal="center" vertical="center"/>
    </xf>
    <xf numFmtId="0" fontId="99" fillId="0" borderId="53" xfId="0" applyFont="1" applyBorder="1" applyAlignment="1">
      <alignment horizontal="center" vertical="center"/>
    </xf>
    <xf numFmtId="0" fontId="126" fillId="0" borderId="89" xfId="0" applyFont="1" applyBorder="1" applyAlignment="1">
      <alignment vertical="center"/>
    </xf>
    <xf numFmtId="0" fontId="99" fillId="0" borderId="54" xfId="0" applyFont="1" applyBorder="1" applyAlignment="1">
      <alignment horizontal="center" vertical="center"/>
    </xf>
    <xf numFmtId="0" fontId="14" fillId="0" borderId="14" xfId="0" applyFont="1" applyBorder="1" applyAlignment="1">
      <alignment vertical="center"/>
    </xf>
    <xf numFmtId="0" fontId="99" fillId="0" borderId="28" xfId="0" applyFont="1" applyBorder="1" applyAlignment="1">
      <alignment horizontal="center" vertical="center"/>
    </xf>
    <xf numFmtId="0" fontId="99" fillId="0" borderId="21" xfId="0" applyFont="1" applyBorder="1" applyAlignment="1">
      <alignment horizontal="center" vertical="center"/>
    </xf>
    <xf numFmtId="0" fontId="126" fillId="0" borderId="10" xfId="0" applyFont="1" applyBorder="1" applyAlignment="1">
      <alignment horizontal="left" vertical="center"/>
    </xf>
    <xf numFmtId="0" fontId="99" fillId="0" borderId="40" xfId="0" applyFont="1" applyBorder="1" applyAlignment="1">
      <alignment horizontal="center" vertical="center"/>
    </xf>
    <xf numFmtId="0" fontId="99" fillId="0" borderId="9" xfId="0" applyFont="1" applyBorder="1" applyAlignment="1">
      <alignment horizontal="center" vertical="center"/>
    </xf>
    <xf numFmtId="0" fontId="23" fillId="0" borderId="19" xfId="0" applyFont="1" applyBorder="1" applyAlignment="1">
      <alignment horizontal="right" vertical="center"/>
    </xf>
    <xf numFmtId="0" fontId="23" fillId="29" borderId="18" xfId="0" applyFont="1" applyFill="1" applyBorder="1"/>
    <xf numFmtId="0" fontId="23" fillId="29" borderId="19" xfId="0" applyFont="1" applyFill="1" applyBorder="1"/>
    <xf numFmtId="171" fontId="23" fillId="29" borderId="17" xfId="0" applyNumberFormat="1" applyFont="1" applyFill="1" applyBorder="1"/>
    <xf numFmtId="171" fontId="34" fillId="0" borderId="28" xfId="0" applyNumberFormat="1" applyFont="1" applyBorder="1" applyAlignment="1">
      <alignment horizontal="center" vertical="center"/>
    </xf>
    <xf numFmtId="10" fontId="23" fillId="29" borderId="22" xfId="9" applyFont="1" applyFill="1" applyBorder="1" applyAlignment="1">
      <alignment vertical="center"/>
    </xf>
    <xf numFmtId="9" fontId="23" fillId="32" borderId="86" xfId="23" applyNumberFormat="1" applyFont="1" applyFill="1" applyBorder="1" applyAlignment="1" applyProtection="1">
      <alignment vertical="center"/>
    </xf>
    <xf numFmtId="174" fontId="23" fillId="29" borderId="86" xfId="0" applyNumberFormat="1" applyFont="1" applyFill="1" applyBorder="1" applyAlignment="1">
      <alignment vertical="center"/>
    </xf>
    <xf numFmtId="167" fontId="23" fillId="29" borderId="22" xfId="9" applyNumberFormat="1" applyFont="1" applyFill="1" applyBorder="1" applyAlignment="1">
      <alignment vertical="center"/>
    </xf>
    <xf numFmtId="0" fontId="23" fillId="29" borderId="18" xfId="0" applyFont="1" applyFill="1" applyBorder="1" applyAlignment="1">
      <alignment horizontal="right" vertical="center"/>
    </xf>
    <xf numFmtId="0" fontId="27" fillId="0" borderId="21" xfId="0" applyFont="1" applyBorder="1" applyAlignment="1" applyProtection="1">
      <alignment vertical="center"/>
      <protection locked="0"/>
    </xf>
    <xf numFmtId="0" fontId="27" fillId="0" borderId="17" xfId="0" applyFont="1" applyBorder="1" applyAlignment="1" applyProtection="1">
      <alignment vertical="center"/>
      <protection locked="0"/>
    </xf>
    <xf numFmtId="176" fontId="34" fillId="0" borderId="26" xfId="0" applyNumberFormat="1" applyFont="1" applyBorder="1" applyAlignment="1">
      <alignment vertical="center"/>
    </xf>
    <xf numFmtId="176" fontId="34" fillId="0" borderId="17" xfId="0" applyNumberFormat="1" applyFont="1" applyBorder="1" applyAlignment="1">
      <alignment vertical="center"/>
    </xf>
    <xf numFmtId="176" fontId="34" fillId="0" borderId="28" xfId="0" applyNumberFormat="1" applyFont="1" applyBorder="1" applyAlignment="1">
      <alignment vertical="center"/>
    </xf>
    <xf numFmtId="2" fontId="104" fillId="0" borderId="18" xfId="0" applyNumberFormat="1" applyFont="1" applyBorder="1" applyAlignment="1">
      <alignment horizontal="center" vertical="center"/>
    </xf>
    <xf numFmtId="2" fontId="104" fillId="0" borderId="31" xfId="0" applyNumberFormat="1" applyFont="1" applyBorder="1" applyAlignment="1">
      <alignment horizontal="center" vertical="center"/>
    </xf>
    <xf numFmtId="49" fontId="23" fillId="3" borderId="11" xfId="0" applyNumberFormat="1" applyFont="1" applyFill="1" applyBorder="1" applyAlignment="1" applyProtection="1">
      <alignment vertical="top"/>
      <protection locked="0"/>
    </xf>
    <xf numFmtId="0" fontId="20" fillId="0" borderId="0" xfId="0" applyFont="1" applyProtection="1">
      <protection hidden="1"/>
    </xf>
    <xf numFmtId="0" fontId="27" fillId="0" borderId="27" xfId="0" applyFont="1" applyBorder="1" applyAlignment="1">
      <alignment horizontal="center"/>
    </xf>
    <xf numFmtId="0" fontId="14" fillId="0" borderId="0" xfId="21" applyFont="1" applyAlignment="1">
      <alignment horizontal="center" vertical="top" wrapText="1"/>
    </xf>
    <xf numFmtId="0" fontId="25" fillId="0" borderId="28" xfId="0" applyFont="1" applyBorder="1" applyAlignment="1">
      <alignment horizontal="center" vertical="top" wrapText="1"/>
    </xf>
    <xf numFmtId="0" fontId="20" fillId="0" borderId="28" xfId="0" applyFont="1" applyBorder="1" applyAlignment="1">
      <alignment horizontal="center" vertical="top" wrapText="1"/>
    </xf>
    <xf numFmtId="49" fontId="20" fillId="3" borderId="26" xfId="0" applyNumberFormat="1" applyFont="1" applyFill="1" applyBorder="1" applyProtection="1">
      <protection locked="0"/>
    </xf>
    <xf numFmtId="183" fontId="20" fillId="3" borderId="26" xfId="0" applyNumberFormat="1" applyFont="1" applyFill="1" applyBorder="1" applyProtection="1">
      <protection locked="0"/>
    </xf>
    <xf numFmtId="9" fontId="20" fillId="3" borderId="26" xfId="10" applyNumberFormat="1" applyFont="1" applyFill="1" applyBorder="1" applyProtection="1">
      <protection locked="0"/>
    </xf>
    <xf numFmtId="49" fontId="20" fillId="3" borderId="26" xfId="0" applyNumberFormat="1" applyFont="1" applyFill="1" applyBorder="1" applyAlignment="1" applyProtection="1">
      <alignment vertical="center"/>
      <protection locked="0"/>
    </xf>
    <xf numFmtId="183" fontId="20" fillId="3" borderId="26" xfId="0" applyNumberFormat="1" applyFont="1" applyFill="1" applyBorder="1" applyAlignment="1" applyProtection="1">
      <alignment vertical="center"/>
      <protection locked="0"/>
    </xf>
    <xf numFmtId="174" fontId="20" fillId="3" borderId="26" xfId="0" applyNumberFormat="1" applyFont="1" applyFill="1" applyBorder="1" applyProtection="1">
      <protection locked="0"/>
    </xf>
    <xf numFmtId="167" fontId="20" fillId="0" borderId="26" xfId="0" applyNumberFormat="1" applyFont="1" applyBorder="1"/>
    <xf numFmtId="167" fontId="20" fillId="3" borderId="26" xfId="0" applyNumberFormat="1" applyFont="1" applyFill="1" applyBorder="1" applyProtection="1">
      <protection locked="0"/>
    </xf>
    <xf numFmtId="49" fontId="20" fillId="3" borderId="21" xfId="0" applyNumberFormat="1" applyFont="1" applyFill="1" applyBorder="1" applyProtection="1">
      <protection locked="0"/>
    </xf>
    <xf numFmtId="174" fontId="20" fillId="0" borderId="26" xfId="0" applyNumberFormat="1" applyFont="1" applyBorder="1"/>
    <xf numFmtId="167" fontId="20" fillId="3" borderId="28" xfId="0" applyNumberFormat="1" applyFont="1" applyFill="1" applyBorder="1" applyProtection="1">
      <protection locked="0"/>
    </xf>
    <xf numFmtId="9" fontId="20" fillId="3" borderId="26" xfId="10" applyNumberFormat="1" applyFont="1" applyFill="1" applyBorder="1" applyAlignment="1" applyProtection="1">
      <alignment vertical="center"/>
      <protection locked="0"/>
    </xf>
    <xf numFmtId="10" fontId="20" fillId="3" borderId="26" xfId="10" applyNumberFormat="1" applyFont="1" applyFill="1" applyBorder="1" applyProtection="1">
      <protection locked="0"/>
    </xf>
    <xf numFmtId="49" fontId="20" fillId="3" borderId="26" xfId="0" applyNumberFormat="1" applyFont="1" applyFill="1" applyBorder="1" applyAlignment="1" applyProtection="1">
      <alignment horizontal="center"/>
      <protection locked="0"/>
    </xf>
    <xf numFmtId="167" fontId="25" fillId="0" borderId="26" xfId="0" applyNumberFormat="1" applyFont="1" applyBorder="1"/>
    <xf numFmtId="0" fontId="115" fillId="0" borderId="28" xfId="0" applyFont="1" applyBorder="1" applyAlignment="1">
      <alignment horizontal="center" vertical="center"/>
    </xf>
    <xf numFmtId="2" fontId="64" fillId="0" borderId="0" xfId="0" applyNumberFormat="1" applyFont="1" applyAlignment="1">
      <alignment horizontal="left" vertical="center"/>
    </xf>
    <xf numFmtId="0" fontId="115" fillId="0" borderId="28" xfId="0" applyFont="1" applyBorder="1"/>
    <xf numFmtId="0" fontId="114" fillId="0" borderId="28" xfId="0" applyFont="1" applyBorder="1" applyAlignment="1">
      <alignment vertical="center"/>
    </xf>
    <xf numFmtId="0" fontId="27" fillId="0" borderId="53" xfId="0" applyFont="1" applyBorder="1" applyAlignment="1">
      <alignment horizontal="left" vertical="center"/>
    </xf>
    <xf numFmtId="0" fontId="27" fillId="0" borderId="54" xfId="0" applyFont="1" applyBorder="1" applyAlignment="1">
      <alignment horizontal="left" vertical="center"/>
    </xf>
    <xf numFmtId="0" fontId="34" fillId="0" borderId="53" xfId="0" applyFont="1" applyBorder="1" applyAlignment="1">
      <alignment horizontal="center" vertical="center"/>
    </xf>
    <xf numFmtId="0" fontId="14" fillId="0" borderId="26" xfId="0" applyFont="1" applyBorder="1" applyAlignment="1">
      <alignment horizontal="center" vertical="top" wrapText="1"/>
    </xf>
    <xf numFmtId="0" fontId="25" fillId="0" borderId="45" xfId="0" applyFont="1" applyBorder="1"/>
    <xf numFmtId="0" fontId="20" fillId="0" borderId="29" xfId="0" applyFont="1" applyBorder="1" applyAlignment="1">
      <alignment vertical="center"/>
    </xf>
    <xf numFmtId="0" fontId="34" fillId="0" borderId="28" xfId="0" applyFont="1" applyBorder="1" applyAlignment="1">
      <alignment vertical="top" wrapText="1"/>
    </xf>
    <xf numFmtId="0" fontId="20" fillId="13" borderId="0" xfId="0" applyFont="1" applyFill="1" applyAlignment="1">
      <alignment horizontal="center" vertical="center"/>
    </xf>
    <xf numFmtId="0" fontId="20" fillId="13" borderId="3" xfId="0" applyFont="1" applyFill="1" applyBorder="1" applyAlignment="1">
      <alignment horizontal="center" vertical="center"/>
    </xf>
    <xf numFmtId="0" fontId="20" fillId="22" borderId="0" xfId="0" applyFont="1" applyFill="1"/>
    <xf numFmtId="0" fontId="20" fillId="0" borderId="0" xfId="0" applyFont="1" applyAlignment="1">
      <alignment vertical="center"/>
    </xf>
    <xf numFmtId="0" fontId="20" fillId="22" borderId="0" xfId="0" applyFont="1" applyFill="1" applyAlignment="1">
      <alignment vertical="center"/>
    </xf>
    <xf numFmtId="0" fontId="20" fillId="0" borderId="0" xfId="0" applyFont="1" applyAlignment="1">
      <alignment horizontal="center"/>
    </xf>
    <xf numFmtId="0" fontId="20" fillId="22" borderId="0" xfId="0" applyFont="1" applyFill="1" applyAlignment="1">
      <alignment horizontal="center"/>
    </xf>
    <xf numFmtId="0" fontId="27" fillId="0" borderId="0" xfId="0" applyFont="1" applyAlignment="1">
      <alignment horizontal="center" vertical="top" wrapText="1"/>
    </xf>
    <xf numFmtId="0" fontId="27" fillId="22" borderId="0" xfId="0" applyFont="1" applyFill="1" applyAlignment="1">
      <alignment horizontal="center" vertical="top" wrapText="1"/>
    </xf>
    <xf numFmtId="0" fontId="23" fillId="0" borderId="11" xfId="0" applyFont="1" applyBorder="1" applyAlignment="1">
      <alignment vertical="center"/>
    </xf>
    <xf numFmtId="0" fontId="23" fillId="0" borderId="26" xfId="0" applyFont="1" applyBorder="1" applyAlignment="1">
      <alignment vertical="center"/>
    </xf>
    <xf numFmtId="188" fontId="23" fillId="31" borderId="27" xfId="0" applyNumberFormat="1" applyFont="1" applyFill="1" applyBorder="1" applyAlignment="1">
      <alignment vertical="center"/>
    </xf>
    <xf numFmtId="188" fontId="23" fillId="29" borderId="11" xfId="0" applyNumberFormat="1" applyFont="1" applyFill="1" applyBorder="1" applyAlignment="1">
      <alignment vertical="center"/>
    </xf>
    <xf numFmtId="0" fontId="23" fillId="0" borderId="22" xfId="0" applyFont="1" applyBorder="1" applyAlignment="1">
      <alignment horizontal="right" vertical="center"/>
    </xf>
    <xf numFmtId="0" fontId="23" fillId="0" borderId="26" xfId="0" applyFont="1" applyBorder="1" applyAlignment="1">
      <alignment horizontal="right" vertical="center"/>
    </xf>
    <xf numFmtId="0" fontId="108" fillId="0" borderId="72" xfId="0" applyFont="1" applyBorder="1" applyAlignment="1">
      <alignment horizontal="center" vertical="center"/>
    </xf>
    <xf numFmtId="0" fontId="23" fillId="0" borderId="71" xfId="0" applyFont="1" applyBorder="1" applyAlignment="1">
      <alignment horizontal="center"/>
    </xf>
    <xf numFmtId="179" fontId="71" fillId="3" borderId="19" xfId="0" applyNumberFormat="1" applyFont="1" applyFill="1" applyBorder="1" applyAlignment="1" applyProtection="1">
      <alignment horizontal="center" vertical="center"/>
      <protection locked="0"/>
    </xf>
    <xf numFmtId="10" fontId="27" fillId="0" borderId="19" xfId="9" applyFont="1" applyBorder="1" applyAlignment="1">
      <alignment vertical="center"/>
    </xf>
    <xf numFmtId="10" fontId="23" fillId="0" borderId="19" xfId="9" applyFont="1" applyBorder="1" applyAlignment="1" applyProtection="1">
      <alignment vertical="center"/>
    </xf>
    <xf numFmtId="10" fontId="27" fillId="0" borderId="17" xfId="9" applyFont="1" applyBorder="1" applyAlignment="1">
      <alignment vertical="center"/>
    </xf>
    <xf numFmtId="10" fontId="23" fillId="0" borderId="19" xfId="9" applyFont="1" applyBorder="1" applyAlignment="1">
      <alignment vertical="center"/>
    </xf>
    <xf numFmtId="10" fontId="23" fillId="3" borderId="42" xfId="0" applyNumberFormat="1" applyFont="1" applyFill="1" applyBorder="1" applyProtection="1">
      <protection locked="0"/>
    </xf>
    <xf numFmtId="186" fontId="23" fillId="0" borderId="21" xfId="9" applyNumberFormat="1" applyFont="1" applyBorder="1" applyAlignment="1">
      <alignment vertical="center"/>
    </xf>
    <xf numFmtId="186" fontId="23" fillId="0" borderId="18" xfId="9" applyNumberFormat="1" applyFont="1" applyBorder="1" applyAlignment="1">
      <alignment vertical="center"/>
    </xf>
    <xf numFmtId="186" fontId="23" fillId="0" borderId="31" xfId="9" applyNumberFormat="1" applyFont="1" applyBorder="1" applyAlignment="1">
      <alignment vertical="center"/>
    </xf>
    <xf numFmtId="186" fontId="53" fillId="0" borderId="33" xfId="9" applyNumberFormat="1" applyFont="1" applyBorder="1" applyAlignment="1">
      <alignment vertical="center"/>
    </xf>
    <xf numFmtId="186" fontId="53" fillId="0" borderId="21" xfId="9" applyNumberFormat="1" applyFont="1" applyBorder="1" applyAlignment="1">
      <alignment vertical="center"/>
    </xf>
    <xf numFmtId="0" fontId="23" fillId="0" borderId="71" xfId="0" applyFont="1" applyBorder="1" applyAlignment="1">
      <alignment horizontal="center" vertical="center"/>
    </xf>
    <xf numFmtId="174" fontId="115" fillId="0" borderId="13" xfId="0" applyNumberFormat="1" applyFont="1" applyBorder="1" applyAlignment="1">
      <alignment vertical="center"/>
    </xf>
    <xf numFmtId="174" fontId="115" fillId="0" borderId="20" xfId="0" applyNumberFormat="1" applyFont="1" applyBorder="1" applyAlignment="1">
      <alignment vertical="center"/>
    </xf>
    <xf numFmtId="10" fontId="23" fillId="3" borderId="13" xfId="0" applyNumberFormat="1" applyFont="1" applyFill="1" applyBorder="1" applyAlignment="1" applyProtection="1">
      <alignment vertical="center"/>
      <protection locked="0"/>
    </xf>
    <xf numFmtId="4" fontId="23" fillId="5" borderId="30" xfId="0" applyNumberFormat="1" applyFont="1" applyFill="1" applyBorder="1" applyAlignment="1">
      <alignment vertical="center"/>
    </xf>
    <xf numFmtId="187" fontId="23" fillId="3" borderId="30" xfId="0" applyNumberFormat="1" applyFont="1" applyFill="1" applyBorder="1" applyAlignment="1" applyProtection="1">
      <alignment vertical="center"/>
      <protection locked="0"/>
    </xf>
    <xf numFmtId="0" fontId="23" fillId="0" borderId="9" xfId="0" applyFont="1" applyBorder="1"/>
    <xf numFmtId="187" fontId="23" fillId="3" borderId="40" xfId="0" applyNumberFormat="1" applyFont="1" applyFill="1" applyBorder="1" applyAlignment="1" applyProtection="1">
      <alignment horizontal="center" vertical="center"/>
      <protection locked="0"/>
    </xf>
    <xf numFmtId="167" fontId="23" fillId="0" borderId="34" xfId="0" applyNumberFormat="1" applyFont="1" applyBorder="1" applyAlignment="1">
      <alignment vertical="center"/>
    </xf>
    <xf numFmtId="44" fontId="23" fillId="0" borderId="8" xfId="0" applyNumberFormat="1" applyFont="1" applyBorder="1" applyAlignment="1">
      <alignment vertical="center"/>
    </xf>
    <xf numFmtId="44" fontId="23" fillId="3" borderId="90" xfId="15" applyFont="1" applyFill="1" applyBorder="1" applyAlignment="1" applyProtection="1">
      <alignment vertical="center"/>
      <protection locked="0"/>
    </xf>
    <xf numFmtId="2" fontId="23" fillId="0" borderId="28" xfId="0" applyNumberFormat="1" applyFont="1" applyBorder="1" applyAlignment="1">
      <alignment horizontal="right" vertical="center"/>
    </xf>
    <xf numFmtId="2" fontId="23" fillId="0" borderId="26" xfId="0" applyNumberFormat="1" applyFont="1" applyBorder="1" applyAlignment="1">
      <alignment horizontal="right" vertical="center"/>
    </xf>
    <xf numFmtId="2" fontId="23" fillId="0" borderId="29" xfId="0" applyNumberFormat="1" applyFont="1" applyBorder="1" applyAlignment="1">
      <alignment horizontal="right" vertical="center"/>
    </xf>
    <xf numFmtId="2" fontId="23" fillId="0" borderId="30" xfId="0" applyNumberFormat="1" applyFont="1" applyBorder="1" applyAlignment="1">
      <alignment horizontal="right" vertical="center"/>
    </xf>
    <xf numFmtId="4" fontId="52" fillId="0" borderId="71" xfId="0" applyNumberFormat="1" applyFont="1" applyBorder="1" applyAlignment="1">
      <alignment wrapText="1"/>
    </xf>
    <xf numFmtId="4" fontId="15" fillId="0" borderId="29" xfId="0" applyNumberFormat="1" applyFont="1" applyBorder="1" applyAlignment="1">
      <alignment horizontal="center" vertical="top" wrapText="1"/>
    </xf>
    <xf numFmtId="0" fontId="23" fillId="0" borderId="72" xfId="0" applyFont="1" applyBorder="1" applyAlignment="1">
      <alignment horizontal="center" vertical="center"/>
    </xf>
    <xf numFmtId="167" fontId="23" fillId="0" borderId="20" xfId="0" applyNumberFormat="1" applyFont="1" applyBorder="1" applyAlignment="1">
      <alignment vertical="center"/>
    </xf>
    <xf numFmtId="167" fontId="23" fillId="0" borderId="33" xfId="0" applyNumberFormat="1" applyFont="1" applyBorder="1" applyAlignment="1">
      <alignment vertical="center"/>
    </xf>
    <xf numFmtId="44" fontId="23" fillId="3" borderId="91" xfId="15" applyFont="1" applyFill="1" applyBorder="1" applyAlignment="1" applyProtection="1">
      <alignment vertical="center"/>
      <protection locked="0"/>
    </xf>
    <xf numFmtId="167" fontId="23" fillId="0" borderId="42" xfId="0" applyNumberFormat="1" applyFont="1" applyBorder="1" applyAlignment="1">
      <alignment vertical="center"/>
    </xf>
    <xf numFmtId="4" fontId="23" fillId="5" borderId="17" xfId="0" applyNumberFormat="1" applyFont="1" applyFill="1" applyBorder="1" applyAlignment="1">
      <alignment vertical="center"/>
    </xf>
    <xf numFmtId="0" fontId="23" fillId="0" borderId="2" xfId="0" applyFont="1" applyBorder="1"/>
    <xf numFmtId="186" fontId="23" fillId="0" borderId="94" xfId="9" applyNumberFormat="1" applyFont="1" applyBorder="1" applyAlignment="1" applyProtection="1">
      <alignment vertical="center"/>
    </xf>
    <xf numFmtId="10" fontId="23" fillId="3" borderId="30" xfId="23" applyFont="1" applyFill="1" applyBorder="1" applyAlignment="1" applyProtection="1">
      <alignment vertical="center"/>
      <protection locked="0"/>
    </xf>
    <xf numFmtId="202" fontId="23" fillId="3" borderId="30" xfId="23" applyNumberFormat="1" applyFont="1" applyFill="1" applyBorder="1" applyAlignment="1" applyProtection="1">
      <alignment vertical="center"/>
      <protection locked="0"/>
    </xf>
    <xf numFmtId="0" fontId="14" fillId="0" borderId="70" xfId="0" applyFont="1" applyBorder="1" applyAlignment="1">
      <alignment vertical="center"/>
    </xf>
    <xf numFmtId="186" fontId="23" fillId="0" borderId="42" xfId="9" applyNumberFormat="1" applyFont="1" applyBorder="1" applyAlignment="1">
      <alignment vertical="center"/>
    </xf>
    <xf numFmtId="179" fontId="71" fillId="15" borderId="40" xfId="0" applyNumberFormat="1" applyFont="1" applyFill="1" applyBorder="1" applyAlignment="1" applyProtection="1">
      <alignment horizontal="center" vertical="center"/>
      <protection locked="0"/>
    </xf>
    <xf numFmtId="44" fontId="34" fillId="0" borderId="40" xfId="15" applyFont="1" applyFill="1" applyBorder="1" applyAlignment="1">
      <alignment vertical="center"/>
    </xf>
    <xf numFmtId="9" fontId="23" fillId="3" borderId="40" xfId="0" applyNumberFormat="1" applyFont="1" applyFill="1" applyBorder="1" applyAlignment="1" applyProtection="1">
      <alignment horizontal="center" vertical="center"/>
      <protection locked="0"/>
    </xf>
    <xf numFmtId="0" fontId="23" fillId="0" borderId="14" xfId="0" applyFont="1" applyBorder="1" applyAlignment="1">
      <alignment vertical="center"/>
    </xf>
    <xf numFmtId="0" fontId="23" fillId="0" borderId="0" xfId="0" applyFont="1" applyAlignment="1" applyProtection="1">
      <alignment horizontal="center"/>
      <protection hidden="1"/>
    </xf>
    <xf numFmtId="167" fontId="52" fillId="29" borderId="0" xfId="15" applyNumberFormat="1" applyFont="1" applyFill="1" applyBorder="1" applyAlignment="1" applyProtection="1">
      <alignment vertical="center"/>
    </xf>
    <xf numFmtId="206" fontId="23" fillId="3" borderId="26" xfId="5" applyNumberFormat="1" applyFont="1" applyFill="1" applyBorder="1" applyAlignment="1" applyProtection="1">
      <alignment vertical="center"/>
      <protection locked="0"/>
    </xf>
    <xf numFmtId="206" fontId="23" fillId="3" borderId="19" xfId="5" applyNumberFormat="1" applyFont="1" applyFill="1" applyBorder="1" applyAlignment="1" applyProtection="1">
      <alignment vertical="center"/>
      <protection locked="0"/>
    </xf>
    <xf numFmtId="206" fontId="23" fillId="3" borderId="27" xfId="5" applyNumberFormat="1" applyFont="1" applyFill="1" applyBorder="1" applyAlignment="1" applyProtection="1">
      <alignment vertical="center"/>
      <protection locked="0"/>
    </xf>
    <xf numFmtId="206" fontId="23" fillId="3" borderId="0" xfId="5" applyNumberFormat="1" applyFont="1" applyFill="1" applyAlignment="1" applyProtection="1">
      <alignment vertical="center"/>
      <protection locked="0"/>
    </xf>
    <xf numFmtId="196" fontId="78" fillId="4" borderId="71" xfId="0" applyNumberFormat="1" applyFont="1" applyFill="1" applyBorder="1" applyAlignment="1">
      <alignment horizontal="center" vertical="center"/>
    </xf>
    <xf numFmtId="0" fontId="14" fillId="0" borderId="56" xfId="0" applyFont="1" applyBorder="1" applyAlignment="1">
      <alignment horizontal="center" vertical="center" wrapText="1"/>
    </xf>
    <xf numFmtId="0" fontId="14" fillId="0" borderId="53" xfId="0" applyFont="1" applyBorder="1" applyAlignment="1">
      <alignment horizontal="center" vertical="center" wrapText="1"/>
    </xf>
    <xf numFmtId="0" fontId="27" fillId="4" borderId="0" xfId="0" applyFont="1" applyFill="1" applyAlignment="1">
      <alignment horizontal="center" vertical="center"/>
    </xf>
    <xf numFmtId="0" fontId="27" fillId="14" borderId="0" xfId="0" applyFont="1" applyFill="1" applyAlignment="1">
      <alignment horizontal="center"/>
    </xf>
    <xf numFmtId="0" fontId="27" fillId="8" borderId="0" xfId="0" applyFont="1" applyFill="1" applyAlignment="1">
      <alignment horizontal="center"/>
    </xf>
    <xf numFmtId="0" fontId="27" fillId="16" borderId="0" xfId="0" applyFont="1" applyFill="1" applyAlignment="1">
      <alignment horizontal="center"/>
    </xf>
    <xf numFmtId="0" fontId="27" fillId="34" borderId="0" xfId="0" applyFont="1" applyFill="1" applyAlignment="1">
      <alignment horizontal="center"/>
    </xf>
    <xf numFmtId="0" fontId="27" fillId="20" borderId="0" xfId="0" applyFont="1" applyFill="1" applyAlignment="1">
      <alignment horizontal="center"/>
    </xf>
    <xf numFmtId="0" fontId="27" fillId="24" borderId="0" xfId="0" applyFont="1" applyFill="1" applyAlignment="1">
      <alignment horizontal="center"/>
    </xf>
    <xf numFmtId="0" fontId="23" fillId="24" borderId="0" xfId="0" applyFont="1" applyFill="1"/>
    <xf numFmtId="0" fontId="64" fillId="28" borderId="0" xfId="0" applyFont="1" applyFill="1" applyAlignment="1">
      <alignment horizontal="center" vertical="center"/>
    </xf>
    <xf numFmtId="0" fontId="23" fillId="38" borderId="0" xfId="0" applyFont="1" applyFill="1" applyAlignment="1">
      <alignment horizontal="center" vertical="center"/>
    </xf>
    <xf numFmtId="0" fontId="23" fillId="21" borderId="0" xfId="0" applyFont="1" applyFill="1" applyAlignment="1">
      <alignment horizontal="center" vertical="center"/>
    </xf>
    <xf numFmtId="0" fontId="14" fillId="29" borderId="26" xfId="0" applyFont="1" applyFill="1" applyBorder="1" applyAlignment="1">
      <alignment vertical="center"/>
    </xf>
    <xf numFmtId="190" fontId="22" fillId="0" borderId="11" xfId="0" applyNumberFormat="1" applyFont="1" applyBorder="1" applyAlignment="1">
      <alignment vertical="center"/>
    </xf>
    <xf numFmtId="4" fontId="27" fillId="4" borderId="0" xfId="0" applyNumberFormat="1" applyFont="1" applyFill="1" applyAlignment="1">
      <alignment vertical="center" wrapText="1"/>
    </xf>
    <xf numFmtId="10" fontId="23" fillId="0" borderId="18" xfId="0" applyNumberFormat="1" applyFont="1" applyBorder="1" applyAlignment="1">
      <alignment vertical="center"/>
    </xf>
    <xf numFmtId="10" fontId="23" fillId="3" borderId="31" xfId="0" applyNumberFormat="1" applyFont="1" applyFill="1" applyBorder="1" applyAlignment="1" applyProtection="1">
      <alignment vertical="center"/>
      <protection locked="0"/>
    </xf>
    <xf numFmtId="169" fontId="34" fillId="0" borderId="0" xfId="0" applyNumberFormat="1" applyFont="1" applyAlignment="1">
      <alignment vertical="center"/>
    </xf>
    <xf numFmtId="0" fontId="23" fillId="0" borderId="19" xfId="0" applyFont="1" applyBorder="1"/>
    <xf numFmtId="169" fontId="34" fillId="0" borderId="17" xfId="0" applyNumberFormat="1" applyFont="1" applyBorder="1" applyAlignment="1">
      <alignment vertical="center"/>
    </xf>
    <xf numFmtId="174" fontId="23" fillId="0" borderId="13" xfId="0" applyNumberFormat="1" applyFont="1" applyBorder="1" applyAlignment="1">
      <alignment vertical="center"/>
    </xf>
    <xf numFmtId="174" fontId="23" fillId="0" borderId="13" xfId="0" applyNumberFormat="1" applyFont="1" applyBorder="1"/>
    <xf numFmtId="174" fontId="23" fillId="0" borderId="25" xfId="0" applyNumberFormat="1" applyFont="1" applyBorder="1" applyAlignment="1">
      <alignment vertical="center"/>
    </xf>
    <xf numFmtId="0" fontId="43" fillId="0" borderId="0" xfId="0" applyFont="1"/>
    <xf numFmtId="10" fontId="23" fillId="29" borderId="18" xfId="9" applyFont="1" applyFill="1" applyBorder="1" applyAlignment="1">
      <alignment vertical="center"/>
    </xf>
    <xf numFmtId="196" fontId="78" fillId="0" borderId="2" xfId="0" applyNumberFormat="1" applyFont="1" applyBorder="1" applyAlignment="1">
      <alignment horizontal="center" vertical="center"/>
    </xf>
    <xf numFmtId="186" fontId="27" fillId="0" borderId="18" xfId="0" applyNumberFormat="1" applyFont="1" applyBorder="1" applyAlignment="1">
      <alignment horizontal="center" vertical="center"/>
    </xf>
    <xf numFmtId="10" fontId="23" fillId="0" borderId="19" xfId="0" applyNumberFormat="1" applyFont="1" applyBorder="1" applyAlignment="1">
      <alignment vertical="center"/>
    </xf>
    <xf numFmtId="0" fontId="14" fillId="0" borderId="71" xfId="0" applyFont="1" applyBorder="1" applyAlignment="1">
      <alignment horizontal="center" vertical="center" wrapText="1"/>
    </xf>
    <xf numFmtId="171" fontId="23" fillId="0" borderId="22" xfId="0" applyNumberFormat="1" applyFont="1" applyBorder="1" applyAlignment="1">
      <alignment horizontal="left" vertical="center"/>
    </xf>
    <xf numFmtId="44" fontId="23" fillId="0" borderId="34" xfId="0" applyNumberFormat="1" applyFont="1" applyBorder="1" applyAlignment="1">
      <alignment vertical="center"/>
    </xf>
    <xf numFmtId="9" fontId="23" fillId="3" borderId="9" xfId="0" applyNumberFormat="1" applyFont="1" applyFill="1" applyBorder="1" applyAlignment="1" applyProtection="1">
      <alignment horizontal="center" vertical="center"/>
      <protection locked="0"/>
    </xf>
    <xf numFmtId="9" fontId="23" fillId="3" borderId="8" xfId="0" applyNumberFormat="1" applyFont="1" applyFill="1" applyBorder="1" applyAlignment="1" applyProtection="1">
      <alignment horizontal="center" vertical="center"/>
      <protection locked="0"/>
    </xf>
    <xf numFmtId="4" fontId="14" fillId="0" borderId="56" xfId="0" applyNumberFormat="1" applyFont="1" applyBorder="1" applyAlignment="1">
      <alignment vertical="top" wrapText="1"/>
    </xf>
    <xf numFmtId="0" fontId="16" fillId="0" borderId="13" xfId="0" applyFont="1" applyBorder="1" applyAlignment="1" applyProtection="1">
      <alignment vertical="top" wrapText="1"/>
      <protection hidden="1"/>
    </xf>
    <xf numFmtId="0" fontId="16" fillId="0" borderId="0" xfId="0" applyFont="1" applyAlignment="1" applyProtection="1">
      <alignment vertical="top" wrapText="1"/>
      <protection hidden="1"/>
    </xf>
    <xf numFmtId="0" fontId="99" fillId="0" borderId="19" xfId="0" applyFont="1" applyBorder="1" applyAlignment="1">
      <alignment horizontal="center" vertical="center"/>
    </xf>
    <xf numFmtId="10" fontId="99" fillId="0" borderId="26" xfId="0" applyNumberFormat="1" applyFont="1" applyBorder="1" applyAlignment="1">
      <alignment vertical="center"/>
    </xf>
    <xf numFmtId="10" fontId="99" fillId="0" borderId="19" xfId="0" applyNumberFormat="1" applyFont="1" applyBorder="1" applyAlignment="1">
      <alignment vertical="center"/>
    </xf>
    <xf numFmtId="169" fontId="99" fillId="0" borderId="14" xfId="0" applyNumberFormat="1" applyFont="1" applyBorder="1" applyAlignment="1">
      <alignment vertical="center"/>
    </xf>
    <xf numFmtId="169" fontId="99" fillId="0" borderId="27" xfId="0" applyNumberFormat="1" applyFont="1" applyBorder="1" applyAlignment="1">
      <alignment vertical="center"/>
    </xf>
    <xf numFmtId="10" fontId="99" fillId="0" borderId="0" xfId="0" applyNumberFormat="1" applyFont="1" applyAlignment="1">
      <alignment vertical="center"/>
    </xf>
    <xf numFmtId="4" fontId="99" fillId="5" borderId="14" xfId="0" applyNumberFormat="1" applyFont="1" applyFill="1" applyBorder="1" applyAlignment="1">
      <alignment vertical="center"/>
    </xf>
    <xf numFmtId="4" fontId="99" fillId="5" borderId="27" xfId="0" applyNumberFormat="1" applyFont="1" applyFill="1" applyBorder="1" applyAlignment="1">
      <alignment vertical="center"/>
    </xf>
    <xf numFmtId="4" fontId="99" fillId="5" borderId="13" xfId="0" applyNumberFormat="1" applyFont="1" applyFill="1" applyBorder="1" applyAlignment="1">
      <alignment vertical="center"/>
    </xf>
    <xf numFmtId="0" fontId="99" fillId="0" borderId="13" xfId="0" applyFont="1" applyBorder="1"/>
    <xf numFmtId="0" fontId="99" fillId="0" borderId="0" xfId="0" applyFont="1"/>
    <xf numFmtId="10" fontId="99" fillId="0" borderId="29" xfId="0" applyNumberFormat="1" applyFont="1" applyBorder="1" applyAlignment="1">
      <alignment vertical="center"/>
    </xf>
    <xf numFmtId="10" fontId="99" fillId="0" borderId="11" xfId="0" applyNumberFormat="1" applyFont="1" applyBorder="1" applyAlignment="1">
      <alignment vertical="center"/>
    </xf>
    <xf numFmtId="10" fontId="23" fillId="3" borderId="18" xfId="0" applyNumberFormat="1" applyFont="1" applyFill="1" applyBorder="1" applyAlignment="1" applyProtection="1">
      <alignment vertical="center"/>
      <protection locked="0"/>
    </xf>
    <xf numFmtId="10" fontId="23" fillId="0" borderId="18" xfId="0" applyNumberFormat="1" applyFont="1" applyBorder="1" applyAlignment="1">
      <alignment horizontal="right" vertical="center"/>
    </xf>
    <xf numFmtId="9" fontId="24" fillId="11" borderId="13" xfId="9" applyNumberFormat="1" applyFont="1" applyFill="1" applyBorder="1" applyAlignment="1">
      <alignment horizontal="right" vertical="center"/>
    </xf>
    <xf numFmtId="4" fontId="124" fillId="7" borderId="27" xfId="5" applyFont="1" applyFill="1" applyBorder="1" applyAlignment="1">
      <alignment horizontal="right" vertical="center"/>
    </xf>
    <xf numFmtId="186" fontId="27" fillId="0" borderId="38" xfId="9" applyNumberFormat="1" applyFont="1" applyBorder="1" applyAlignment="1">
      <alignment vertical="center"/>
    </xf>
    <xf numFmtId="4" fontId="15" fillId="0" borderId="38" xfId="0" applyNumberFormat="1" applyFont="1" applyBorder="1" applyAlignment="1">
      <alignment horizontal="center" vertical="center"/>
    </xf>
    <xf numFmtId="0" fontId="23" fillId="29" borderId="40" xfId="0" applyFont="1" applyFill="1" applyBorder="1" applyAlignment="1">
      <alignment vertical="center"/>
    </xf>
    <xf numFmtId="207" fontId="23" fillId="0" borderId="42" xfId="0" applyNumberFormat="1" applyFont="1" applyBorder="1" applyAlignment="1">
      <alignment vertical="center"/>
    </xf>
    <xf numFmtId="207" fontId="23" fillId="0" borderId="9" xfId="0" applyNumberFormat="1" applyFont="1" applyBorder="1" applyAlignment="1">
      <alignment vertical="center"/>
    </xf>
    <xf numFmtId="4" fontId="27" fillId="5" borderId="30" xfId="0" applyNumberFormat="1" applyFont="1" applyFill="1" applyBorder="1" applyAlignment="1">
      <alignment vertical="center"/>
    </xf>
    <xf numFmtId="207" fontId="23" fillId="0" borderId="32" xfId="0" applyNumberFormat="1" applyFont="1" applyBorder="1" applyAlignment="1">
      <alignment vertical="center"/>
    </xf>
    <xf numFmtId="202" fontId="23" fillId="3" borderId="83" xfId="23" applyNumberFormat="1" applyFont="1" applyFill="1" applyBorder="1" applyAlignment="1" applyProtection="1">
      <alignment vertical="center"/>
      <protection locked="0"/>
    </xf>
    <xf numFmtId="0" fontId="27" fillId="29" borderId="18" xfId="0" applyFont="1" applyFill="1" applyBorder="1" applyAlignment="1">
      <alignment horizontal="right" vertical="center" wrapText="1"/>
    </xf>
    <xf numFmtId="208" fontId="52" fillId="29" borderId="19" xfId="15" applyNumberFormat="1" applyFont="1" applyFill="1" applyBorder="1" applyAlignment="1" applyProtection="1">
      <alignment vertical="center"/>
    </xf>
    <xf numFmtId="202" fontId="23" fillId="3" borderId="27" xfId="23" applyNumberFormat="1" applyFont="1" applyFill="1" applyBorder="1" applyAlignment="1" applyProtection="1">
      <alignment vertical="center"/>
      <protection locked="0"/>
    </xf>
    <xf numFmtId="202" fontId="27" fillId="0" borderId="19" xfId="5" applyNumberFormat="1" applyFont="1" applyBorder="1" applyAlignment="1" applyProtection="1">
      <alignment vertical="center"/>
    </xf>
    <xf numFmtId="167" fontId="27" fillId="4" borderId="0" xfId="0" applyNumberFormat="1" applyFont="1" applyFill="1" applyAlignment="1">
      <alignment vertical="center"/>
    </xf>
    <xf numFmtId="167" fontId="23" fillId="0" borderId="38" xfId="0" applyNumberFormat="1" applyFont="1" applyBorder="1" applyAlignment="1">
      <alignment vertical="center"/>
    </xf>
    <xf numFmtId="167" fontId="27" fillId="14" borderId="0" xfId="0" applyNumberFormat="1" applyFont="1" applyFill="1" applyAlignment="1">
      <alignment vertical="center"/>
    </xf>
    <xf numFmtId="167" fontId="96" fillId="8" borderId="0" xfId="0" applyNumberFormat="1" applyFont="1" applyFill="1" applyAlignment="1">
      <alignment vertical="center"/>
    </xf>
    <xf numFmtId="167" fontId="96" fillId="16" borderId="0" xfId="0" applyNumberFormat="1" applyFont="1" applyFill="1" applyAlignment="1">
      <alignment vertical="center"/>
    </xf>
    <xf numFmtId="167" fontId="96" fillId="17" borderId="0" xfId="0" applyNumberFormat="1" applyFont="1" applyFill="1" applyAlignment="1">
      <alignment vertical="center"/>
    </xf>
    <xf numFmtId="167" fontId="96" fillId="20" borderId="0" xfId="0" applyNumberFormat="1" applyFont="1" applyFill="1" applyAlignment="1">
      <alignment vertical="center"/>
    </xf>
    <xf numFmtId="167" fontId="27" fillId="15" borderId="0" xfId="0" applyNumberFormat="1" applyFont="1" applyFill="1" applyAlignment="1">
      <alignment vertical="center"/>
    </xf>
    <xf numFmtId="0" fontId="23" fillId="0" borderId="21" xfId="0" applyFont="1" applyBorder="1" applyAlignment="1">
      <alignment horizontal="center" vertical="center"/>
    </xf>
    <xf numFmtId="186" fontId="27" fillId="0" borderId="21" xfId="0" applyNumberFormat="1" applyFont="1" applyBorder="1" applyAlignment="1">
      <alignment horizontal="center" vertical="center"/>
    </xf>
    <xf numFmtId="0" fontId="23" fillId="24" borderId="5" xfId="0" applyFont="1" applyFill="1" applyBorder="1" applyAlignment="1">
      <alignment horizontal="left" vertical="center"/>
    </xf>
    <xf numFmtId="0" fontId="23" fillId="0" borderId="11" xfId="0" applyFont="1" applyBorder="1" applyAlignment="1">
      <alignment horizontal="center" vertical="center"/>
    </xf>
    <xf numFmtId="186" fontId="23" fillId="0" borderId="17" xfId="0" applyNumberFormat="1" applyFont="1" applyBorder="1" applyAlignment="1">
      <alignment horizontal="center" vertical="center"/>
    </xf>
    <xf numFmtId="2" fontId="23" fillId="14" borderId="13" xfId="0" applyNumberFormat="1" applyFont="1" applyFill="1" applyBorder="1" applyAlignment="1">
      <alignment vertical="center"/>
    </xf>
    <xf numFmtId="179" fontId="23" fillId="14" borderId="14" xfId="0" applyNumberFormat="1" applyFont="1" applyFill="1" applyBorder="1" applyAlignment="1">
      <alignment vertical="center"/>
    </xf>
    <xf numFmtId="2" fontId="23" fillId="8" borderId="13" xfId="0" applyNumberFormat="1" applyFont="1" applyFill="1" applyBorder="1" applyAlignment="1">
      <alignment vertical="center"/>
    </xf>
    <xf numFmtId="179" fontId="23" fillId="8" borderId="14" xfId="0" applyNumberFormat="1" applyFont="1" applyFill="1" applyBorder="1" applyAlignment="1">
      <alignment vertical="center"/>
    </xf>
    <xf numFmtId="2" fontId="23" fillId="24" borderId="21" xfId="0" applyNumberFormat="1" applyFont="1" applyFill="1" applyBorder="1" applyAlignment="1">
      <alignment vertical="center"/>
    </xf>
    <xf numFmtId="179" fontId="23" fillId="24" borderId="23" xfId="0" applyNumberFormat="1" applyFont="1" applyFill="1" applyBorder="1" applyAlignment="1">
      <alignment vertical="center"/>
    </xf>
    <xf numFmtId="0" fontId="23" fillId="0" borderId="29" xfId="0" applyFont="1" applyBorder="1" applyAlignment="1">
      <alignment horizontal="center" vertical="center"/>
    </xf>
    <xf numFmtId="0" fontId="14" fillId="0" borderId="28" xfId="0" applyFont="1" applyBorder="1" applyAlignment="1">
      <alignment vertical="center"/>
    </xf>
    <xf numFmtId="0" fontId="23" fillId="14" borderId="27" xfId="0" applyFont="1" applyFill="1" applyBorder="1" applyAlignment="1">
      <alignment vertical="center"/>
    </xf>
    <xf numFmtId="0" fontId="23" fillId="8" borderId="27" xfId="0" applyFont="1" applyFill="1" applyBorder="1" applyAlignment="1">
      <alignment vertical="center"/>
    </xf>
    <xf numFmtId="0" fontId="23" fillId="24" borderId="28" xfId="0" applyFont="1" applyFill="1" applyBorder="1" applyAlignment="1">
      <alignment vertical="center"/>
    </xf>
    <xf numFmtId="49" fontId="23" fillId="0" borderId="28" xfId="0" applyNumberFormat="1" applyFont="1" applyBorder="1" applyAlignment="1">
      <alignment vertical="center"/>
    </xf>
    <xf numFmtId="186" fontId="23" fillId="14" borderId="27" xfId="0" applyNumberFormat="1" applyFont="1" applyFill="1" applyBorder="1" applyAlignment="1">
      <alignment vertical="center"/>
    </xf>
    <xf numFmtId="186" fontId="23" fillId="8" borderId="27" xfId="0" applyNumberFormat="1" applyFont="1" applyFill="1" applyBorder="1" applyAlignment="1">
      <alignment vertical="center"/>
    </xf>
    <xf numFmtId="186" fontId="23" fillId="24" borderId="28" xfId="0" applyNumberFormat="1" applyFont="1" applyFill="1" applyBorder="1" applyAlignment="1">
      <alignment vertical="center"/>
    </xf>
    <xf numFmtId="0" fontId="23" fillId="0" borderId="29" xfId="0" applyFont="1" applyBorder="1"/>
    <xf numFmtId="186" fontId="64" fillId="20" borderId="27" xfId="0" applyNumberFormat="1" applyFont="1" applyFill="1" applyBorder="1" applyAlignment="1">
      <alignment vertical="center"/>
    </xf>
    <xf numFmtId="2" fontId="64" fillId="16" borderId="13" xfId="0" applyNumberFormat="1" applyFont="1" applyFill="1" applyBorder="1" applyAlignment="1">
      <alignment vertical="center"/>
    </xf>
    <xf numFmtId="179" fontId="64" fillId="16" borderId="14" xfId="0" applyNumberFormat="1" applyFont="1" applyFill="1" applyBorder="1" applyAlignment="1">
      <alignment vertical="center"/>
    </xf>
    <xf numFmtId="0" fontId="64" fillId="16" borderId="27" xfId="0" applyFont="1" applyFill="1" applyBorder="1" applyAlignment="1">
      <alignment vertical="center"/>
    </xf>
    <xf numFmtId="186" fontId="64" fillId="16" borderId="27" xfId="0" applyNumberFormat="1" applyFont="1" applyFill="1" applyBorder="1" applyAlignment="1">
      <alignment vertical="center"/>
    </xf>
    <xf numFmtId="2" fontId="64" fillId="17" borderId="13" xfId="0" applyNumberFormat="1" applyFont="1" applyFill="1" applyBorder="1" applyAlignment="1">
      <alignment vertical="center"/>
    </xf>
    <xf numFmtId="179" fontId="64" fillId="17" borderId="14" xfId="0" applyNumberFormat="1" applyFont="1" applyFill="1" applyBorder="1" applyAlignment="1">
      <alignment vertical="center"/>
    </xf>
    <xf numFmtId="0" fontId="64" fillId="17" borderId="27" xfId="0" applyFont="1" applyFill="1" applyBorder="1" applyAlignment="1">
      <alignment vertical="center"/>
    </xf>
    <xf numFmtId="186" fontId="64" fillId="17" borderId="27" xfId="0" applyNumberFormat="1" applyFont="1" applyFill="1" applyBorder="1" applyAlignment="1">
      <alignment vertical="center"/>
    </xf>
    <xf numFmtId="2" fontId="64" fillId="20" borderId="13" xfId="0" applyNumberFormat="1" applyFont="1" applyFill="1" applyBorder="1" applyAlignment="1">
      <alignment vertical="center"/>
    </xf>
    <xf numFmtId="179" fontId="64" fillId="20" borderId="14" xfId="0" applyNumberFormat="1" applyFont="1" applyFill="1" applyBorder="1" applyAlignment="1">
      <alignment vertical="center"/>
    </xf>
    <xf numFmtId="0" fontId="64" fillId="20" borderId="27" xfId="0" applyFont="1" applyFill="1" applyBorder="1" applyAlignment="1">
      <alignment vertical="center"/>
    </xf>
    <xf numFmtId="0" fontId="23" fillId="0" borderId="17" xfId="0" applyFont="1" applyBorder="1" applyAlignment="1">
      <alignment horizontal="left" vertical="center"/>
    </xf>
    <xf numFmtId="0" fontId="43" fillId="0" borderId="0" xfId="0" applyFont="1" applyAlignment="1">
      <alignment horizontal="left" vertical="center"/>
    </xf>
    <xf numFmtId="4" fontId="23" fillId="0" borderId="38" xfId="0" applyNumberFormat="1" applyFont="1" applyBorder="1" applyAlignment="1">
      <alignment horizontal="right" vertical="center"/>
    </xf>
    <xf numFmtId="0" fontId="23" fillId="0" borderId="0" xfId="0" applyFont="1" applyAlignment="1">
      <alignment horizontal="center"/>
    </xf>
    <xf numFmtId="0" fontId="115" fillId="0" borderId="21" xfId="0" applyFont="1" applyBorder="1" applyAlignment="1">
      <alignment horizontal="center" vertical="center"/>
    </xf>
    <xf numFmtId="0" fontId="67" fillId="4" borderId="0" xfId="0" applyFont="1" applyFill="1" applyAlignment="1">
      <alignment horizontal="left" vertical="center"/>
    </xf>
    <xf numFmtId="0" fontId="34" fillId="0" borderId="17" xfId="0" applyFont="1" applyBorder="1" applyAlignment="1">
      <alignment horizontal="center" vertical="center"/>
    </xf>
    <xf numFmtId="49" fontId="23" fillId="3" borderId="11" xfId="0" applyNumberFormat="1" applyFont="1" applyFill="1" applyBorder="1" applyAlignment="1" applyProtection="1">
      <alignment horizontal="left" vertical="center"/>
      <protection locked="0"/>
    </xf>
    <xf numFmtId="0" fontId="100" fillId="0" borderId="0" xfId="0" applyFont="1" applyAlignment="1">
      <alignment horizontal="left" vertical="top" wrapText="1"/>
    </xf>
    <xf numFmtId="0" fontId="16" fillId="0" borderId="0" xfId="0" applyFont="1" applyAlignment="1">
      <alignment horizontal="right" vertical="center"/>
    </xf>
    <xf numFmtId="0" fontId="23" fillId="0" borderId="13" xfId="0" applyFont="1" applyBorder="1" applyAlignment="1">
      <alignment horizontal="left" vertical="center"/>
    </xf>
    <xf numFmtId="0" fontId="23" fillId="0" borderId="0" xfId="0" applyFont="1" applyAlignment="1">
      <alignment horizontal="left" vertical="center"/>
    </xf>
    <xf numFmtId="0" fontId="23" fillId="29" borderId="13" xfId="0" applyFont="1" applyFill="1" applyBorder="1" applyAlignment="1">
      <alignment vertical="center"/>
    </xf>
    <xf numFmtId="0" fontId="23" fillId="0" borderId="19" xfId="0" applyFont="1" applyBorder="1" applyAlignment="1">
      <alignment horizontal="center" vertical="center"/>
    </xf>
    <xf numFmtId="0" fontId="14" fillId="0" borderId="14" xfId="0" applyFont="1" applyBorder="1" applyAlignment="1">
      <alignment horizontal="center" vertical="center"/>
    </xf>
    <xf numFmtId="4" fontId="23" fillId="0" borderId="25" xfId="0" applyNumberFormat="1" applyFont="1" applyBorder="1" applyAlignment="1">
      <alignment horizontal="left" vertical="center"/>
    </xf>
    <xf numFmtId="0" fontId="99" fillId="0" borderId="20" xfId="0" applyFont="1" applyBorder="1" applyAlignment="1">
      <alignment horizontal="left" vertical="center"/>
    </xf>
    <xf numFmtId="0" fontId="99" fillId="0" borderId="11" xfId="0" applyFont="1" applyBorder="1" applyAlignment="1">
      <alignment horizontal="left" vertical="center"/>
    </xf>
    <xf numFmtId="0" fontId="99" fillId="0" borderId="24" xfId="0" applyFont="1" applyBorder="1" applyAlignment="1">
      <alignment horizontal="left" vertical="center"/>
    </xf>
    <xf numFmtId="0" fontId="23" fillId="0" borderId="25" xfId="0" applyFont="1" applyBorder="1" applyAlignment="1">
      <alignment horizontal="left" vertical="center"/>
    </xf>
    <xf numFmtId="0" fontId="23" fillId="0" borderId="9" xfId="0" applyFont="1" applyBorder="1" applyAlignment="1">
      <alignment horizontal="left" vertical="center"/>
    </xf>
    <xf numFmtId="4" fontId="23" fillId="5" borderId="27" xfId="0" applyNumberFormat="1" applyFont="1" applyFill="1" applyBorder="1" applyAlignment="1">
      <alignment horizontal="center" vertical="center"/>
    </xf>
    <xf numFmtId="4" fontId="27" fillId="0" borderId="26" xfId="0" applyNumberFormat="1" applyFont="1" applyBorder="1" applyAlignment="1">
      <alignment horizontal="left" vertical="center"/>
    </xf>
    <xf numFmtId="0" fontId="43" fillId="0" borderId="0" xfId="0" applyFont="1" applyAlignment="1">
      <alignment vertical="center" wrapText="1"/>
    </xf>
    <xf numFmtId="0" fontId="14" fillId="0" borderId="72" xfId="0" applyFont="1" applyBorder="1" applyAlignment="1">
      <alignment horizontal="center" vertical="center"/>
    </xf>
    <xf numFmtId="0" fontId="14" fillId="0" borderId="2" xfId="0" applyFont="1" applyBorder="1" applyAlignment="1">
      <alignment horizontal="center" vertical="center"/>
    </xf>
    <xf numFmtId="0" fontId="34" fillId="0" borderId="19" xfId="0" applyFont="1" applyBorder="1" applyAlignment="1">
      <alignment horizontal="right" vertical="center"/>
    </xf>
    <xf numFmtId="0" fontId="14" fillId="0" borderId="29" xfId="0" applyFont="1" applyBorder="1" applyAlignment="1">
      <alignment horizontal="center" vertical="top" wrapText="1"/>
    </xf>
    <xf numFmtId="0" fontId="14" fillId="0" borderId="56" xfId="0" applyFont="1" applyBorder="1" applyAlignment="1">
      <alignment horizontal="center" vertical="center"/>
    </xf>
    <xf numFmtId="4" fontId="14" fillId="0" borderId="71" xfId="0" applyNumberFormat="1" applyFont="1" applyBorder="1" applyAlignment="1">
      <alignment horizontal="center" vertical="center" wrapText="1"/>
    </xf>
    <xf numFmtId="0" fontId="14" fillId="0" borderId="26" xfId="0" applyFont="1" applyBorder="1" applyAlignment="1">
      <alignment horizontal="center" vertical="center"/>
    </xf>
    <xf numFmtId="0" fontId="14" fillId="0" borderId="72" xfId="0" applyFont="1" applyBorder="1" applyAlignment="1">
      <alignment horizontal="center" vertical="center" wrapText="1"/>
    </xf>
    <xf numFmtId="0" fontId="105" fillId="0" borderId="0" xfId="0" applyFont="1" applyAlignment="1">
      <alignment vertical="center"/>
    </xf>
    <xf numFmtId="0" fontId="14" fillId="0" borderId="0" xfId="0" applyFont="1" applyAlignment="1">
      <alignment horizontal="center" vertical="center"/>
    </xf>
    <xf numFmtId="179" fontId="71" fillId="24" borderId="26" xfId="0" applyNumberFormat="1" applyFont="1" applyFill="1" applyBorder="1" applyAlignment="1" applyProtection="1">
      <alignment horizontal="center" vertical="center"/>
      <protection locked="0"/>
    </xf>
    <xf numFmtId="9" fontId="23" fillId="3" borderId="83" xfId="23" applyNumberFormat="1" applyFont="1" applyFill="1" applyBorder="1" applyAlignment="1" applyProtection="1">
      <alignment vertical="center"/>
      <protection locked="0"/>
    </xf>
    <xf numFmtId="174" fontId="23" fillId="0" borderId="83" xfId="0" applyNumberFormat="1" applyFont="1" applyBorder="1" applyAlignment="1">
      <alignment vertical="center"/>
    </xf>
    <xf numFmtId="165" fontId="23" fillId="0" borderId="83" xfId="9" applyNumberFormat="1" applyFont="1" applyBorder="1" applyAlignment="1">
      <alignment vertical="center"/>
    </xf>
    <xf numFmtId="186" fontId="23" fillId="0" borderId="84" xfId="9" applyNumberFormat="1" applyFont="1" applyBorder="1" applyAlignment="1">
      <alignment vertical="center"/>
    </xf>
    <xf numFmtId="186" fontId="27" fillId="0" borderId="19" xfId="0" applyNumberFormat="1" applyFont="1" applyBorder="1"/>
    <xf numFmtId="175" fontId="27" fillId="0" borderId="17" xfId="0" applyNumberFormat="1" applyFont="1" applyBorder="1" applyAlignment="1">
      <alignment vertical="center"/>
    </xf>
    <xf numFmtId="207" fontId="23" fillId="0" borderId="17" xfId="0" applyNumberFormat="1" applyFont="1" applyBorder="1" applyAlignment="1">
      <alignment vertical="center"/>
    </xf>
    <xf numFmtId="207" fontId="23" fillId="0" borderId="19" xfId="0" applyNumberFormat="1" applyFont="1" applyBorder="1" applyAlignment="1">
      <alignment vertical="center"/>
    </xf>
    <xf numFmtId="49" fontId="12" fillId="0" borderId="0" xfId="21" applyNumberFormat="1" applyFont="1" applyProtection="1">
      <protection hidden="1"/>
    </xf>
    <xf numFmtId="0" fontId="12" fillId="32" borderId="26" xfId="0" applyFont="1" applyFill="1" applyBorder="1" applyAlignment="1">
      <alignment horizontal="center" vertical="center"/>
    </xf>
    <xf numFmtId="0" fontId="123" fillId="32" borderId="26" xfId="0" applyFont="1" applyFill="1" applyBorder="1" applyAlignment="1" applyProtection="1">
      <alignment horizontal="center" vertical="center"/>
      <protection locked="0"/>
    </xf>
    <xf numFmtId="186" fontId="12" fillId="32" borderId="26" xfId="0" applyNumberFormat="1" applyFont="1" applyFill="1" applyBorder="1" applyAlignment="1">
      <alignment horizontal="center" vertical="center" wrapText="1"/>
    </xf>
    <xf numFmtId="0" fontId="12" fillId="32" borderId="21" xfId="0" applyFont="1" applyFill="1" applyBorder="1"/>
    <xf numFmtId="0" fontId="12" fillId="32" borderId="23" xfId="0" applyFont="1" applyFill="1" applyBorder="1"/>
    <xf numFmtId="186" fontId="27" fillId="0" borderId="13" xfId="0" applyNumberFormat="1" applyFont="1" applyBorder="1" applyAlignment="1">
      <alignment horizontal="center" vertical="center"/>
    </xf>
    <xf numFmtId="0" fontId="27" fillId="0" borderId="0" xfId="0" applyFont="1"/>
    <xf numFmtId="0" fontId="20" fillId="22" borderId="0" xfId="0" applyFont="1" applyFill="1" applyProtection="1">
      <protection hidden="1"/>
    </xf>
    <xf numFmtId="0" fontId="64" fillId="0" borderId="0" xfId="0" applyFont="1"/>
    <xf numFmtId="0" fontId="55" fillId="0" borderId="22" xfId="20" applyFill="1" applyBorder="1" applyAlignment="1" applyProtection="1">
      <alignment vertical="center"/>
    </xf>
    <xf numFmtId="0" fontId="55" fillId="0" borderId="24" xfId="20" applyFill="1" applyBorder="1" applyAlignment="1" applyProtection="1">
      <alignment vertical="center"/>
    </xf>
    <xf numFmtId="49" fontId="14" fillId="4" borderId="0" xfId="0" applyNumberFormat="1" applyFont="1" applyFill="1" applyAlignment="1">
      <alignment vertical="center"/>
    </xf>
    <xf numFmtId="0" fontId="14" fillId="4" borderId="0" xfId="0" applyFont="1" applyFill="1" applyAlignment="1">
      <alignment vertical="center"/>
    </xf>
    <xf numFmtId="0" fontId="55" fillId="0" borderId="0" xfId="20" applyFill="1" applyBorder="1" applyAlignment="1" applyProtection="1">
      <alignment vertical="center"/>
    </xf>
    <xf numFmtId="0" fontId="55" fillId="0" borderId="23" xfId="20" applyFill="1" applyBorder="1" applyAlignment="1" applyProtection="1">
      <alignment vertical="center"/>
    </xf>
    <xf numFmtId="0" fontId="25" fillId="0" borderId="0" xfId="0" applyFont="1"/>
    <xf numFmtId="0" fontId="56" fillId="32" borderId="27" xfId="20" applyFont="1" applyFill="1" applyBorder="1" applyAlignment="1">
      <alignment horizontal="center" vertical="center"/>
    </xf>
    <xf numFmtId="0" fontId="12" fillId="32" borderId="27" xfId="0" applyFont="1" applyFill="1" applyBorder="1"/>
    <xf numFmtId="0" fontId="12" fillId="32" borderId="28" xfId="0" applyFont="1" applyFill="1" applyBorder="1"/>
    <xf numFmtId="0" fontId="15" fillId="0" borderId="37" xfId="0" applyFont="1" applyBorder="1" applyAlignment="1">
      <alignment vertical="center"/>
    </xf>
    <xf numFmtId="0" fontId="12" fillId="0" borderId="38" xfId="0" applyFont="1" applyBorder="1" applyAlignment="1">
      <alignment vertical="center"/>
    </xf>
    <xf numFmtId="0" fontId="18" fillId="0" borderId="38" xfId="0" applyFont="1" applyBorder="1" applyAlignment="1">
      <alignment horizontal="left" vertical="center"/>
    </xf>
    <xf numFmtId="0" fontId="16" fillId="0" borderId="38" xfId="0" applyFont="1" applyBorder="1" applyAlignment="1">
      <alignment vertical="center"/>
    </xf>
    <xf numFmtId="0" fontId="22" fillId="0" borderId="38" xfId="0" applyFont="1" applyBorder="1" applyAlignment="1">
      <alignment vertical="center"/>
    </xf>
    <xf numFmtId="0" fontId="22" fillId="0" borderId="39" xfId="0" applyFont="1" applyBorder="1" applyAlignment="1">
      <alignment vertical="center"/>
    </xf>
    <xf numFmtId="0" fontId="15" fillId="0" borderId="38" xfId="0" applyFont="1" applyBorder="1" applyAlignment="1">
      <alignment vertical="center"/>
    </xf>
    <xf numFmtId="0" fontId="11" fillId="0" borderId="38" xfId="0" applyFont="1" applyBorder="1" applyAlignment="1">
      <alignment vertical="center"/>
    </xf>
    <xf numFmtId="0" fontId="22" fillId="0" borderId="38" xfId="0" applyFont="1" applyBorder="1" applyAlignment="1">
      <alignment horizontal="center" vertical="center"/>
    </xf>
    <xf numFmtId="0" fontId="15" fillId="0" borderId="37" xfId="0" applyFont="1" applyBorder="1" applyAlignment="1">
      <alignment horizontal="left" vertical="center"/>
    </xf>
    <xf numFmtId="0" fontId="15" fillId="0" borderId="38" xfId="0" applyFont="1" applyBorder="1" applyAlignment="1">
      <alignment horizontal="left" vertical="center"/>
    </xf>
    <xf numFmtId="0" fontId="75" fillId="2" borderId="18" xfId="0" applyFont="1" applyFill="1" applyBorder="1" applyAlignment="1">
      <alignment horizontal="center" vertical="center" wrapText="1"/>
    </xf>
    <xf numFmtId="0" fontId="32" fillId="2" borderId="18" xfId="0" applyFont="1" applyFill="1" applyBorder="1"/>
    <xf numFmtId="0" fontId="48" fillId="2" borderId="18" xfId="0" applyFont="1" applyFill="1" applyBorder="1"/>
    <xf numFmtId="167" fontId="46" fillId="2" borderId="22" xfId="0" applyNumberFormat="1" applyFont="1" applyFill="1" applyBorder="1" applyAlignment="1">
      <alignment vertical="center"/>
    </xf>
    <xf numFmtId="9" fontId="14" fillId="0" borderId="48" xfId="9" applyNumberFormat="1" applyFont="1" applyBorder="1" applyAlignment="1">
      <alignment horizontal="right" vertical="center"/>
    </xf>
    <xf numFmtId="4" fontId="45" fillId="0" borderId="48" xfId="5" applyFont="1" applyBorder="1" applyAlignment="1">
      <alignment vertical="center"/>
    </xf>
    <xf numFmtId="0" fontId="14" fillId="0" borderId="37" xfId="0" applyFont="1" applyBorder="1" applyAlignment="1">
      <alignment vertical="center"/>
    </xf>
    <xf numFmtId="0" fontId="14" fillId="0" borderId="38" xfId="0" applyFont="1" applyBorder="1" applyAlignment="1">
      <alignment vertical="center"/>
    </xf>
    <xf numFmtId="0" fontId="17" fillId="0" borderId="38" xfId="0" applyFont="1" applyBorder="1" applyAlignment="1">
      <alignment vertical="center"/>
    </xf>
    <xf numFmtId="4" fontId="45" fillId="0" borderId="38" xfId="5" applyFont="1" applyBorder="1" applyAlignment="1">
      <alignment horizontal="right" vertical="center"/>
    </xf>
    <xf numFmtId="4" fontId="30" fillId="0" borderId="48" xfId="5" applyFont="1" applyBorder="1" applyAlignment="1">
      <alignment vertical="center"/>
    </xf>
    <xf numFmtId="0" fontId="34" fillId="0" borderId="42" xfId="0" applyFont="1" applyBorder="1" applyAlignment="1">
      <alignment horizontal="center" vertical="center"/>
    </xf>
    <xf numFmtId="171" fontId="34" fillId="0" borderId="19" xfId="5" applyNumberFormat="1" applyFont="1" applyBorder="1" applyAlignment="1">
      <alignment vertical="center"/>
    </xf>
    <xf numFmtId="10" fontId="23" fillId="0" borderId="18" xfId="9" applyFont="1" applyBorder="1" applyAlignment="1">
      <alignment vertical="center"/>
    </xf>
    <xf numFmtId="4" fontId="27" fillId="0" borderId="18" xfId="0" applyNumberFormat="1" applyFont="1" applyBorder="1" applyAlignment="1">
      <alignment vertical="center"/>
    </xf>
    <xf numFmtId="165" fontId="14" fillId="0" borderId="11" xfId="9" applyNumberFormat="1" applyFont="1" applyBorder="1" applyAlignment="1">
      <alignment vertical="center"/>
    </xf>
    <xf numFmtId="165" fontId="14" fillId="0" borderId="0" xfId="9" applyNumberFormat="1" applyFont="1" applyAlignment="1">
      <alignment vertical="center"/>
    </xf>
    <xf numFmtId="165" fontId="14" fillId="0" borderId="54" xfId="9" applyNumberFormat="1" applyFont="1" applyBorder="1" applyAlignment="1">
      <alignment vertical="center"/>
    </xf>
    <xf numFmtId="10" fontId="23" fillId="0" borderId="21" xfId="9" applyFont="1" applyBorder="1" applyAlignment="1">
      <alignment vertical="center"/>
    </xf>
    <xf numFmtId="10" fontId="23" fillId="0" borderId="18" xfId="9" applyFont="1" applyBorder="1" applyAlignment="1" applyProtection="1">
      <alignment vertical="center"/>
    </xf>
    <xf numFmtId="10" fontId="23" fillId="0" borderId="20" xfId="9" applyFont="1" applyBorder="1" applyAlignment="1" applyProtection="1">
      <alignment vertical="center"/>
    </xf>
    <xf numFmtId="0" fontId="14" fillId="4" borderId="13" xfId="0" applyFont="1" applyFill="1" applyBorder="1" applyAlignment="1">
      <alignment vertical="center"/>
    </xf>
    <xf numFmtId="0" fontId="23" fillId="0" borderId="25" xfId="0" applyFont="1" applyBorder="1"/>
    <xf numFmtId="0" fontId="27" fillId="4" borderId="13" xfId="0" applyFont="1" applyFill="1" applyBorder="1" applyAlignment="1">
      <alignment vertical="center"/>
    </xf>
    <xf numFmtId="4" fontId="42" fillId="0" borderId="0" xfId="5" applyFont="1"/>
    <xf numFmtId="0" fontId="29" fillId="6" borderId="11" xfId="0" applyFont="1" applyFill="1" applyBorder="1" applyAlignment="1">
      <alignment vertical="center"/>
    </xf>
    <xf numFmtId="0" fontId="49" fillId="6" borderId="13" xfId="0" applyFont="1" applyFill="1" applyBorder="1" applyAlignment="1">
      <alignment vertical="center"/>
    </xf>
    <xf numFmtId="0" fontId="134" fillId="8" borderId="13" xfId="0" applyFont="1" applyFill="1" applyBorder="1" applyAlignment="1">
      <alignment vertical="center"/>
    </xf>
    <xf numFmtId="0" fontId="107" fillId="8" borderId="13" xfId="0" applyFont="1" applyFill="1" applyBorder="1" applyAlignment="1">
      <alignment vertical="center"/>
    </xf>
    <xf numFmtId="0" fontId="134" fillId="16" borderId="13" xfId="0" applyFont="1" applyFill="1" applyBorder="1" applyAlignment="1">
      <alignment vertical="center"/>
    </xf>
    <xf numFmtId="0" fontId="134" fillId="17" borderId="13" xfId="0" applyFont="1" applyFill="1" applyBorder="1" applyAlignment="1">
      <alignment vertical="center"/>
    </xf>
    <xf numFmtId="0" fontId="49" fillId="20" borderId="13" xfId="0" applyFont="1" applyFill="1" applyBorder="1" applyAlignment="1">
      <alignment vertical="center"/>
    </xf>
    <xf numFmtId="0" fontId="49" fillId="24" borderId="13" xfId="0" applyFont="1" applyFill="1" applyBorder="1" applyAlignment="1">
      <alignment vertical="center"/>
    </xf>
    <xf numFmtId="0" fontId="49" fillId="15" borderId="13" xfId="0" applyFont="1" applyFill="1" applyBorder="1" applyAlignment="1">
      <alignment vertical="center"/>
    </xf>
    <xf numFmtId="0" fontId="23" fillId="4" borderId="13" xfId="0" applyFont="1" applyFill="1" applyBorder="1"/>
    <xf numFmtId="186" fontId="23" fillId="14" borderId="0" xfId="0" applyNumberFormat="1" applyFont="1" applyFill="1" applyAlignment="1">
      <alignment vertical="center"/>
    </xf>
    <xf numFmtId="186" fontId="23" fillId="8" borderId="0" xfId="0" applyNumberFormat="1" applyFont="1" applyFill="1" applyAlignment="1">
      <alignment vertical="center"/>
    </xf>
    <xf numFmtId="186" fontId="64" fillId="16" borderId="0" xfId="0" applyNumberFormat="1" applyFont="1" applyFill="1" applyAlignment="1">
      <alignment vertical="center"/>
    </xf>
    <xf numFmtId="186" fontId="64" fillId="17" borderId="0" xfId="0" applyNumberFormat="1" applyFont="1" applyFill="1" applyAlignment="1">
      <alignment vertical="center"/>
    </xf>
    <xf numFmtId="186" fontId="64" fillId="20" borderId="0" xfId="0" applyNumberFormat="1" applyFont="1" applyFill="1" applyAlignment="1">
      <alignment vertical="center"/>
    </xf>
    <xf numFmtId="186" fontId="23" fillId="24" borderId="0" xfId="0" applyNumberFormat="1" applyFont="1" applyFill="1" applyAlignment="1">
      <alignment vertical="center"/>
    </xf>
    <xf numFmtId="0" fontId="23" fillId="4" borderId="21" xfId="0" applyFont="1" applyFill="1" applyBorder="1"/>
    <xf numFmtId="0" fontId="23" fillId="4" borderId="17" xfId="0" applyFont="1" applyFill="1" applyBorder="1"/>
    <xf numFmtId="0" fontId="99" fillId="0" borderId="0" xfId="0" applyFont="1" applyAlignment="1">
      <alignment vertical="top" wrapText="1"/>
    </xf>
    <xf numFmtId="0" fontId="99" fillId="0" borderId="14" xfId="0" applyFont="1" applyBorder="1" applyAlignment="1">
      <alignment vertical="top" wrapText="1"/>
    </xf>
    <xf numFmtId="202" fontId="27" fillId="0" borderId="42" xfId="0" applyNumberFormat="1" applyFont="1" applyBorder="1" applyAlignment="1">
      <alignment vertical="center"/>
    </xf>
    <xf numFmtId="202" fontId="27" fillId="0" borderId="23" xfId="0" applyNumberFormat="1" applyFont="1" applyBorder="1" applyAlignment="1">
      <alignment vertical="center"/>
    </xf>
    <xf numFmtId="49" fontId="23" fillId="3" borderId="28" xfId="0" applyNumberFormat="1" applyFont="1" applyFill="1" applyBorder="1" applyAlignment="1" applyProtection="1">
      <alignment horizontal="left" vertical="center"/>
      <protection locked="0"/>
    </xf>
    <xf numFmtId="49" fontId="12" fillId="3" borderId="26" xfId="0" applyNumberFormat="1" applyFont="1" applyFill="1" applyBorder="1" applyAlignment="1" applyProtection="1">
      <alignment horizontal="center" vertical="center"/>
      <protection locked="0"/>
    </xf>
    <xf numFmtId="49" fontId="71" fillId="3" borderId="11" xfId="0" applyNumberFormat="1" applyFont="1" applyFill="1" applyBorder="1" applyAlignment="1" applyProtection="1">
      <alignment horizontal="center" vertical="center" wrapText="1"/>
      <protection locked="0"/>
    </xf>
    <xf numFmtId="49" fontId="12" fillId="3" borderId="14" xfId="22" applyNumberFormat="1" applyFont="1" applyFill="1" applyBorder="1" applyAlignment="1" applyProtection="1">
      <alignment horizontal="center" vertical="center"/>
      <protection locked="0"/>
    </xf>
    <xf numFmtId="0" fontId="20" fillId="0" borderId="22" xfId="0" applyFont="1" applyBorder="1" applyAlignment="1">
      <alignment horizontal="center"/>
    </xf>
    <xf numFmtId="4" fontId="27" fillId="3" borderId="21" xfId="0" applyNumberFormat="1" applyFont="1" applyFill="1" applyBorder="1" applyAlignment="1" applyProtection="1">
      <alignment horizontal="center" vertical="center"/>
      <protection locked="0"/>
    </xf>
    <xf numFmtId="165" fontId="20" fillId="0" borderId="27" xfId="10" applyNumberFormat="1" applyFont="1" applyBorder="1"/>
    <xf numFmtId="165" fontId="20" fillId="3" borderId="26" xfId="10" applyNumberFormat="1" applyFont="1" applyFill="1" applyBorder="1" applyProtection="1">
      <protection locked="0"/>
    </xf>
    <xf numFmtId="0" fontId="29" fillId="8" borderId="0" xfId="0" applyFont="1" applyFill="1" applyAlignment="1">
      <alignment vertical="center"/>
    </xf>
    <xf numFmtId="0" fontId="29" fillId="16" borderId="0" xfId="0" applyFont="1" applyFill="1"/>
    <xf numFmtId="0" fontId="29" fillId="17" borderId="0" xfId="0" applyFont="1" applyFill="1"/>
    <xf numFmtId="174" fontId="23" fillId="0" borderId="21" xfId="0" applyNumberFormat="1" applyFont="1" applyBorder="1" applyAlignment="1">
      <alignment vertical="center"/>
    </xf>
    <xf numFmtId="174" fontId="23" fillId="0" borderId="18" xfId="0" applyNumberFormat="1" applyFont="1" applyBorder="1" applyAlignment="1">
      <alignment vertical="center"/>
    </xf>
    <xf numFmtId="174" fontId="23" fillId="0" borderId="31" xfId="0" applyNumberFormat="1" applyFont="1" applyBorder="1" applyAlignment="1">
      <alignment vertical="center"/>
    </xf>
    <xf numFmtId="10" fontId="23" fillId="0" borderId="14" xfId="0" applyNumberFormat="1" applyFont="1" applyBorder="1" applyProtection="1">
      <protection hidden="1"/>
    </xf>
    <xf numFmtId="186" fontId="23" fillId="0" borderId="28" xfId="9" applyNumberFormat="1" applyFont="1" applyBorder="1" applyAlignment="1">
      <alignment vertical="center"/>
    </xf>
    <xf numFmtId="186" fontId="23" fillId="0" borderId="26" xfId="9" applyNumberFormat="1" applyFont="1" applyBorder="1" applyAlignment="1">
      <alignment vertical="center"/>
    </xf>
    <xf numFmtId="186" fontId="23" fillId="0" borderId="30" xfId="9" applyNumberFormat="1" applyFont="1" applyBorder="1" applyAlignment="1">
      <alignment vertical="center"/>
    </xf>
    <xf numFmtId="0" fontId="12" fillId="0" borderId="29" xfId="0" applyFont="1" applyBorder="1" applyAlignment="1">
      <alignment horizontal="center" vertical="center" wrapText="1"/>
    </xf>
    <xf numFmtId="0" fontId="12" fillId="0" borderId="27" xfId="0" applyFont="1" applyBorder="1" applyAlignment="1">
      <alignment vertical="center" wrapText="1"/>
    </xf>
    <xf numFmtId="0" fontId="12" fillId="0" borderId="0" xfId="0" applyFont="1" applyAlignment="1">
      <alignment vertical="center" wrapText="1"/>
    </xf>
    <xf numFmtId="186" fontId="12" fillId="0" borderId="0" xfId="0" applyNumberFormat="1" applyFont="1" applyAlignment="1">
      <alignment horizontal="center" vertical="center" wrapText="1"/>
    </xf>
    <xf numFmtId="186" fontId="12" fillId="0" borderId="17" xfId="0" applyNumberFormat="1" applyFont="1" applyBorder="1" applyAlignment="1">
      <alignment horizontal="center" vertical="center" wrapText="1"/>
    </xf>
    <xf numFmtId="0" fontId="12" fillId="0" borderId="17" xfId="0" applyFont="1" applyBorder="1"/>
    <xf numFmtId="0" fontId="25" fillId="0" borderId="20" xfId="0" applyFont="1" applyBorder="1" applyAlignment="1" applyProtection="1">
      <alignment horizontal="right" vertical="center"/>
      <protection hidden="1"/>
    </xf>
    <xf numFmtId="0" fontId="20" fillId="0" borderId="21" xfId="0" applyFont="1" applyBorder="1" applyAlignment="1" applyProtection="1">
      <alignment vertical="center"/>
      <protection hidden="1"/>
    </xf>
    <xf numFmtId="0" fontId="20" fillId="0" borderId="19" xfId="0" applyFont="1" applyBorder="1" applyProtection="1">
      <protection hidden="1"/>
    </xf>
    <xf numFmtId="185" fontId="20" fillId="0" borderId="19" xfId="0" applyNumberFormat="1" applyFont="1" applyBorder="1" applyAlignment="1" applyProtection="1">
      <alignment horizontal="center"/>
      <protection hidden="1"/>
    </xf>
    <xf numFmtId="0" fontId="62" fillId="0" borderId="19" xfId="0" applyFont="1" applyBorder="1" applyAlignment="1" applyProtection="1">
      <alignment horizontal="center" vertical="center" wrapText="1"/>
      <protection hidden="1"/>
    </xf>
    <xf numFmtId="0" fontId="20" fillId="0" borderId="21" xfId="0" applyFont="1" applyBorder="1" applyProtection="1">
      <protection hidden="1"/>
    </xf>
    <xf numFmtId="0" fontId="62" fillId="0" borderId="0" xfId="0" applyFont="1" applyAlignment="1" applyProtection="1">
      <alignment horizontal="center" vertical="center" wrapText="1"/>
      <protection hidden="1"/>
    </xf>
    <xf numFmtId="185" fontId="20" fillId="0" borderId="0" xfId="0" applyNumberFormat="1" applyFont="1" applyAlignment="1" applyProtection="1">
      <alignment horizontal="center"/>
      <protection hidden="1"/>
    </xf>
    <xf numFmtId="0" fontId="20" fillId="0" borderId="18" xfId="0" applyFont="1" applyBorder="1" applyProtection="1">
      <protection hidden="1"/>
    </xf>
    <xf numFmtId="1" fontId="20" fillId="0" borderId="0" xfId="0" applyNumberFormat="1" applyFont="1" applyAlignment="1" applyProtection="1">
      <alignment horizontal="center"/>
      <protection hidden="1"/>
    </xf>
    <xf numFmtId="0" fontId="62" fillId="0" borderId="0" xfId="0" applyFont="1" applyAlignment="1" applyProtection="1">
      <alignment horizontal="center"/>
      <protection hidden="1"/>
    </xf>
    <xf numFmtId="0" fontId="25" fillId="0" borderId="18" xfId="0" applyFont="1" applyBorder="1" applyProtection="1">
      <protection hidden="1"/>
    </xf>
    <xf numFmtId="0" fontId="25" fillId="0" borderId="19" xfId="0" applyFont="1" applyBorder="1" applyProtection="1">
      <protection hidden="1"/>
    </xf>
    <xf numFmtId="0" fontId="20" fillId="0" borderId="17" xfId="0" applyFont="1" applyBorder="1" applyProtection="1">
      <protection hidden="1"/>
    </xf>
    <xf numFmtId="0" fontId="20" fillId="0" borderId="23" xfId="0" applyFont="1" applyBorder="1" applyProtection="1">
      <protection hidden="1"/>
    </xf>
    <xf numFmtId="1" fontId="20" fillId="0" borderId="0" xfId="0" applyNumberFormat="1" applyFont="1" applyProtection="1">
      <protection hidden="1"/>
    </xf>
    <xf numFmtId="0" fontId="26" fillId="0" borderId="0" xfId="0" applyFont="1" applyProtection="1">
      <protection hidden="1"/>
    </xf>
    <xf numFmtId="0" fontId="65" fillId="4" borderId="0" xfId="0" applyFont="1" applyFill="1" applyAlignment="1" applyProtection="1">
      <alignment horizontal="center" vertical="center"/>
      <protection hidden="1"/>
    </xf>
    <xf numFmtId="0" fontId="62" fillId="0" borderId="11" xfId="0" applyFont="1" applyBorder="1" applyAlignment="1" applyProtection="1">
      <alignment horizontal="center" vertical="center" wrapText="1"/>
      <protection hidden="1"/>
    </xf>
    <xf numFmtId="0" fontId="85" fillId="13" borderId="0" xfId="0" applyFont="1" applyFill="1" applyAlignment="1">
      <alignment vertical="center" wrapText="1"/>
    </xf>
    <xf numFmtId="0" fontId="20" fillId="0" borderId="11" xfId="0" applyFont="1" applyBorder="1" applyProtection="1">
      <protection hidden="1"/>
    </xf>
    <xf numFmtId="185" fontId="20" fillId="0" borderId="11" xfId="0" applyNumberFormat="1" applyFont="1" applyBorder="1" applyAlignment="1" applyProtection="1">
      <alignment horizontal="center"/>
      <protection hidden="1"/>
    </xf>
    <xf numFmtId="0" fontId="20" fillId="0" borderId="45" xfId="0" applyFont="1" applyBorder="1" applyProtection="1">
      <protection hidden="1"/>
    </xf>
    <xf numFmtId="0" fontId="62" fillId="0" borderId="3" xfId="0" applyFont="1" applyBorder="1" applyAlignment="1" applyProtection="1">
      <alignment horizontal="center" vertical="center" wrapText="1"/>
      <protection hidden="1"/>
    </xf>
    <xf numFmtId="49" fontId="58" fillId="0" borderId="18" xfId="0" applyNumberFormat="1" applyFont="1" applyBorder="1" applyAlignment="1" applyProtection="1">
      <alignment horizontal="center" vertical="center"/>
      <protection locked="0"/>
    </xf>
    <xf numFmtId="0" fontId="23" fillId="13" borderId="17" xfId="0" applyFont="1" applyFill="1" applyBorder="1" applyAlignment="1">
      <alignment horizontal="center" vertical="top" wrapText="1"/>
    </xf>
    <xf numFmtId="0" fontId="20" fillId="0" borderId="10" xfId="0" applyFont="1" applyBorder="1" applyAlignment="1" applyProtection="1">
      <alignment vertical="center"/>
      <protection hidden="1"/>
    </xf>
    <xf numFmtId="0" fontId="70" fillId="22" borderId="0" xfId="0" applyFont="1" applyFill="1" applyProtection="1">
      <protection hidden="1"/>
    </xf>
    <xf numFmtId="0" fontId="70" fillId="22" borderId="20" xfId="0" applyFont="1" applyFill="1" applyBorder="1" applyProtection="1">
      <protection hidden="1"/>
    </xf>
    <xf numFmtId="0" fontId="70" fillId="22" borderId="11" xfId="0" applyFont="1" applyFill="1" applyBorder="1" applyProtection="1">
      <protection hidden="1"/>
    </xf>
    <xf numFmtId="0" fontId="70" fillId="22" borderId="13" xfId="0" applyFont="1" applyFill="1" applyBorder="1" applyProtection="1">
      <protection hidden="1"/>
    </xf>
    <xf numFmtId="0" fontId="137" fillId="22" borderId="0" xfId="0" applyFont="1" applyFill="1" applyProtection="1">
      <protection hidden="1"/>
    </xf>
    <xf numFmtId="0" fontId="138" fillId="22" borderId="13" xfId="0" applyFont="1" applyFill="1" applyBorder="1" applyProtection="1">
      <protection hidden="1"/>
    </xf>
    <xf numFmtId="170" fontId="70" fillId="22" borderId="0" xfId="0" applyNumberFormat="1" applyFont="1" applyFill="1" applyProtection="1">
      <protection hidden="1"/>
    </xf>
    <xf numFmtId="0" fontId="138" fillId="22" borderId="0" xfId="0" applyFont="1" applyFill="1" applyProtection="1">
      <protection hidden="1"/>
    </xf>
    <xf numFmtId="0" fontId="70" fillId="22" borderId="13" xfId="10" applyFont="1" applyFill="1" applyBorder="1" applyProtection="1">
      <protection hidden="1"/>
    </xf>
    <xf numFmtId="0" fontId="70" fillId="22" borderId="0" xfId="10" applyFont="1" applyFill="1" applyProtection="1">
      <protection hidden="1"/>
    </xf>
    <xf numFmtId="14" fontId="70" fillId="22" borderId="0" xfId="10" applyNumberFormat="1" applyFont="1" applyFill="1" applyProtection="1">
      <protection hidden="1"/>
    </xf>
    <xf numFmtId="0" fontId="70" fillId="0" borderId="0" xfId="0" applyFont="1" applyProtection="1">
      <protection hidden="1"/>
    </xf>
    <xf numFmtId="0" fontId="70" fillId="22" borderId="21" xfId="0" applyFont="1" applyFill="1" applyBorder="1" applyProtection="1">
      <protection hidden="1"/>
    </xf>
    <xf numFmtId="0" fontId="70" fillId="22" borderId="7" xfId="0" applyFont="1" applyFill="1" applyBorder="1" applyProtection="1">
      <protection hidden="1"/>
    </xf>
    <xf numFmtId="0" fontId="70" fillId="22" borderId="8" xfId="0" applyFont="1" applyFill="1" applyBorder="1" applyProtection="1">
      <protection hidden="1"/>
    </xf>
    <xf numFmtId="0" fontId="70" fillId="22" borderId="44" xfId="0" applyFont="1" applyFill="1" applyBorder="1" applyProtection="1">
      <protection hidden="1"/>
    </xf>
    <xf numFmtId="0" fontId="70" fillId="22" borderId="17" xfId="0" applyFont="1" applyFill="1" applyBorder="1" applyProtection="1">
      <protection hidden="1"/>
    </xf>
    <xf numFmtId="0" fontId="70" fillId="2" borderId="0" xfId="0" applyFont="1" applyFill="1" applyProtection="1">
      <protection hidden="1"/>
    </xf>
    <xf numFmtId="49" fontId="20" fillId="3" borderId="18" xfId="0" applyNumberFormat="1" applyFont="1" applyFill="1" applyBorder="1" applyAlignment="1" applyProtection="1">
      <alignment horizontal="left" vertical="center" wrapText="1"/>
      <protection locked="0"/>
    </xf>
    <xf numFmtId="49" fontId="20" fillId="3" borderId="26" xfId="0" applyNumberFormat="1" applyFont="1" applyFill="1" applyBorder="1" applyAlignment="1" applyProtection="1">
      <alignment vertical="center" wrapText="1"/>
      <protection locked="0"/>
    </xf>
    <xf numFmtId="14" fontId="27" fillId="0" borderId="18" xfId="0" applyNumberFormat="1" applyFont="1" applyBorder="1" applyAlignment="1">
      <alignment horizontal="center" vertical="center"/>
    </xf>
    <xf numFmtId="186" fontId="27" fillId="29" borderId="22" xfId="0" applyNumberFormat="1" applyFont="1" applyFill="1" applyBorder="1" applyAlignment="1">
      <alignment vertical="center"/>
    </xf>
    <xf numFmtId="202" fontId="23" fillId="0" borderId="19" xfId="0" applyNumberFormat="1" applyFont="1" applyBorder="1" applyAlignment="1" applyProtection="1">
      <alignment vertical="center"/>
      <protection hidden="1"/>
    </xf>
    <xf numFmtId="186" fontId="23" fillId="0" borderId="28" xfId="0" applyNumberFormat="1" applyFont="1" applyBorder="1" applyAlignment="1" applyProtection="1">
      <alignment vertical="center"/>
      <protection hidden="1"/>
    </xf>
    <xf numFmtId="0" fontId="23" fillId="0" borderId="26" xfId="0" applyFont="1" applyBorder="1" applyAlignment="1" applyProtection="1">
      <alignment vertical="center"/>
      <protection hidden="1"/>
    </xf>
    <xf numFmtId="0" fontId="99" fillId="0" borderId="0" xfId="0" applyFont="1" applyAlignment="1">
      <alignment vertical="center"/>
    </xf>
    <xf numFmtId="186" fontId="23" fillId="5" borderId="27" xfId="0" applyNumberFormat="1" applyFont="1" applyFill="1" applyBorder="1" applyAlignment="1">
      <alignment vertical="center"/>
    </xf>
    <xf numFmtId="186" fontId="23" fillId="5" borderId="40" xfId="0" applyNumberFormat="1" applyFont="1" applyFill="1" applyBorder="1" applyAlignment="1">
      <alignment vertical="center"/>
    </xf>
    <xf numFmtId="207" fontId="23" fillId="5" borderId="27" xfId="0" applyNumberFormat="1" applyFont="1" applyFill="1" applyBorder="1" applyAlignment="1">
      <alignment vertical="center"/>
    </xf>
    <xf numFmtId="207" fontId="23" fillId="5" borderId="40" xfId="0" applyNumberFormat="1" applyFont="1" applyFill="1" applyBorder="1" applyAlignment="1">
      <alignment vertical="center"/>
    </xf>
    <xf numFmtId="0" fontId="20" fillId="0" borderId="0" xfId="0" applyFont="1" applyAlignment="1">
      <alignment vertical="center" wrapText="1"/>
    </xf>
    <xf numFmtId="0" fontId="14" fillId="33" borderId="0" xfId="0" applyFont="1" applyFill="1" applyAlignment="1" applyProtection="1">
      <alignment vertical="center"/>
      <protection hidden="1"/>
    </xf>
    <xf numFmtId="0" fontId="52" fillId="33" borderId="0" xfId="0" applyFont="1" applyFill="1" applyAlignment="1" applyProtection="1">
      <alignment vertical="top" wrapText="1"/>
      <protection hidden="1"/>
    </xf>
    <xf numFmtId="174" fontId="52" fillId="0" borderId="0" xfId="0" applyNumberFormat="1" applyFont="1" applyProtection="1">
      <protection hidden="1"/>
    </xf>
    <xf numFmtId="169" fontId="52" fillId="0" borderId="0" xfId="0" applyNumberFormat="1" applyFont="1" applyProtection="1">
      <protection hidden="1"/>
    </xf>
    <xf numFmtId="0" fontId="15" fillId="4" borderId="0" xfId="0" applyFont="1" applyFill="1" applyAlignment="1">
      <alignment vertical="center"/>
    </xf>
    <xf numFmtId="10" fontId="23" fillId="3" borderId="29" xfId="0" applyNumberFormat="1" applyFont="1" applyFill="1" applyBorder="1" applyAlignment="1" applyProtection="1">
      <alignment vertical="center"/>
      <protection locked="0"/>
    </xf>
    <xf numFmtId="0" fontId="23" fillId="0" borderId="37" xfId="0" applyFont="1" applyBorder="1" applyAlignment="1">
      <alignment vertical="center"/>
    </xf>
    <xf numFmtId="0" fontId="23" fillId="0" borderId="38" xfId="0" applyFont="1" applyBorder="1" applyAlignment="1">
      <alignment vertical="center"/>
    </xf>
    <xf numFmtId="0" fontId="23" fillId="0" borderId="39" xfId="0" applyFont="1" applyBorder="1" applyAlignment="1">
      <alignment vertical="center"/>
    </xf>
    <xf numFmtId="10" fontId="23" fillId="0" borderId="48" xfId="0" applyNumberFormat="1" applyFont="1" applyBorder="1" applyAlignment="1">
      <alignment vertical="center"/>
    </xf>
    <xf numFmtId="202" fontId="23" fillId="0" borderId="39" xfId="0" applyNumberFormat="1" applyFont="1" applyBorder="1" applyAlignment="1">
      <alignment vertical="center"/>
    </xf>
    <xf numFmtId="200" fontId="23" fillId="0" borderId="26" xfId="5" applyNumberFormat="1" applyFont="1" applyBorder="1" applyAlignment="1" applyProtection="1">
      <alignment vertical="center"/>
    </xf>
    <xf numFmtId="0" fontId="139" fillId="0" borderId="0" xfId="0" applyFont="1" applyAlignment="1">
      <alignment horizontal="center" vertical="center" wrapText="1"/>
    </xf>
    <xf numFmtId="0" fontId="52" fillId="0" borderId="9" xfId="0" applyFont="1" applyBorder="1" applyProtection="1">
      <protection hidden="1"/>
    </xf>
    <xf numFmtId="0" fontId="23" fillId="0" borderId="17" xfId="0" applyFont="1" applyBorder="1" applyAlignment="1" applyProtection="1">
      <alignment vertical="center"/>
      <protection hidden="1"/>
    </xf>
    <xf numFmtId="0" fontId="23" fillId="0" borderId="21" xfId="0" applyFont="1" applyBorder="1" applyAlignment="1">
      <alignment horizontal="right" vertical="center"/>
    </xf>
    <xf numFmtId="4" fontId="27" fillId="0" borderId="21" xfId="0" applyNumberFormat="1" applyFont="1" applyBorder="1" applyAlignment="1">
      <alignment horizontal="left" vertical="center"/>
    </xf>
    <xf numFmtId="4" fontId="27" fillId="0" borderId="17" xfId="0" applyNumberFormat="1" applyFont="1" applyBorder="1" applyAlignment="1">
      <alignment horizontal="left" vertical="center"/>
    </xf>
    <xf numFmtId="0" fontId="105" fillId="0" borderId="0" xfId="0" applyFont="1" applyAlignment="1">
      <alignment horizontal="left" vertical="center"/>
    </xf>
    <xf numFmtId="0" fontId="23" fillId="0" borderId="21" xfId="0" applyFont="1" applyBorder="1" applyAlignment="1" applyProtection="1">
      <alignment horizontal="left"/>
      <protection hidden="1"/>
    </xf>
    <xf numFmtId="207" fontId="23" fillId="0" borderId="26" xfId="0" applyNumberFormat="1" applyFont="1" applyBorder="1" applyAlignment="1" applyProtection="1">
      <alignment vertical="center"/>
      <protection hidden="1"/>
    </xf>
    <xf numFmtId="0" fontId="100" fillId="0" borderId="0" xfId="0" applyFont="1" applyAlignment="1">
      <alignment vertical="top" wrapText="1"/>
    </xf>
    <xf numFmtId="0" fontId="100" fillId="0" borderId="14" xfId="0" applyFont="1" applyBorder="1" applyAlignment="1">
      <alignment vertical="top" wrapText="1"/>
    </xf>
    <xf numFmtId="186" fontId="50" fillId="0" borderId="19" xfId="0" applyNumberFormat="1" applyFont="1" applyBorder="1" applyAlignment="1">
      <alignment horizontal="right" vertical="center"/>
    </xf>
    <xf numFmtId="165" fontId="23" fillId="3" borderId="14" xfId="9" applyNumberFormat="1" applyFont="1" applyFill="1" applyBorder="1" applyAlignment="1" applyProtection="1">
      <alignment vertical="center"/>
      <protection locked="0"/>
    </xf>
    <xf numFmtId="194" fontId="23" fillId="3" borderId="14" xfId="0" applyNumberFormat="1" applyFont="1" applyFill="1" applyBorder="1" applyAlignment="1" applyProtection="1">
      <alignment vertical="center"/>
      <protection locked="0"/>
    </xf>
    <xf numFmtId="2" fontId="23" fillId="3" borderId="14" xfId="0" applyNumberFormat="1" applyFont="1" applyFill="1" applyBorder="1" applyAlignment="1" applyProtection="1">
      <alignment vertical="center"/>
      <protection locked="0"/>
    </xf>
    <xf numFmtId="165" fontId="23" fillId="3" borderId="14" xfId="0" applyNumberFormat="1" applyFont="1" applyFill="1" applyBorder="1" applyAlignment="1" applyProtection="1">
      <alignment vertical="center"/>
      <protection locked="0"/>
    </xf>
    <xf numFmtId="165" fontId="23" fillId="3" borderId="23" xfId="0" applyNumberFormat="1" applyFont="1" applyFill="1" applyBorder="1" applyAlignment="1" applyProtection="1">
      <alignment vertical="center"/>
      <protection locked="0"/>
    </xf>
    <xf numFmtId="165" fontId="23" fillId="3" borderId="27" xfId="9" applyNumberFormat="1" applyFont="1" applyFill="1" applyBorder="1" applyAlignment="1" applyProtection="1">
      <alignment vertical="center"/>
      <protection locked="0"/>
    </xf>
    <xf numFmtId="194" fontId="23" fillId="3" borderId="27" xfId="0" applyNumberFormat="1" applyFont="1" applyFill="1" applyBorder="1" applyAlignment="1" applyProtection="1">
      <alignment vertical="center"/>
      <protection locked="0"/>
    </xf>
    <xf numFmtId="2" fontId="23" fillId="3" borderId="27" xfId="0" applyNumberFormat="1" applyFont="1" applyFill="1" applyBorder="1" applyAlignment="1" applyProtection="1">
      <alignment vertical="center"/>
      <protection locked="0"/>
    </xf>
    <xf numFmtId="165" fontId="23" fillId="3" borderId="28" xfId="0" applyNumberFormat="1" applyFont="1" applyFill="1" applyBorder="1" applyAlignment="1" applyProtection="1">
      <alignment vertical="center"/>
      <protection locked="0"/>
    </xf>
    <xf numFmtId="0" fontId="23" fillId="0" borderId="14" xfId="0" applyFont="1" applyBorder="1" applyAlignment="1">
      <alignment horizontal="left" vertical="center"/>
    </xf>
    <xf numFmtId="0" fontId="141" fillId="0" borderId="0" xfId="0" applyFont="1"/>
    <xf numFmtId="0" fontId="43" fillId="0" borderId="0" xfId="0" applyFont="1" applyAlignment="1" applyProtection="1">
      <alignment vertical="top" wrapText="1"/>
      <protection hidden="1"/>
    </xf>
    <xf numFmtId="0" fontId="43" fillId="0" borderId="14" xfId="0" applyFont="1" applyBorder="1" applyAlignment="1" applyProtection="1">
      <alignment vertical="top" wrapText="1"/>
      <protection hidden="1"/>
    </xf>
    <xf numFmtId="0" fontId="99" fillId="0" borderId="0" xfId="0" applyFont="1" applyAlignment="1">
      <alignment wrapText="1"/>
    </xf>
    <xf numFmtId="0" fontId="99" fillId="0" borderId="0" xfId="0" applyFont="1" applyAlignment="1">
      <alignment horizontal="left" vertical="top" wrapText="1"/>
    </xf>
    <xf numFmtId="174" fontId="27" fillId="0" borderId="17" xfId="0" applyNumberFormat="1" applyFont="1" applyBorder="1" applyAlignment="1">
      <alignment horizontal="left" vertical="center"/>
    </xf>
    <xf numFmtId="0" fontId="14" fillId="0" borderId="0" xfId="0" applyFont="1" applyAlignment="1">
      <alignment horizontal="left" vertical="center"/>
    </xf>
    <xf numFmtId="0" fontId="20" fillId="23" borderId="0" xfId="0" applyFont="1" applyFill="1" applyProtection="1">
      <protection hidden="1"/>
    </xf>
    <xf numFmtId="0" fontId="70" fillId="23" borderId="0" xfId="0" applyFont="1" applyFill="1" applyProtection="1">
      <protection hidden="1"/>
    </xf>
    <xf numFmtId="0" fontId="70" fillId="22" borderId="24" xfId="0" applyFont="1" applyFill="1" applyBorder="1" applyProtection="1">
      <protection hidden="1"/>
    </xf>
    <xf numFmtId="0" fontId="70" fillId="22" borderId="29" xfId="0" applyFont="1" applyFill="1" applyBorder="1" applyProtection="1">
      <protection hidden="1"/>
    </xf>
    <xf numFmtId="0" fontId="70" fillId="22" borderId="14" xfId="0" applyFont="1" applyFill="1" applyBorder="1" applyProtection="1">
      <protection hidden="1"/>
    </xf>
    <xf numFmtId="0" fontId="70" fillId="22" borderId="27" xfId="0" applyFont="1" applyFill="1" applyBorder="1" applyProtection="1">
      <protection hidden="1"/>
    </xf>
    <xf numFmtId="2" fontId="70" fillId="22" borderId="27" xfId="0" applyNumberFormat="1" applyFont="1" applyFill="1" applyBorder="1" applyProtection="1">
      <protection hidden="1"/>
    </xf>
    <xf numFmtId="0" fontId="70" fillId="22" borderId="23" xfId="0" applyFont="1" applyFill="1" applyBorder="1" applyProtection="1">
      <protection hidden="1"/>
    </xf>
    <xf numFmtId="0" fontId="70" fillId="22" borderId="28" xfId="0" applyFont="1" applyFill="1" applyBorder="1" applyProtection="1">
      <protection hidden="1"/>
    </xf>
    <xf numFmtId="0" fontId="64" fillId="0" borderId="0" xfId="0" applyFont="1" applyProtection="1">
      <protection hidden="1"/>
    </xf>
    <xf numFmtId="2" fontId="64" fillId="0" borderId="0" xfId="0" applyNumberFormat="1" applyFont="1" applyProtection="1">
      <protection hidden="1"/>
    </xf>
    <xf numFmtId="0" fontId="25" fillId="23" borderId="18" xfId="0" applyFont="1" applyFill="1" applyBorder="1" applyProtection="1">
      <protection hidden="1"/>
    </xf>
    <xf numFmtId="0" fontId="20" fillId="23" borderId="19" xfId="0" applyFont="1" applyFill="1" applyBorder="1" applyProtection="1">
      <protection hidden="1"/>
    </xf>
    <xf numFmtId="0" fontId="20" fillId="23" borderId="22" xfId="0" applyFont="1" applyFill="1" applyBorder="1" applyProtection="1">
      <protection hidden="1"/>
    </xf>
    <xf numFmtId="0" fontId="25" fillId="23" borderId="18" xfId="0" applyFont="1" applyFill="1" applyBorder="1" applyAlignment="1" applyProtection="1">
      <alignment horizontal="left"/>
      <protection hidden="1"/>
    </xf>
    <xf numFmtId="0" fontId="27" fillId="23" borderId="19" xfId="0" applyFont="1" applyFill="1" applyBorder="1" applyAlignment="1" applyProtection="1">
      <alignment horizontal="center" vertical="center"/>
      <protection hidden="1"/>
    </xf>
    <xf numFmtId="0" fontId="27" fillId="23" borderId="22" xfId="0" applyFont="1" applyFill="1" applyBorder="1" applyAlignment="1" applyProtection="1">
      <alignment horizontal="center" vertical="center"/>
      <protection hidden="1"/>
    </xf>
    <xf numFmtId="0" fontId="143" fillId="18" borderId="18" xfId="0" applyFont="1" applyFill="1" applyBorder="1" applyAlignment="1" applyProtection="1">
      <alignment vertical="top" wrapText="1"/>
      <protection hidden="1"/>
    </xf>
    <xf numFmtId="0" fontId="143" fillId="18" borderId="22" xfId="0" applyFont="1" applyFill="1" applyBorder="1" applyAlignment="1" applyProtection="1">
      <alignment vertical="top" wrapText="1"/>
      <protection hidden="1"/>
    </xf>
    <xf numFmtId="0" fontId="143" fillId="6" borderId="18" xfId="0" applyFont="1" applyFill="1" applyBorder="1" applyAlignment="1" applyProtection="1">
      <alignment vertical="top" wrapText="1"/>
      <protection hidden="1"/>
    </xf>
    <xf numFmtId="0" fontId="143" fillId="6" borderId="22" xfId="0" applyFont="1" applyFill="1" applyBorder="1" applyAlignment="1" applyProtection="1">
      <alignment vertical="top" wrapText="1"/>
      <protection hidden="1"/>
    </xf>
    <xf numFmtId="0" fontId="143" fillId="0" borderId="26" xfId="0" applyFont="1" applyBorder="1" applyAlignment="1" applyProtection="1">
      <alignment horizontal="left" vertical="top"/>
      <protection hidden="1"/>
    </xf>
    <xf numFmtId="0" fontId="27" fillId="0" borderId="18" xfId="0" applyFont="1" applyBorder="1" applyAlignment="1" applyProtection="1">
      <alignment horizontal="left"/>
      <protection hidden="1"/>
    </xf>
    <xf numFmtId="0" fontId="23" fillId="0" borderId="19" xfId="0" applyFont="1" applyBorder="1" applyAlignment="1" applyProtection="1">
      <alignment horizontal="left" vertical="top" wrapText="1"/>
      <protection hidden="1"/>
    </xf>
    <xf numFmtId="0" fontId="23" fillId="0" borderId="22" xfId="0" applyFont="1" applyBorder="1" applyAlignment="1" applyProtection="1">
      <alignment horizontal="left" vertical="top" wrapText="1"/>
      <protection hidden="1"/>
    </xf>
    <xf numFmtId="0" fontId="143" fillId="18" borderId="18" xfId="0" applyFont="1" applyFill="1" applyBorder="1" applyAlignment="1" applyProtection="1">
      <alignment horizontal="center" vertical="top" wrapText="1"/>
      <protection hidden="1"/>
    </xf>
    <xf numFmtId="0" fontId="143" fillId="18" borderId="22" xfId="0" applyFont="1" applyFill="1" applyBorder="1" applyAlignment="1" applyProtection="1">
      <alignment horizontal="center" vertical="top" wrapText="1"/>
      <protection hidden="1"/>
    </xf>
    <xf numFmtId="0" fontId="143" fillId="6" borderId="18" xfId="0" applyFont="1" applyFill="1" applyBorder="1" applyAlignment="1" applyProtection="1">
      <alignment horizontal="center" vertical="top" wrapText="1"/>
      <protection hidden="1"/>
    </xf>
    <xf numFmtId="0" fontId="143" fillId="6" borderId="22" xfId="0" applyFont="1" applyFill="1" applyBorder="1" applyAlignment="1" applyProtection="1">
      <alignment horizontal="center" vertical="top" wrapText="1"/>
      <protection hidden="1"/>
    </xf>
    <xf numFmtId="0" fontId="143" fillId="0" borderId="26" xfId="0" applyFont="1" applyBorder="1" applyAlignment="1" applyProtection="1">
      <alignment horizontal="left"/>
      <protection hidden="1"/>
    </xf>
    <xf numFmtId="2" fontId="23" fillId="0" borderId="13" xfId="0" applyNumberFormat="1" applyFont="1" applyBorder="1" applyAlignment="1" applyProtection="1">
      <alignment horizontal="left"/>
      <protection hidden="1"/>
    </xf>
    <xf numFmtId="2" fontId="23" fillId="0" borderId="0" xfId="0" applyNumberFormat="1" applyFont="1" applyAlignment="1" applyProtection="1">
      <alignment horizontal="left" vertical="top" wrapText="1"/>
      <protection hidden="1"/>
    </xf>
    <xf numFmtId="44" fontId="23" fillId="18" borderId="13" xfId="15" applyFont="1" applyFill="1" applyBorder="1" applyAlignment="1" applyProtection="1">
      <alignment horizontal="left" vertical="top" wrapText="1"/>
      <protection hidden="1"/>
    </xf>
    <xf numFmtId="44" fontId="23" fillId="18" borderId="14" xfId="15" applyFont="1" applyFill="1" applyBorder="1" applyProtection="1">
      <protection hidden="1"/>
    </xf>
    <xf numFmtId="44" fontId="23" fillId="6" borderId="13" xfId="15" applyFont="1" applyFill="1" applyBorder="1" applyAlignment="1" applyProtection="1">
      <alignment horizontal="left" vertical="top" wrapText="1"/>
      <protection hidden="1"/>
    </xf>
    <xf numFmtId="44" fontId="23" fillId="6" borderId="14" xfId="15" applyFont="1" applyFill="1" applyBorder="1" applyAlignment="1" applyProtection="1">
      <alignment horizontal="left" vertical="top" wrapText="1"/>
      <protection hidden="1"/>
    </xf>
    <xf numFmtId="44" fontId="23" fillId="0" borderId="27" xfId="0" applyNumberFormat="1" applyFont="1" applyBorder="1" applyAlignment="1" applyProtection="1">
      <alignment horizontal="left"/>
      <protection hidden="1"/>
    </xf>
    <xf numFmtId="44" fontId="20" fillId="0" borderId="0" xfId="0" applyNumberFormat="1" applyFont="1" applyProtection="1">
      <protection hidden="1"/>
    </xf>
    <xf numFmtId="2" fontId="23" fillId="0" borderId="13" xfId="0" applyNumberFormat="1" applyFont="1" applyBorder="1" applyProtection="1">
      <protection hidden="1"/>
    </xf>
    <xf numFmtId="44" fontId="23" fillId="18" borderId="13" xfId="15" applyFont="1" applyFill="1" applyBorder="1" applyProtection="1">
      <protection hidden="1"/>
    </xf>
    <xf numFmtId="10" fontId="23" fillId="0" borderId="0" xfId="0" applyNumberFormat="1" applyFont="1" applyAlignment="1" applyProtection="1">
      <alignment horizontal="right" vertical="top" wrapText="1"/>
      <protection hidden="1"/>
    </xf>
    <xf numFmtId="10" fontId="23" fillId="0" borderId="0" xfId="0" applyNumberFormat="1" applyFont="1" applyAlignment="1" applyProtection="1">
      <alignment horizontal="right"/>
      <protection hidden="1"/>
    </xf>
    <xf numFmtId="10" fontId="23" fillId="0" borderId="0" xfId="0" applyNumberFormat="1" applyFont="1" applyProtection="1">
      <protection hidden="1"/>
    </xf>
    <xf numFmtId="10" fontId="23" fillId="0" borderId="0" xfId="9" applyFont="1" applyProtection="1">
      <protection hidden="1"/>
    </xf>
    <xf numFmtId="44" fontId="23" fillId="18" borderId="14" xfId="15" applyFont="1" applyFill="1" applyBorder="1" applyAlignment="1" applyProtection="1">
      <alignment horizontal="left" vertical="top" wrapText="1"/>
      <protection hidden="1"/>
    </xf>
    <xf numFmtId="2" fontId="27" fillId="0" borderId="20" xfId="0" applyNumberFormat="1" applyFont="1" applyBorder="1" applyProtection="1">
      <protection hidden="1"/>
    </xf>
    <xf numFmtId="2" fontId="27" fillId="0" borderId="11" xfId="0" applyNumberFormat="1" applyFont="1" applyBorder="1" applyAlignment="1" applyProtection="1">
      <alignment horizontal="left" vertical="top" wrapText="1"/>
      <protection hidden="1"/>
    </xf>
    <xf numFmtId="10" fontId="27" fillId="0" borderId="11" xfId="9" applyFont="1" applyBorder="1" applyProtection="1">
      <protection hidden="1"/>
    </xf>
    <xf numFmtId="44" fontId="27" fillId="18" borderId="20" xfId="15" applyFont="1" applyFill="1" applyBorder="1" applyAlignment="1" applyProtection="1">
      <alignment horizontal="left" vertical="top" wrapText="1"/>
      <protection hidden="1"/>
    </xf>
    <xf numFmtId="44" fontId="27" fillId="18" borderId="24" xfId="15" applyFont="1" applyFill="1" applyBorder="1" applyAlignment="1" applyProtection="1">
      <alignment horizontal="left" vertical="top" wrapText="1"/>
      <protection hidden="1"/>
    </xf>
    <xf numFmtId="44" fontId="27" fillId="6" borderId="20" xfId="15" applyFont="1" applyFill="1" applyBorder="1" applyAlignment="1" applyProtection="1">
      <alignment horizontal="left" vertical="top" wrapText="1"/>
      <protection hidden="1"/>
    </xf>
    <xf numFmtId="44" fontId="27" fillId="6" borderId="24" xfId="15" applyFont="1" applyFill="1" applyBorder="1" applyAlignment="1" applyProtection="1">
      <alignment horizontal="left" vertical="top" wrapText="1"/>
      <protection hidden="1"/>
    </xf>
    <xf numFmtId="44" fontId="27" fillId="0" borderId="29" xfId="0" applyNumberFormat="1" applyFont="1" applyBorder="1" applyAlignment="1" applyProtection="1">
      <alignment horizontal="left"/>
      <protection hidden="1"/>
    </xf>
    <xf numFmtId="2" fontId="27" fillId="25" borderId="20" xfId="0" applyNumberFormat="1" applyFont="1" applyFill="1" applyBorder="1" applyAlignment="1" applyProtection="1">
      <alignment horizontal="left"/>
      <protection hidden="1"/>
    </xf>
    <xf numFmtId="2" fontId="27" fillId="25" borderId="11" xfId="0" applyNumberFormat="1" applyFont="1" applyFill="1" applyBorder="1" applyAlignment="1" applyProtection="1">
      <alignment horizontal="left" vertical="top" wrapText="1"/>
      <protection hidden="1"/>
    </xf>
    <xf numFmtId="10" fontId="27" fillId="25" borderId="11" xfId="9" applyFont="1" applyFill="1" applyBorder="1" applyProtection="1">
      <protection hidden="1"/>
    </xf>
    <xf numFmtId="44" fontId="27" fillId="6" borderId="11" xfId="15" applyFont="1" applyFill="1" applyBorder="1" applyAlignment="1" applyProtection="1">
      <alignment horizontal="left" vertical="top" wrapText="1"/>
      <protection hidden="1"/>
    </xf>
    <xf numFmtId="2" fontId="23" fillId="25" borderId="13" xfId="0" applyNumberFormat="1" applyFont="1" applyFill="1" applyBorder="1" applyAlignment="1" applyProtection="1">
      <alignment horizontal="left"/>
      <protection hidden="1"/>
    </xf>
    <xf numFmtId="2" fontId="23" fillId="25" borderId="0" xfId="0" applyNumberFormat="1" applyFont="1" applyFill="1" applyAlignment="1" applyProtection="1">
      <alignment horizontal="left" vertical="top" wrapText="1"/>
      <protection hidden="1"/>
    </xf>
    <xf numFmtId="44" fontId="143" fillId="0" borderId="0" xfId="15" applyFont="1" applyFill="1" applyBorder="1" applyProtection="1">
      <protection hidden="1"/>
    </xf>
    <xf numFmtId="44" fontId="23" fillId="6" borderId="0" xfId="15" applyFont="1" applyFill="1" applyBorder="1" applyAlignment="1" applyProtection="1">
      <alignment horizontal="left" vertical="top" wrapText="1"/>
      <protection hidden="1"/>
    </xf>
    <xf numFmtId="2" fontId="23" fillId="25" borderId="21" xfId="0" applyNumberFormat="1" applyFont="1" applyFill="1" applyBorder="1" applyAlignment="1" applyProtection="1">
      <alignment horizontal="left"/>
      <protection hidden="1"/>
    </xf>
    <xf numFmtId="2" fontId="23" fillId="25" borderId="17" xfId="0" applyNumberFormat="1" applyFont="1" applyFill="1" applyBorder="1" applyAlignment="1" applyProtection="1">
      <alignment horizontal="left" vertical="top" wrapText="1"/>
      <protection hidden="1"/>
    </xf>
    <xf numFmtId="10" fontId="23" fillId="25" borderId="17" xfId="9" applyFont="1" applyFill="1" applyBorder="1" applyProtection="1">
      <protection hidden="1"/>
    </xf>
    <xf numFmtId="44" fontId="23" fillId="18" borderId="21" xfId="15" applyFont="1" applyFill="1" applyBorder="1" applyAlignment="1" applyProtection="1">
      <alignment horizontal="left" vertical="top" wrapText="1"/>
      <protection hidden="1"/>
    </xf>
    <xf numFmtId="44" fontId="23" fillId="18" borderId="23" xfId="15" applyFont="1" applyFill="1" applyBorder="1" applyAlignment="1" applyProtection="1">
      <alignment horizontal="left" vertical="top" wrapText="1"/>
      <protection hidden="1"/>
    </xf>
    <xf numFmtId="44" fontId="23" fillId="6" borderId="21" xfId="15" applyFont="1" applyFill="1" applyBorder="1" applyAlignment="1" applyProtection="1">
      <alignment horizontal="left" vertical="top" wrapText="1"/>
      <protection hidden="1"/>
    </xf>
    <xf numFmtId="44" fontId="23" fillId="6" borderId="17" xfId="15" applyFont="1" applyFill="1" applyBorder="1" applyAlignment="1" applyProtection="1">
      <alignment horizontal="left" vertical="top" wrapText="1"/>
      <protection hidden="1"/>
    </xf>
    <xf numFmtId="10" fontId="23" fillId="25" borderId="0" xfId="9" applyFont="1" applyFill="1" applyProtection="1">
      <protection hidden="1"/>
    </xf>
    <xf numFmtId="2" fontId="23" fillId="26" borderId="13" xfId="0" applyNumberFormat="1" applyFont="1" applyFill="1" applyBorder="1" applyAlignment="1" applyProtection="1">
      <alignment horizontal="left"/>
      <protection hidden="1"/>
    </xf>
    <xf numFmtId="2" fontId="23" fillId="26" borderId="0" xfId="0" applyNumberFormat="1" applyFont="1" applyFill="1" applyAlignment="1" applyProtection="1">
      <alignment horizontal="left" vertical="top" wrapText="1"/>
      <protection hidden="1"/>
    </xf>
    <xf numFmtId="10" fontId="23" fillId="26" borderId="0" xfId="9" applyFont="1" applyFill="1" applyProtection="1">
      <protection hidden="1"/>
    </xf>
    <xf numFmtId="44" fontId="23" fillId="19" borderId="13" xfId="15" applyFont="1" applyFill="1" applyBorder="1" applyAlignment="1" applyProtection="1">
      <alignment horizontal="left" vertical="top" wrapText="1"/>
      <protection hidden="1"/>
    </xf>
    <xf numFmtId="44" fontId="23" fillId="19" borderId="14" xfId="15" applyFont="1" applyFill="1" applyBorder="1" applyAlignment="1" applyProtection="1">
      <alignment horizontal="left" vertical="top" wrapText="1"/>
      <protection hidden="1"/>
    </xf>
    <xf numFmtId="44" fontId="23" fillId="27" borderId="13" xfId="15" applyFont="1" applyFill="1" applyBorder="1" applyAlignment="1" applyProtection="1">
      <alignment horizontal="left" vertical="top" wrapText="1"/>
      <protection hidden="1"/>
    </xf>
    <xf numFmtId="44" fontId="23" fillId="27" borderId="0" xfId="15" applyFont="1" applyFill="1" applyBorder="1" applyAlignment="1" applyProtection="1">
      <alignment horizontal="left" vertical="top" wrapText="1"/>
      <protection hidden="1"/>
    </xf>
    <xf numFmtId="2" fontId="23" fillId="25" borderId="18" xfId="0" applyNumberFormat="1" applyFont="1" applyFill="1" applyBorder="1" applyAlignment="1" applyProtection="1">
      <alignment horizontal="left"/>
      <protection hidden="1"/>
    </xf>
    <xf numFmtId="2" fontId="23" fillId="25" borderId="19" xfId="0" applyNumberFormat="1" applyFont="1" applyFill="1" applyBorder="1" applyAlignment="1" applyProtection="1">
      <alignment horizontal="left" vertical="top" wrapText="1"/>
      <protection hidden="1"/>
    </xf>
    <xf numFmtId="10" fontId="23" fillId="25" borderId="19" xfId="9" applyFont="1" applyFill="1" applyBorder="1" applyProtection="1">
      <protection hidden="1"/>
    </xf>
    <xf numFmtId="44" fontId="23" fillId="18" borderId="18" xfId="15" applyFont="1" applyFill="1" applyBorder="1" applyAlignment="1" applyProtection="1">
      <alignment horizontal="left" vertical="top" wrapText="1"/>
      <protection hidden="1"/>
    </xf>
    <xf numFmtId="44" fontId="23" fillId="18" borderId="22" xfId="15" applyFont="1" applyFill="1" applyBorder="1" applyAlignment="1" applyProtection="1">
      <alignment horizontal="left" vertical="top" wrapText="1"/>
      <protection hidden="1"/>
    </xf>
    <xf numFmtId="44" fontId="23" fillId="6" borderId="18" xfId="15" applyFont="1" applyFill="1" applyBorder="1" applyAlignment="1" applyProtection="1">
      <alignment horizontal="left" vertical="top" wrapText="1"/>
      <protection hidden="1"/>
    </xf>
    <xf numFmtId="44" fontId="23" fillId="6" borderId="19" xfId="15" applyFont="1" applyFill="1" applyBorder="1" applyAlignment="1" applyProtection="1">
      <alignment horizontal="left" vertical="top" wrapText="1"/>
      <protection hidden="1"/>
    </xf>
    <xf numFmtId="44" fontId="23" fillId="0" borderId="26" xfId="0" applyNumberFormat="1" applyFont="1" applyBorder="1" applyAlignment="1" applyProtection="1">
      <alignment horizontal="left"/>
      <protection hidden="1"/>
    </xf>
    <xf numFmtId="2" fontId="23" fillId="26" borderId="21" xfId="0" applyNumberFormat="1" applyFont="1" applyFill="1" applyBorder="1" applyAlignment="1" applyProtection="1">
      <alignment horizontal="left"/>
      <protection hidden="1"/>
    </xf>
    <xf numFmtId="2" fontId="23" fillId="26" borderId="17" xfId="0" applyNumberFormat="1" applyFont="1" applyFill="1" applyBorder="1" applyAlignment="1" applyProtection="1">
      <alignment horizontal="left" vertical="top" wrapText="1"/>
      <protection hidden="1"/>
    </xf>
    <xf numFmtId="10" fontId="23" fillId="26" borderId="17" xfId="9" applyFont="1" applyFill="1" applyBorder="1" applyProtection="1">
      <protection hidden="1"/>
    </xf>
    <xf numFmtId="44" fontId="23" fillId="19" borderId="21" xfId="15" applyFont="1" applyFill="1" applyBorder="1" applyAlignment="1" applyProtection="1">
      <alignment horizontal="left" vertical="top" wrapText="1"/>
      <protection hidden="1"/>
    </xf>
    <xf numFmtId="44" fontId="23" fillId="19" borderId="23" xfId="15" applyFont="1" applyFill="1" applyBorder="1" applyAlignment="1" applyProtection="1">
      <alignment horizontal="left" vertical="top" wrapText="1"/>
      <protection hidden="1"/>
    </xf>
    <xf numFmtId="44" fontId="23" fillId="27" borderId="17" xfId="15" applyFont="1" applyFill="1" applyBorder="1" applyAlignment="1" applyProtection="1">
      <alignment horizontal="left" vertical="top" wrapText="1"/>
      <protection hidden="1"/>
    </xf>
    <xf numFmtId="44" fontId="23" fillId="0" borderId="28" xfId="0" applyNumberFormat="1" applyFont="1" applyBorder="1" applyAlignment="1" applyProtection="1">
      <alignment horizontal="left"/>
      <protection hidden="1"/>
    </xf>
    <xf numFmtId="44" fontId="23" fillId="27" borderId="23" xfId="15" applyFont="1" applyFill="1" applyBorder="1" applyAlignment="1" applyProtection="1">
      <alignment horizontal="left" vertical="top" wrapText="1"/>
      <protection hidden="1"/>
    </xf>
    <xf numFmtId="2" fontId="23" fillId="0" borderId="18" xfId="0" applyNumberFormat="1" applyFont="1" applyBorder="1" applyAlignment="1" applyProtection="1">
      <alignment horizontal="left"/>
      <protection hidden="1"/>
    </xf>
    <xf numFmtId="2" fontId="23" fillId="0" borderId="19" xfId="0" applyNumberFormat="1" applyFont="1" applyBorder="1" applyAlignment="1" applyProtection="1">
      <alignment horizontal="left" vertical="top" wrapText="1"/>
      <protection hidden="1"/>
    </xf>
    <xf numFmtId="2" fontId="23" fillId="0" borderId="22" xfId="5" applyNumberFormat="1" applyFont="1" applyBorder="1" applyAlignment="1" applyProtection="1">
      <alignment horizontal="left"/>
      <protection hidden="1"/>
    </xf>
    <xf numFmtId="44" fontId="23" fillId="0" borderId="19" xfId="15" applyFont="1" applyBorder="1" applyAlignment="1" applyProtection="1">
      <alignment horizontal="left" vertical="top" wrapText="1"/>
      <protection hidden="1"/>
    </xf>
    <xf numFmtId="2" fontId="20" fillId="0" borderId="0" xfId="0" applyNumberFormat="1" applyFont="1" applyAlignment="1" applyProtection="1">
      <alignment horizontal="left"/>
      <protection hidden="1"/>
    </xf>
    <xf numFmtId="2" fontId="20" fillId="0" borderId="0" xfId="0" applyNumberFormat="1" applyFont="1" applyAlignment="1" applyProtection="1">
      <alignment horizontal="left" vertical="top" wrapText="1"/>
      <protection hidden="1"/>
    </xf>
    <xf numFmtId="2" fontId="20" fillId="0" borderId="0" xfId="5" applyNumberFormat="1" applyFont="1" applyAlignment="1" applyProtection="1">
      <alignment horizontal="left"/>
      <protection hidden="1"/>
    </xf>
    <xf numFmtId="44" fontId="20" fillId="0" borderId="0" xfId="15" applyFont="1" applyBorder="1" applyAlignment="1" applyProtection="1">
      <alignment horizontal="left" vertical="top" wrapText="1"/>
      <protection hidden="1"/>
    </xf>
    <xf numFmtId="44" fontId="20" fillId="0" borderId="0" xfId="15" applyFont="1" applyBorder="1" applyAlignment="1" applyProtection="1">
      <alignment horizontal="center" vertical="top" wrapText="1"/>
      <protection hidden="1"/>
    </xf>
    <xf numFmtId="0" fontId="20" fillId="0" borderId="0" xfId="0" applyFont="1" applyAlignment="1" applyProtection="1">
      <alignment horizontal="left"/>
      <protection hidden="1"/>
    </xf>
    <xf numFmtId="0" fontId="27" fillId="23" borderId="18" xfId="0" applyFont="1" applyFill="1" applyBorder="1" applyAlignment="1" applyProtection="1">
      <alignment horizontal="left"/>
      <protection hidden="1"/>
    </xf>
    <xf numFmtId="0" fontId="25" fillId="23" borderId="19" xfId="0" applyFont="1" applyFill="1" applyBorder="1" applyAlignment="1" applyProtection="1">
      <alignment horizontal="center" vertical="center"/>
      <protection hidden="1"/>
    </xf>
    <xf numFmtId="0" fontId="143" fillId="18" borderId="13" xfId="0" applyFont="1" applyFill="1" applyBorder="1" applyAlignment="1" applyProtection="1">
      <alignment horizontal="center" vertical="top" wrapText="1"/>
      <protection hidden="1"/>
    </xf>
    <xf numFmtId="0" fontId="143" fillId="18" borderId="14" xfId="0" applyFont="1" applyFill="1" applyBorder="1" applyAlignment="1" applyProtection="1">
      <alignment horizontal="center" vertical="top" wrapText="1"/>
      <protection hidden="1"/>
    </xf>
    <xf numFmtId="0" fontId="143" fillId="6" borderId="13" xfId="0" applyFont="1" applyFill="1" applyBorder="1" applyAlignment="1" applyProtection="1">
      <alignment horizontal="center" vertical="top" wrapText="1"/>
      <protection hidden="1"/>
    </xf>
    <xf numFmtId="0" fontId="143" fillId="6" borderId="14" xfId="0" applyFont="1" applyFill="1" applyBorder="1" applyAlignment="1" applyProtection="1">
      <alignment horizontal="center" vertical="top" wrapText="1"/>
      <protection hidden="1"/>
    </xf>
    <xf numFmtId="0" fontId="143" fillId="0" borderId="27" xfId="0" applyFont="1" applyBorder="1" applyAlignment="1" applyProtection="1">
      <alignment horizontal="left"/>
      <protection hidden="1"/>
    </xf>
    <xf numFmtId="44" fontId="143" fillId="18" borderId="13" xfId="15" applyFont="1" applyFill="1" applyBorder="1" applyAlignment="1" applyProtection="1">
      <alignment horizontal="left" vertical="top" wrapText="1"/>
      <protection hidden="1"/>
    </xf>
    <xf numFmtId="44" fontId="143" fillId="18" borderId="14" xfId="15" applyFont="1" applyFill="1" applyBorder="1" applyProtection="1">
      <protection hidden="1"/>
    </xf>
    <xf numFmtId="44" fontId="143" fillId="6" borderId="13" xfId="15" applyFont="1" applyFill="1" applyBorder="1" applyAlignment="1" applyProtection="1">
      <alignment horizontal="left" vertical="top" wrapText="1"/>
      <protection hidden="1"/>
    </xf>
    <xf numFmtId="44" fontId="143" fillId="6" borderId="14" xfId="15" applyFont="1" applyFill="1" applyBorder="1" applyAlignment="1" applyProtection="1">
      <alignment horizontal="left" vertical="top" wrapText="1"/>
      <protection hidden="1"/>
    </xf>
    <xf numFmtId="44" fontId="143" fillId="0" borderId="27" xfId="0" applyNumberFormat="1" applyFont="1" applyBorder="1" applyAlignment="1" applyProtection="1">
      <alignment horizontal="left"/>
      <protection hidden="1"/>
    </xf>
    <xf numFmtId="44" fontId="143" fillId="18" borderId="13" xfId="15" applyFont="1" applyFill="1" applyBorder="1" applyProtection="1">
      <protection hidden="1"/>
    </xf>
    <xf numFmtId="44" fontId="143" fillId="18" borderId="14" xfId="15" applyFont="1" applyFill="1" applyBorder="1" applyAlignment="1" applyProtection="1">
      <alignment horizontal="left" vertical="top" wrapText="1"/>
      <protection hidden="1"/>
    </xf>
    <xf numFmtId="44" fontId="144" fillId="18" borderId="20" xfId="15" applyFont="1" applyFill="1" applyBorder="1" applyAlignment="1" applyProtection="1">
      <alignment horizontal="left" vertical="top" wrapText="1"/>
      <protection hidden="1"/>
    </xf>
    <xf numFmtId="44" fontId="144" fillId="18" borderId="24" xfId="15" applyFont="1" applyFill="1" applyBorder="1" applyAlignment="1" applyProtection="1">
      <alignment horizontal="left" vertical="top" wrapText="1"/>
      <protection hidden="1"/>
    </xf>
    <xf numFmtId="44" fontId="144" fillId="6" borderId="20" xfId="15" applyFont="1" applyFill="1" applyBorder="1" applyAlignment="1" applyProtection="1">
      <alignment horizontal="left" vertical="top" wrapText="1"/>
      <protection hidden="1"/>
    </xf>
    <xf numFmtId="44" fontId="144" fillId="6" borderId="24" xfId="15" applyFont="1" applyFill="1" applyBorder="1" applyAlignment="1" applyProtection="1">
      <alignment horizontal="left" vertical="top" wrapText="1"/>
      <protection hidden="1"/>
    </xf>
    <xf numFmtId="44" fontId="144" fillId="0" borderId="29" xfId="0" applyNumberFormat="1" applyFont="1" applyBorder="1" applyAlignment="1" applyProtection="1">
      <alignment horizontal="left"/>
      <protection hidden="1"/>
    </xf>
    <xf numFmtId="44" fontId="144" fillId="6" borderId="11" xfId="15" applyFont="1" applyFill="1" applyBorder="1" applyAlignment="1" applyProtection="1">
      <alignment horizontal="left" vertical="top" wrapText="1"/>
      <protection hidden="1"/>
    </xf>
    <xf numFmtId="44" fontId="143" fillId="6" borderId="0" xfId="15" applyFont="1" applyFill="1" applyBorder="1" applyAlignment="1" applyProtection="1">
      <alignment horizontal="left" vertical="top" wrapText="1"/>
      <protection hidden="1"/>
    </xf>
    <xf numFmtId="2" fontId="23" fillId="25" borderId="20" xfId="0" applyNumberFormat="1" applyFont="1" applyFill="1" applyBorder="1" applyAlignment="1" applyProtection="1">
      <alignment horizontal="left"/>
      <protection hidden="1"/>
    </xf>
    <xf numFmtId="2" fontId="23" fillId="25" borderId="11" xfId="0" applyNumberFormat="1" applyFont="1" applyFill="1" applyBorder="1" applyAlignment="1" applyProtection="1">
      <alignment horizontal="left" vertical="top" wrapText="1"/>
      <protection hidden="1"/>
    </xf>
    <xf numFmtId="10" fontId="23" fillId="25" borderId="11" xfId="9" applyFont="1" applyFill="1" applyBorder="1" applyProtection="1">
      <protection hidden="1"/>
    </xf>
    <xf numFmtId="44" fontId="23" fillId="18" borderId="20" xfId="15" applyFont="1" applyFill="1" applyBorder="1" applyAlignment="1" applyProtection="1">
      <alignment horizontal="left" vertical="top" wrapText="1"/>
      <protection hidden="1"/>
    </xf>
    <xf numFmtId="44" fontId="23" fillId="18" borderId="24" xfId="15" applyFont="1" applyFill="1" applyBorder="1" applyAlignment="1" applyProtection="1">
      <alignment horizontal="left" vertical="top" wrapText="1"/>
      <protection hidden="1"/>
    </xf>
    <xf numFmtId="44" fontId="23" fillId="6" borderId="20" xfId="15" applyFont="1" applyFill="1" applyBorder="1" applyAlignment="1" applyProtection="1">
      <alignment horizontal="left" vertical="top" wrapText="1"/>
      <protection hidden="1"/>
    </xf>
    <xf numFmtId="44" fontId="23" fillId="6" borderId="11" xfId="15" applyFont="1" applyFill="1" applyBorder="1" applyAlignment="1" applyProtection="1">
      <alignment horizontal="left" vertical="top" wrapText="1"/>
      <protection hidden="1"/>
    </xf>
    <xf numFmtId="44" fontId="143" fillId="0" borderId="29" xfId="0" applyNumberFormat="1" applyFont="1" applyBorder="1" applyAlignment="1" applyProtection="1">
      <alignment horizontal="left"/>
      <protection hidden="1"/>
    </xf>
    <xf numFmtId="2" fontId="23" fillId="26" borderId="18" xfId="0" applyNumberFormat="1" applyFont="1" applyFill="1" applyBorder="1" applyAlignment="1" applyProtection="1">
      <alignment horizontal="left"/>
      <protection hidden="1"/>
    </xf>
    <xf numFmtId="2" fontId="23" fillId="26" borderId="19" xfId="0" applyNumberFormat="1" applyFont="1" applyFill="1" applyBorder="1" applyAlignment="1" applyProtection="1">
      <alignment horizontal="left" vertical="top" wrapText="1"/>
      <protection hidden="1"/>
    </xf>
    <xf numFmtId="10" fontId="23" fillId="26" borderId="19" xfId="9" applyFont="1" applyFill="1" applyBorder="1" applyProtection="1">
      <protection hidden="1"/>
    </xf>
    <xf numFmtId="44" fontId="23" fillId="19" borderId="18" xfId="15" applyFont="1" applyFill="1" applyBorder="1" applyAlignment="1" applyProtection="1">
      <alignment horizontal="left" vertical="top" wrapText="1"/>
      <protection hidden="1"/>
    </xf>
    <xf numFmtId="44" fontId="23" fillId="19" borderId="22" xfId="15" applyFont="1" applyFill="1" applyBorder="1" applyAlignment="1" applyProtection="1">
      <alignment horizontal="left" vertical="top" wrapText="1"/>
      <protection hidden="1"/>
    </xf>
    <xf numFmtId="44" fontId="23" fillId="27" borderId="18" xfId="15" applyFont="1" applyFill="1" applyBorder="1" applyAlignment="1" applyProtection="1">
      <alignment horizontal="left" vertical="top" wrapText="1"/>
      <protection hidden="1"/>
    </xf>
    <xf numFmtId="44" fontId="23" fillId="27" borderId="19" xfId="15" applyFont="1" applyFill="1" applyBorder="1" applyAlignment="1" applyProtection="1">
      <alignment horizontal="left" vertical="top" wrapText="1"/>
      <protection hidden="1"/>
    </xf>
    <xf numFmtId="44" fontId="143" fillId="0" borderId="26" xfId="0" applyNumberFormat="1" applyFont="1" applyBorder="1" applyAlignment="1" applyProtection="1">
      <alignment horizontal="left"/>
      <protection hidden="1"/>
    </xf>
    <xf numFmtId="2" fontId="27" fillId="25" borderId="13" xfId="0" applyNumberFormat="1" applyFont="1" applyFill="1" applyBorder="1" applyAlignment="1" applyProtection="1">
      <alignment horizontal="left"/>
      <protection hidden="1"/>
    </xf>
    <xf numFmtId="2" fontId="27" fillId="26" borderId="13" xfId="0" applyNumberFormat="1" applyFont="1" applyFill="1" applyBorder="1" applyAlignment="1" applyProtection="1">
      <alignment horizontal="left"/>
      <protection hidden="1"/>
    </xf>
    <xf numFmtId="2" fontId="27" fillId="26" borderId="0" xfId="0" applyNumberFormat="1" applyFont="1" applyFill="1" applyAlignment="1" applyProtection="1">
      <alignment horizontal="left" vertical="top" wrapText="1"/>
      <protection hidden="1"/>
    </xf>
    <xf numFmtId="10" fontId="27" fillId="26" borderId="0" xfId="9" applyFont="1" applyFill="1" applyProtection="1">
      <protection hidden="1"/>
    </xf>
    <xf numFmtId="44" fontId="27" fillId="19" borderId="13" xfId="15" applyFont="1" applyFill="1" applyBorder="1" applyAlignment="1" applyProtection="1">
      <alignment horizontal="left" vertical="top" wrapText="1"/>
      <protection hidden="1"/>
    </xf>
    <xf numFmtId="44" fontId="27" fillId="19" borderId="14" xfId="15" applyFont="1" applyFill="1" applyBorder="1" applyAlignment="1" applyProtection="1">
      <alignment horizontal="left" vertical="top" wrapText="1"/>
      <protection hidden="1"/>
    </xf>
    <xf numFmtId="44" fontId="27" fillId="27" borderId="14" xfId="15" applyFont="1" applyFill="1" applyBorder="1" applyAlignment="1" applyProtection="1">
      <alignment horizontal="left" vertical="top" wrapText="1"/>
      <protection hidden="1"/>
    </xf>
    <xf numFmtId="44" fontId="144" fillId="0" borderId="27" xfId="0" applyNumberFormat="1" applyFont="1" applyBorder="1" applyAlignment="1" applyProtection="1">
      <alignment horizontal="left"/>
      <protection hidden="1"/>
    </xf>
    <xf numFmtId="2" fontId="23" fillId="6" borderId="21" xfId="0" applyNumberFormat="1" applyFont="1" applyFill="1" applyBorder="1" applyAlignment="1" applyProtection="1">
      <alignment horizontal="left"/>
      <protection hidden="1"/>
    </xf>
    <xf numFmtId="2" fontId="27" fillId="6" borderId="17" xfId="0" applyNumberFormat="1" applyFont="1" applyFill="1" applyBorder="1" applyAlignment="1" applyProtection="1">
      <alignment horizontal="left" vertical="top" wrapText="1"/>
      <protection hidden="1"/>
    </xf>
    <xf numFmtId="10" fontId="27" fillId="6" borderId="17" xfId="9" applyFont="1" applyFill="1" applyBorder="1" applyProtection="1">
      <protection hidden="1"/>
    </xf>
    <xf numFmtId="44" fontId="27" fillId="6" borderId="21" xfId="15" applyFont="1" applyFill="1" applyBorder="1" applyAlignment="1" applyProtection="1">
      <alignment horizontal="left" vertical="top" wrapText="1"/>
      <protection hidden="1"/>
    </xf>
    <xf numFmtId="44" fontId="27" fillId="6" borderId="23" xfId="15" applyFont="1" applyFill="1" applyBorder="1" applyAlignment="1" applyProtection="1">
      <alignment horizontal="left" vertical="top" wrapText="1"/>
      <protection hidden="1"/>
    </xf>
    <xf numFmtId="44" fontId="27" fillId="6" borderId="17" xfId="15" applyFont="1" applyFill="1" applyBorder="1" applyAlignment="1" applyProtection="1">
      <alignment horizontal="left" vertical="top" wrapText="1"/>
      <protection hidden="1"/>
    </xf>
    <xf numFmtId="44" fontId="144" fillId="6" borderId="28" xfId="0" applyNumberFormat="1" applyFont="1" applyFill="1" applyBorder="1" applyAlignment="1" applyProtection="1">
      <alignment horizontal="left"/>
      <protection hidden="1"/>
    </xf>
    <xf numFmtId="2" fontId="52" fillId="6" borderId="18" xfId="0" applyNumberFormat="1" applyFont="1" applyFill="1" applyBorder="1" applyAlignment="1" applyProtection="1">
      <alignment horizontal="left" vertical="center"/>
      <protection hidden="1"/>
    </xf>
    <xf numFmtId="2" fontId="20" fillId="6" borderId="19" xfId="0" applyNumberFormat="1" applyFont="1" applyFill="1" applyBorder="1" applyAlignment="1" applyProtection="1">
      <alignment horizontal="left" vertical="center" wrapText="1"/>
      <protection hidden="1"/>
    </xf>
    <xf numFmtId="10" fontId="20" fillId="6" borderId="19" xfId="9" applyFont="1" applyFill="1" applyBorder="1" applyAlignment="1" applyProtection="1">
      <alignment vertical="center"/>
      <protection hidden="1"/>
    </xf>
    <xf numFmtId="44" fontId="20" fillId="6" borderId="19" xfId="15" applyFont="1" applyFill="1" applyBorder="1" applyAlignment="1" applyProtection="1">
      <alignment horizontal="left" vertical="center" wrapText="1"/>
      <protection hidden="1"/>
    </xf>
    <xf numFmtId="44" fontId="77" fillId="6" borderId="22" xfId="0" applyNumberFormat="1" applyFont="1" applyFill="1" applyBorder="1" applyAlignment="1" applyProtection="1">
      <alignment horizontal="left" vertical="center"/>
      <protection hidden="1"/>
    </xf>
    <xf numFmtId="0" fontId="20" fillId="0" borderId="0" xfId="0" applyFont="1" applyAlignment="1" applyProtection="1">
      <alignment vertical="center"/>
      <protection hidden="1"/>
    </xf>
    <xf numFmtId="0" fontId="20" fillId="23" borderId="19" xfId="0" applyFont="1" applyFill="1" applyBorder="1" applyAlignment="1" applyProtection="1">
      <alignment horizontal="left" vertical="top" wrapText="1"/>
      <protection hidden="1"/>
    </xf>
    <xf numFmtId="10" fontId="20" fillId="23" borderId="19" xfId="0" applyNumberFormat="1" applyFont="1" applyFill="1" applyBorder="1" applyAlignment="1" applyProtection="1">
      <alignment horizontal="left" vertical="top" wrapText="1"/>
      <protection hidden="1"/>
    </xf>
    <xf numFmtId="0" fontId="20" fillId="0" borderId="17" xfId="0" applyFont="1" applyBorder="1" applyAlignment="1" applyProtection="1">
      <alignment horizontal="left" vertical="top" wrapText="1"/>
      <protection hidden="1"/>
    </xf>
    <xf numFmtId="0" fontId="27" fillId="0" borderId="20" xfId="0" applyFont="1" applyBorder="1" applyAlignment="1" applyProtection="1">
      <alignment horizontal="left"/>
      <protection hidden="1"/>
    </xf>
    <xf numFmtId="0" fontId="27" fillId="0" borderId="11" xfId="0" applyFont="1" applyBorder="1" applyAlignment="1" applyProtection="1">
      <alignment horizontal="left" vertical="top" wrapText="1"/>
      <protection hidden="1"/>
    </xf>
    <xf numFmtId="10" fontId="27" fillId="0" borderId="11" xfId="0" applyNumberFormat="1" applyFont="1" applyBorder="1" applyAlignment="1" applyProtection="1">
      <alignment horizontal="left" vertical="top" wrapText="1"/>
      <protection hidden="1"/>
    </xf>
    <xf numFmtId="10" fontId="34" fillId="0" borderId="0" xfId="9" applyFont="1" applyProtection="1">
      <protection hidden="1"/>
    </xf>
    <xf numFmtId="10" fontId="23" fillId="0" borderId="24" xfId="9" applyFont="1" applyBorder="1" applyProtection="1">
      <protection hidden="1"/>
    </xf>
    <xf numFmtId="44" fontId="27" fillId="0" borderId="20" xfId="0" applyNumberFormat="1" applyFont="1" applyBorder="1" applyAlignment="1" applyProtection="1">
      <alignment horizontal="center" vertical="top" wrapText="1"/>
      <protection hidden="1"/>
    </xf>
    <xf numFmtId="44" fontId="27" fillId="0" borderId="29" xfId="0" applyNumberFormat="1" applyFont="1" applyBorder="1" applyAlignment="1" applyProtection="1">
      <alignment horizontal="left" vertical="top" wrapText="1"/>
      <protection hidden="1"/>
    </xf>
    <xf numFmtId="0" fontId="27" fillId="0" borderId="13" xfId="0" applyFont="1" applyBorder="1" applyAlignment="1" applyProtection="1">
      <alignment horizontal="left"/>
      <protection hidden="1"/>
    </xf>
    <xf numFmtId="0" fontId="27" fillId="0" borderId="0" xfId="0" applyFont="1" applyAlignment="1" applyProtection="1">
      <alignment horizontal="left" vertical="top" wrapText="1"/>
      <protection hidden="1"/>
    </xf>
    <xf numFmtId="10" fontId="27" fillId="0" borderId="0" xfId="0" applyNumberFormat="1" applyFont="1" applyAlignment="1" applyProtection="1">
      <alignment horizontal="left" vertical="top" wrapText="1"/>
      <protection hidden="1"/>
    </xf>
    <xf numFmtId="10" fontId="23" fillId="0" borderId="14" xfId="9" applyFont="1" applyBorder="1" applyProtection="1">
      <protection hidden="1"/>
    </xf>
    <xf numFmtId="44" fontId="23" fillId="0" borderId="13" xfId="0" applyNumberFormat="1" applyFont="1" applyBorder="1" applyAlignment="1" applyProtection="1">
      <alignment horizontal="center" vertical="top" wrapText="1"/>
      <protection hidden="1"/>
    </xf>
    <xf numFmtId="44" fontId="23" fillId="0" borderId="27" xfId="0" applyNumberFormat="1" applyFont="1" applyBorder="1" applyAlignment="1" applyProtection="1">
      <alignment horizontal="left" vertical="top" wrapText="1"/>
      <protection hidden="1"/>
    </xf>
    <xf numFmtId="0" fontId="23" fillId="0" borderId="13" xfId="0" applyFont="1" applyBorder="1" applyAlignment="1" applyProtection="1">
      <alignment horizontal="left"/>
      <protection hidden="1"/>
    </xf>
    <xf numFmtId="0" fontId="23" fillId="0" borderId="0" xfId="0" applyFont="1" applyAlignment="1" applyProtection="1">
      <alignment horizontal="left" vertical="top" wrapText="1"/>
      <protection hidden="1"/>
    </xf>
    <xf numFmtId="44" fontId="23" fillId="0" borderId="13" xfId="0" applyNumberFormat="1" applyFont="1" applyBorder="1" applyAlignment="1" applyProtection="1">
      <alignment horizontal="left" vertical="top" wrapText="1"/>
      <protection hidden="1"/>
    </xf>
    <xf numFmtId="10" fontId="23" fillId="0" borderId="0" xfId="0" applyNumberFormat="1" applyFont="1" applyAlignment="1" applyProtection="1">
      <alignment horizontal="left" vertical="top" wrapText="1"/>
      <protection hidden="1"/>
    </xf>
    <xf numFmtId="0" fontId="23" fillId="0" borderId="17" xfId="0" applyFont="1" applyBorder="1" applyAlignment="1" applyProtection="1">
      <alignment horizontal="left" vertical="top" wrapText="1"/>
      <protection hidden="1"/>
    </xf>
    <xf numFmtId="10" fontId="34" fillId="0" borderId="17" xfId="9" applyFont="1" applyBorder="1" applyProtection="1">
      <protection hidden="1"/>
    </xf>
    <xf numFmtId="10" fontId="23" fillId="0" borderId="23" xfId="9" applyFont="1" applyBorder="1" applyProtection="1">
      <protection hidden="1"/>
    </xf>
    <xf numFmtId="44" fontId="23" fillId="0" borderId="21" xfId="0" applyNumberFormat="1" applyFont="1" applyBorder="1" applyAlignment="1" applyProtection="1">
      <alignment horizontal="left" vertical="top" wrapText="1"/>
      <protection hidden="1"/>
    </xf>
    <xf numFmtId="0" fontId="25" fillId="0" borderId="0" xfId="0" applyFont="1" applyAlignment="1" applyProtection="1">
      <alignment horizontal="left"/>
      <protection hidden="1"/>
    </xf>
    <xf numFmtId="0" fontId="20" fillId="0" borderId="0" xfId="0" applyFont="1" applyAlignment="1" applyProtection="1">
      <alignment horizontal="left" vertical="top" wrapText="1"/>
      <protection hidden="1"/>
    </xf>
    <xf numFmtId="0" fontId="20" fillId="23" borderId="22" xfId="0" applyFont="1" applyFill="1" applyBorder="1" applyAlignment="1" applyProtection="1">
      <alignment horizontal="left" vertical="top" wrapText="1"/>
      <protection hidden="1"/>
    </xf>
    <xf numFmtId="44" fontId="23" fillId="0" borderId="0" xfId="0" applyNumberFormat="1" applyFont="1" applyProtection="1">
      <protection hidden="1"/>
    </xf>
    <xf numFmtId="10" fontId="34" fillId="0" borderId="14" xfId="9" applyFont="1" applyBorder="1" applyProtection="1">
      <protection hidden="1"/>
    </xf>
    <xf numFmtId="0" fontId="23" fillId="0" borderId="18" xfId="0" applyFont="1" applyBorder="1" applyAlignment="1" applyProtection="1">
      <alignment horizontal="left"/>
      <protection hidden="1"/>
    </xf>
    <xf numFmtId="0" fontId="27" fillId="0" borderId="19" xfId="0" applyFont="1" applyBorder="1" applyAlignment="1" applyProtection="1">
      <alignment horizontal="left" vertical="top" wrapText="1"/>
      <protection hidden="1"/>
    </xf>
    <xf numFmtId="0" fontId="27" fillId="0" borderId="19" xfId="0" applyFont="1" applyBorder="1" applyProtection="1">
      <protection hidden="1"/>
    </xf>
    <xf numFmtId="44" fontId="27" fillId="0" borderId="22" xfId="0" applyNumberFormat="1" applyFont="1" applyBorder="1" applyAlignment="1" applyProtection="1">
      <alignment horizontal="left" vertical="top" wrapText="1"/>
      <protection hidden="1"/>
    </xf>
    <xf numFmtId="0" fontId="34" fillId="0" borderId="14" xfId="0" applyFont="1" applyBorder="1" applyAlignment="1" applyProtection="1">
      <alignment horizontal="left" vertical="top" wrapText="1"/>
      <protection hidden="1"/>
    </xf>
    <xf numFmtId="44" fontId="23" fillId="0" borderId="0" xfId="0" applyNumberFormat="1" applyFont="1" applyAlignment="1" applyProtection="1">
      <alignment horizontal="left" vertical="top" wrapText="1"/>
      <protection hidden="1"/>
    </xf>
    <xf numFmtId="44" fontId="23" fillId="0" borderId="17" xfId="0" applyNumberFormat="1" applyFont="1" applyBorder="1" applyAlignment="1" applyProtection="1">
      <alignment horizontal="left" vertical="top" wrapText="1"/>
      <protection hidden="1"/>
    </xf>
    <xf numFmtId="10" fontId="34" fillId="0" borderId="23" xfId="9" applyFont="1" applyBorder="1" applyProtection="1">
      <protection hidden="1"/>
    </xf>
    <xf numFmtId="0" fontId="25" fillId="23" borderId="18" xfId="0" applyFont="1" applyFill="1" applyBorder="1" applyAlignment="1" applyProtection="1">
      <alignment vertical="center"/>
      <protection hidden="1"/>
    </xf>
    <xf numFmtId="0" fontId="20" fillId="23" borderId="19" xfId="0" applyFont="1" applyFill="1" applyBorder="1" applyAlignment="1" applyProtection="1">
      <alignment vertical="center"/>
      <protection hidden="1"/>
    </xf>
    <xf numFmtId="0" fontId="20" fillId="23" borderId="18" xfId="0" applyFont="1" applyFill="1" applyBorder="1" applyAlignment="1" applyProtection="1">
      <alignment vertical="center"/>
      <protection hidden="1"/>
    </xf>
    <xf numFmtId="14" fontId="20" fillId="23" borderId="22" xfId="0" applyNumberFormat="1" applyFont="1" applyFill="1" applyBorder="1" applyAlignment="1" applyProtection="1">
      <alignment vertical="center"/>
      <protection hidden="1"/>
    </xf>
    <xf numFmtId="0" fontId="25" fillId="23" borderId="19" xfId="0" applyFont="1" applyFill="1" applyBorder="1" applyProtection="1">
      <protection hidden="1"/>
    </xf>
    <xf numFmtId="0" fontId="27" fillId="0" borderId="0" xfId="0" applyFont="1" applyProtection="1">
      <protection hidden="1"/>
    </xf>
    <xf numFmtId="0" fontId="20" fillId="23" borderId="19" xfId="0" applyFont="1" applyFill="1" applyBorder="1" applyAlignment="1" applyProtection="1">
      <alignment horizontal="right" vertical="center"/>
      <protection hidden="1"/>
    </xf>
    <xf numFmtId="170" fontId="20" fillId="23" borderId="19" xfId="0" applyNumberFormat="1" applyFont="1" applyFill="1" applyBorder="1" applyAlignment="1" applyProtection="1">
      <alignment vertical="center"/>
      <protection hidden="1"/>
    </xf>
    <xf numFmtId="195" fontId="20" fillId="23" borderId="22" xfId="0" applyNumberFormat="1" applyFont="1" applyFill="1" applyBorder="1" applyAlignment="1" applyProtection="1">
      <alignment vertical="center"/>
      <protection hidden="1"/>
    </xf>
    <xf numFmtId="0" fontId="23" fillId="0" borderId="18" xfId="0" applyFont="1" applyBorder="1" applyAlignment="1" applyProtection="1">
      <alignment horizontal="left" vertical="center"/>
      <protection hidden="1"/>
    </xf>
    <xf numFmtId="0" fontId="27" fillId="0" borderId="18" xfId="0" applyFont="1" applyBorder="1" applyAlignment="1" applyProtection="1">
      <alignment horizontal="left" vertical="center"/>
      <protection hidden="1"/>
    </xf>
    <xf numFmtId="0" fontId="23" fillId="0" borderId="19" xfId="0" applyFont="1" applyBorder="1" applyProtection="1">
      <protection hidden="1"/>
    </xf>
    <xf numFmtId="0" fontId="23" fillId="0" borderId="19" xfId="0" applyFont="1" applyBorder="1" applyAlignment="1" applyProtection="1">
      <alignment vertical="center"/>
      <protection hidden="1"/>
    </xf>
    <xf numFmtId="170" fontId="23" fillId="0" borderId="19" xfId="0" applyNumberFormat="1" applyFont="1" applyBorder="1" applyAlignment="1" applyProtection="1">
      <alignment vertical="center"/>
      <protection hidden="1"/>
    </xf>
    <xf numFmtId="195" fontId="23" fillId="0" borderId="22" xfId="0" applyNumberFormat="1" applyFont="1" applyBorder="1" applyAlignment="1" applyProtection="1">
      <alignment vertical="center"/>
      <protection hidden="1"/>
    </xf>
    <xf numFmtId="0" fontId="23" fillId="0" borderId="0" xfId="0" applyFont="1" applyAlignment="1" applyProtection="1">
      <alignment vertical="top"/>
      <protection hidden="1"/>
    </xf>
    <xf numFmtId="0" fontId="23" fillId="0" borderId="17" xfId="0" applyFont="1" applyBorder="1" applyAlignment="1" applyProtection="1">
      <alignment vertical="top"/>
      <protection hidden="1"/>
    </xf>
    <xf numFmtId="0" fontId="74" fillId="23" borderId="19" xfId="0" applyFont="1" applyFill="1" applyBorder="1" applyAlignment="1" applyProtection="1">
      <alignment vertical="center"/>
      <protection hidden="1"/>
    </xf>
    <xf numFmtId="0" fontId="74" fillId="23" borderId="19" xfId="0" applyFont="1" applyFill="1" applyBorder="1" applyAlignment="1" applyProtection="1">
      <alignment horizontal="right" vertical="center"/>
      <protection hidden="1"/>
    </xf>
    <xf numFmtId="14" fontId="74" fillId="23" borderId="22" xfId="0" applyNumberFormat="1" applyFont="1" applyFill="1" applyBorder="1" applyAlignment="1" applyProtection="1">
      <alignment vertical="center"/>
      <protection hidden="1"/>
    </xf>
    <xf numFmtId="0" fontId="25" fillId="23" borderId="18" xfId="0" applyFont="1" applyFill="1" applyBorder="1" applyAlignment="1" applyProtection="1">
      <alignment vertical="top"/>
      <protection hidden="1"/>
    </xf>
    <xf numFmtId="0" fontId="20" fillId="23" borderId="19" xfId="0" applyFont="1" applyFill="1" applyBorder="1" applyAlignment="1" applyProtection="1">
      <alignment vertical="top"/>
      <protection hidden="1"/>
    </xf>
    <xf numFmtId="0" fontId="20" fillId="23" borderId="22" xfId="0" applyFont="1" applyFill="1" applyBorder="1" applyAlignment="1" applyProtection="1">
      <alignment vertical="top"/>
      <protection hidden="1"/>
    </xf>
    <xf numFmtId="0" fontId="25" fillId="23" borderId="20" xfId="0" applyFont="1" applyFill="1" applyBorder="1" applyAlignment="1" applyProtection="1">
      <alignment vertical="center"/>
      <protection hidden="1"/>
    </xf>
    <xf numFmtId="0" fontId="20" fillId="23" borderId="11" xfId="0" applyFont="1" applyFill="1" applyBorder="1" applyAlignment="1" applyProtection="1">
      <alignment vertical="center"/>
      <protection hidden="1"/>
    </xf>
    <xf numFmtId="0" fontId="74" fillId="23" borderId="11" xfId="0" applyFont="1" applyFill="1" applyBorder="1" applyAlignment="1" applyProtection="1">
      <alignment vertical="center"/>
      <protection hidden="1"/>
    </xf>
    <xf numFmtId="0" fontId="74" fillId="23" borderId="11" xfId="0" applyFont="1" applyFill="1" applyBorder="1" applyAlignment="1" applyProtection="1">
      <alignment horizontal="right" vertical="center"/>
      <protection hidden="1"/>
    </xf>
    <xf numFmtId="14" fontId="74" fillId="23" borderId="24" xfId="0" applyNumberFormat="1" applyFont="1" applyFill="1" applyBorder="1" applyAlignment="1" applyProtection="1">
      <alignment vertical="center"/>
      <protection hidden="1"/>
    </xf>
    <xf numFmtId="0" fontId="25" fillId="23" borderId="20" xfId="0" applyFont="1" applyFill="1" applyBorder="1" applyAlignment="1" applyProtection="1">
      <alignment horizontal="left" vertical="top"/>
      <protection hidden="1"/>
    </xf>
    <xf numFmtId="0" fontId="25" fillId="23" borderId="11" xfId="0" applyFont="1" applyFill="1" applyBorder="1" applyAlignment="1" applyProtection="1">
      <alignment horizontal="left" vertical="top"/>
      <protection hidden="1"/>
    </xf>
    <xf numFmtId="0" fontId="25" fillId="23" borderId="24" xfId="0" applyFont="1" applyFill="1" applyBorder="1" applyAlignment="1" applyProtection="1">
      <alignment horizontal="left" vertical="top"/>
      <protection hidden="1"/>
    </xf>
    <xf numFmtId="0" fontId="20" fillId="23" borderId="18" xfId="0" applyFont="1" applyFill="1" applyBorder="1" applyAlignment="1" applyProtection="1">
      <alignment horizontal="left" vertical="top"/>
      <protection hidden="1"/>
    </xf>
    <xf numFmtId="0" fontId="20" fillId="23" borderId="19" xfId="0" applyFont="1" applyFill="1" applyBorder="1" applyAlignment="1" applyProtection="1">
      <alignment horizontal="left" vertical="top"/>
      <protection hidden="1"/>
    </xf>
    <xf numFmtId="0" fontId="20" fillId="23" borderId="22" xfId="0" applyFont="1" applyFill="1" applyBorder="1" applyAlignment="1" applyProtection="1">
      <alignment horizontal="left" vertical="top"/>
      <protection hidden="1"/>
    </xf>
    <xf numFmtId="0" fontId="25" fillId="23" borderId="13" xfId="0" applyFont="1" applyFill="1" applyBorder="1" applyAlignment="1" applyProtection="1">
      <alignment horizontal="left" vertical="top"/>
      <protection hidden="1"/>
    </xf>
    <xf numFmtId="0" fontId="20" fillId="23" borderId="0" xfId="0" applyFont="1" applyFill="1" applyAlignment="1" applyProtection="1">
      <alignment horizontal="left" vertical="top"/>
      <protection hidden="1"/>
    </xf>
    <xf numFmtId="0" fontId="20" fillId="23" borderId="14" xfId="0" applyFont="1" applyFill="1" applyBorder="1" applyAlignment="1" applyProtection="1">
      <alignment horizontal="left" vertical="top"/>
      <protection hidden="1"/>
    </xf>
    <xf numFmtId="0" fontId="20" fillId="23" borderId="11" xfId="0" applyFont="1" applyFill="1" applyBorder="1" applyProtection="1">
      <protection hidden="1"/>
    </xf>
    <xf numFmtId="0" fontId="20" fillId="23" borderId="11" xfId="0" applyFont="1" applyFill="1" applyBorder="1" applyAlignment="1" applyProtection="1">
      <alignment horizontal="left" vertical="top"/>
      <protection hidden="1"/>
    </xf>
    <xf numFmtId="0" fontId="20" fillId="23" borderId="24" xfId="0" applyFont="1" applyFill="1" applyBorder="1" applyAlignment="1" applyProtection="1">
      <alignment horizontal="left" vertical="top"/>
      <protection hidden="1"/>
    </xf>
    <xf numFmtId="0" fontId="25" fillId="23" borderId="18" xfId="0" applyFont="1" applyFill="1" applyBorder="1" applyAlignment="1" applyProtection="1">
      <alignment horizontal="left" vertical="top"/>
      <protection hidden="1"/>
    </xf>
    <xf numFmtId="0" fontId="20" fillId="0" borderId="13" xfId="0" applyFont="1" applyBorder="1" applyAlignment="1" applyProtection="1">
      <alignment horizontal="left" vertical="top" wrapText="1"/>
      <protection hidden="1"/>
    </xf>
    <xf numFmtId="0" fontId="20" fillId="0" borderId="13" xfId="0" applyFont="1" applyBorder="1" applyAlignment="1" applyProtection="1">
      <alignment horizontal="left" vertical="top"/>
      <protection hidden="1"/>
    </xf>
    <xf numFmtId="0" fontId="20" fillId="0" borderId="0" xfId="0" applyFont="1" applyAlignment="1" applyProtection="1">
      <alignment horizontal="left" vertical="top"/>
      <protection hidden="1"/>
    </xf>
    <xf numFmtId="0" fontId="25" fillId="28" borderId="13" xfId="0" applyFont="1" applyFill="1" applyBorder="1" applyAlignment="1" applyProtection="1">
      <alignment horizontal="left" vertical="center"/>
      <protection hidden="1"/>
    </xf>
    <xf numFmtId="0" fontId="20" fillId="28" borderId="0" xfId="0" applyFont="1" applyFill="1" applyAlignment="1" applyProtection="1">
      <alignment horizontal="left" vertical="center"/>
      <protection hidden="1"/>
    </xf>
    <xf numFmtId="14" fontId="20" fillId="28" borderId="0" xfId="0" applyNumberFormat="1" applyFont="1" applyFill="1" applyAlignment="1" applyProtection="1">
      <alignment horizontal="left" vertical="center"/>
      <protection hidden="1"/>
    </xf>
    <xf numFmtId="0" fontId="25" fillId="0" borderId="13" xfId="0" applyFont="1" applyBorder="1" applyAlignment="1" applyProtection="1">
      <alignment horizontal="left" vertical="center"/>
      <protection hidden="1"/>
    </xf>
    <xf numFmtId="0" fontId="20" fillId="0" borderId="0" xfId="0" applyFont="1" applyAlignment="1" applyProtection="1">
      <alignment horizontal="left" vertical="center"/>
      <protection hidden="1"/>
    </xf>
    <xf numFmtId="14" fontId="20" fillId="0" borderId="0" xfId="0" applyNumberFormat="1" applyFont="1" applyAlignment="1" applyProtection="1">
      <alignment horizontal="left" vertical="center"/>
      <protection hidden="1"/>
    </xf>
    <xf numFmtId="0" fontId="25" fillId="23" borderId="13" xfId="0" applyFont="1" applyFill="1" applyBorder="1" applyAlignment="1" applyProtection="1">
      <alignment horizontal="left" vertical="center"/>
      <protection hidden="1"/>
    </xf>
    <xf numFmtId="0" fontId="20" fillId="23" borderId="0" xfId="0" applyFont="1" applyFill="1" applyAlignment="1" applyProtection="1">
      <alignment horizontal="left" vertical="center"/>
      <protection hidden="1"/>
    </xf>
    <xf numFmtId="0" fontId="20" fillId="23" borderId="14" xfId="0" applyFont="1" applyFill="1" applyBorder="1" applyAlignment="1" applyProtection="1">
      <alignment horizontal="left" vertical="center"/>
      <protection hidden="1"/>
    </xf>
    <xf numFmtId="0" fontId="52" fillId="0" borderId="0" xfId="0" applyFont="1" applyAlignment="1" applyProtection="1">
      <alignment horizontal="left" vertical="center"/>
      <protection hidden="1"/>
    </xf>
    <xf numFmtId="14" fontId="52" fillId="0" borderId="0" xfId="0" applyNumberFormat="1" applyFont="1" applyAlignment="1" applyProtection="1">
      <alignment horizontal="left" vertical="center"/>
      <protection hidden="1"/>
    </xf>
    <xf numFmtId="185" fontId="52" fillId="0" borderId="0" xfId="0" applyNumberFormat="1" applyFont="1" applyAlignment="1" applyProtection="1">
      <alignment horizontal="left" vertical="center"/>
      <protection hidden="1"/>
    </xf>
    <xf numFmtId="0" fontId="25" fillId="23" borderId="0" xfId="0" applyFont="1" applyFill="1" applyAlignment="1" applyProtection="1">
      <alignment horizontal="left" vertical="center"/>
      <protection hidden="1"/>
    </xf>
    <xf numFmtId="14" fontId="20" fillId="23" borderId="0" xfId="0" applyNumberFormat="1" applyFont="1" applyFill="1" applyAlignment="1" applyProtection="1">
      <alignment horizontal="left" vertical="center"/>
      <protection hidden="1"/>
    </xf>
    <xf numFmtId="185" fontId="20" fillId="23" borderId="0" xfId="0" applyNumberFormat="1" applyFont="1" applyFill="1" applyAlignment="1" applyProtection="1">
      <alignment horizontal="left" vertical="center"/>
      <protection hidden="1"/>
    </xf>
    <xf numFmtId="0" fontId="14" fillId="0" borderId="0" xfId="0" applyFont="1" applyAlignment="1" applyProtection="1">
      <alignment horizontal="left" vertical="center"/>
      <protection hidden="1"/>
    </xf>
    <xf numFmtId="14" fontId="14" fillId="0" borderId="0" xfId="0" applyNumberFormat="1" applyFont="1" applyAlignment="1" applyProtection="1">
      <alignment horizontal="left" vertical="center"/>
      <protection hidden="1"/>
    </xf>
    <xf numFmtId="185" fontId="14" fillId="0" borderId="0" xfId="0" applyNumberFormat="1" applyFont="1" applyAlignment="1" applyProtection="1">
      <alignment horizontal="left" vertical="center"/>
      <protection hidden="1"/>
    </xf>
    <xf numFmtId="0" fontId="15" fillId="0" borderId="0" xfId="0" applyFont="1" applyAlignment="1" applyProtection="1">
      <alignment horizontal="left" vertical="center"/>
      <protection hidden="1"/>
    </xf>
    <xf numFmtId="0" fontId="16" fillId="2" borderId="20" xfId="0" applyFont="1" applyFill="1" applyBorder="1" applyAlignment="1" applyProtection="1">
      <alignment horizontal="left" vertical="top"/>
      <protection hidden="1"/>
    </xf>
    <xf numFmtId="0" fontId="20" fillId="2" borderId="11" xfId="0" applyFont="1" applyFill="1" applyBorder="1" applyAlignment="1" applyProtection="1">
      <alignment horizontal="left" vertical="top" wrapText="1"/>
      <protection hidden="1"/>
    </xf>
    <xf numFmtId="0" fontId="20" fillId="2" borderId="24" xfId="0" applyFont="1" applyFill="1" applyBorder="1" applyAlignment="1" applyProtection="1">
      <alignment horizontal="left" vertical="top" wrapText="1"/>
      <protection hidden="1"/>
    </xf>
    <xf numFmtId="0" fontId="16" fillId="2" borderId="13" xfId="0" applyFont="1" applyFill="1" applyBorder="1" applyAlignment="1" applyProtection="1">
      <alignment horizontal="left" vertical="top"/>
      <protection hidden="1"/>
    </xf>
    <xf numFmtId="0" fontId="20" fillId="2" borderId="0" xfId="0" applyFont="1" applyFill="1" applyAlignment="1" applyProtection="1">
      <alignment horizontal="left" vertical="top" wrapText="1"/>
      <protection hidden="1"/>
    </xf>
    <xf numFmtId="0" fontId="20" fillId="2" borderId="14" xfId="0" applyFont="1" applyFill="1" applyBorder="1" applyAlignment="1" applyProtection="1">
      <alignment horizontal="left" vertical="top" wrapText="1"/>
      <protection hidden="1"/>
    </xf>
    <xf numFmtId="0" fontId="16" fillId="2" borderId="21" xfId="0" applyFont="1" applyFill="1" applyBorder="1" applyAlignment="1" applyProtection="1">
      <alignment horizontal="left" vertical="top"/>
      <protection hidden="1"/>
    </xf>
    <xf numFmtId="0" fontId="20" fillId="2" borderId="17" xfId="0" applyFont="1" applyFill="1" applyBorder="1" applyAlignment="1" applyProtection="1">
      <alignment horizontal="left" vertical="top" wrapText="1"/>
      <protection hidden="1"/>
    </xf>
    <xf numFmtId="0" fontId="20" fillId="2" borderId="23" xfId="0" applyFont="1" applyFill="1" applyBorder="1" applyAlignment="1" applyProtection="1">
      <alignment horizontal="left" vertical="top" wrapText="1"/>
      <protection hidden="1"/>
    </xf>
    <xf numFmtId="0" fontId="49" fillId="2" borderId="21" xfId="0" applyFont="1" applyFill="1" applyBorder="1" applyAlignment="1" applyProtection="1">
      <alignment horizontal="left" vertical="top"/>
      <protection hidden="1"/>
    </xf>
    <xf numFmtId="0" fontId="74" fillId="0" borderId="18" xfId="0" applyFont="1" applyBorder="1" applyAlignment="1" applyProtection="1">
      <alignment horizontal="right" vertical="center"/>
      <protection hidden="1"/>
    </xf>
    <xf numFmtId="0" fontId="16" fillId="2" borderId="18" xfId="0" applyFont="1" applyFill="1" applyBorder="1" applyAlignment="1" applyProtection="1">
      <alignment horizontal="left" vertical="center"/>
      <protection hidden="1"/>
    </xf>
    <xf numFmtId="0" fontId="16" fillId="2" borderId="19" xfId="0" applyFont="1" applyFill="1" applyBorder="1" applyAlignment="1" applyProtection="1">
      <alignment horizontal="right" vertical="center"/>
      <protection hidden="1"/>
    </xf>
    <xf numFmtId="0" fontId="16" fillId="2" borderId="19" xfId="0" applyFont="1" applyFill="1" applyBorder="1" applyAlignment="1" applyProtection="1">
      <alignment horizontal="left" vertical="center"/>
      <protection hidden="1"/>
    </xf>
    <xf numFmtId="0" fontId="14" fillId="2" borderId="19" xfId="0" applyFont="1" applyFill="1" applyBorder="1" applyAlignment="1" applyProtection="1">
      <alignment horizontal="right"/>
      <protection hidden="1"/>
    </xf>
    <xf numFmtId="10" fontId="16" fillId="2" borderId="22" xfId="0" applyNumberFormat="1" applyFont="1" applyFill="1" applyBorder="1" applyAlignment="1" applyProtection="1">
      <alignment horizontal="left" vertical="center"/>
      <protection hidden="1"/>
    </xf>
    <xf numFmtId="0" fontId="20" fillId="3" borderId="13" xfId="0" applyFont="1" applyFill="1" applyBorder="1" applyAlignment="1" applyProtection="1">
      <alignment horizontal="left" vertical="center" wrapText="1"/>
      <protection hidden="1"/>
    </xf>
    <xf numFmtId="0" fontId="20" fillId="3" borderId="0" xfId="0" applyFont="1" applyFill="1" applyAlignment="1" applyProtection="1">
      <alignment horizontal="left" vertical="center" wrapText="1"/>
      <protection hidden="1"/>
    </xf>
    <xf numFmtId="0" fontId="20" fillId="3" borderId="14" xfId="0" applyFont="1" applyFill="1" applyBorder="1" applyAlignment="1" applyProtection="1">
      <alignment horizontal="left" vertical="center" wrapText="1"/>
      <protection hidden="1"/>
    </xf>
    <xf numFmtId="0" fontId="20" fillId="3" borderId="21" xfId="0" applyFont="1" applyFill="1" applyBorder="1" applyAlignment="1" applyProtection="1">
      <alignment horizontal="left" vertical="center"/>
      <protection hidden="1"/>
    </xf>
    <xf numFmtId="0" fontId="20" fillId="3" borderId="17" xfId="0" applyFont="1" applyFill="1" applyBorder="1" applyAlignment="1" applyProtection="1">
      <alignment horizontal="left" vertical="center" wrapText="1"/>
      <protection hidden="1"/>
    </xf>
    <xf numFmtId="0" fontId="20" fillId="3" borderId="23" xfId="0" applyFont="1" applyFill="1" applyBorder="1" applyAlignment="1" applyProtection="1">
      <alignment horizontal="left" vertical="center" wrapText="1"/>
      <protection hidden="1"/>
    </xf>
    <xf numFmtId="0" fontId="20" fillId="0" borderId="13" xfId="0" applyFont="1" applyBorder="1" applyAlignment="1" applyProtection="1">
      <alignment horizontal="left" vertical="center" wrapText="1"/>
      <protection hidden="1"/>
    </xf>
    <xf numFmtId="0" fontId="20" fillId="0" borderId="0" xfId="0" applyFont="1" applyAlignment="1" applyProtection="1">
      <alignment horizontal="left" vertical="center" wrapText="1"/>
      <protection hidden="1"/>
    </xf>
    <xf numFmtId="0" fontId="20" fillId="23" borderId="0" xfId="0" applyFont="1" applyFill="1" applyAlignment="1" applyProtection="1">
      <alignment horizontal="left" vertical="center" wrapText="1"/>
      <protection hidden="1"/>
    </xf>
    <xf numFmtId="0" fontId="20" fillId="23" borderId="14" xfId="0" applyFont="1" applyFill="1" applyBorder="1" applyAlignment="1" applyProtection="1">
      <alignment horizontal="left" vertical="center" wrapText="1"/>
      <protection hidden="1"/>
    </xf>
    <xf numFmtId="0" fontId="20" fillId="0" borderId="14" xfId="0" applyFont="1" applyBorder="1" applyAlignment="1" applyProtection="1">
      <alignment horizontal="left" vertical="top"/>
      <protection hidden="1"/>
    </xf>
    <xf numFmtId="0" fontId="23" fillId="0" borderId="13" xfId="0" applyFont="1" applyBorder="1" applyAlignment="1" applyProtection="1">
      <alignment horizontal="left" vertical="top"/>
      <protection hidden="1"/>
    </xf>
    <xf numFmtId="0" fontId="23" fillId="0" borderId="0" xfId="0" applyFont="1" applyAlignment="1" applyProtection="1">
      <alignment horizontal="left" vertical="top"/>
      <protection hidden="1"/>
    </xf>
    <xf numFmtId="0" fontId="23" fillId="0" borderId="14" xfId="0" applyFont="1" applyBorder="1" applyAlignment="1" applyProtection="1">
      <alignment horizontal="left" vertical="top"/>
      <protection hidden="1"/>
    </xf>
    <xf numFmtId="0" fontId="20" fillId="0" borderId="14" xfId="0" applyFont="1" applyBorder="1" applyAlignment="1" applyProtection="1">
      <alignment horizontal="left" vertical="top" wrapText="1"/>
      <protection hidden="1"/>
    </xf>
    <xf numFmtId="10" fontId="14" fillId="2" borderId="17" xfId="9" applyFont="1" applyFill="1" applyBorder="1" applyProtection="1">
      <protection hidden="1"/>
    </xf>
    <xf numFmtId="0" fontId="15" fillId="0" borderId="18" xfId="0" applyFont="1" applyBorder="1" applyAlignment="1" applyProtection="1">
      <alignment horizontal="left" vertical="center"/>
      <protection hidden="1"/>
    </xf>
    <xf numFmtId="0" fontId="14" fillId="0" borderId="19" xfId="0" applyFont="1" applyBorder="1" applyAlignment="1" applyProtection="1">
      <alignment horizontal="left" vertical="center"/>
      <protection hidden="1"/>
    </xf>
    <xf numFmtId="10" fontId="14" fillId="0" borderId="22" xfId="0" applyNumberFormat="1" applyFont="1" applyBorder="1" applyAlignment="1" applyProtection="1">
      <alignment horizontal="left" vertical="center"/>
      <protection hidden="1"/>
    </xf>
    <xf numFmtId="0" fontId="20" fillId="0" borderId="0" xfId="0" applyFont="1" applyAlignment="1" applyProtection="1">
      <alignment vertical="top"/>
      <protection hidden="1"/>
    </xf>
    <xf numFmtId="0" fontId="20" fillId="0" borderId="13" xfId="0" applyFont="1" applyBorder="1" applyAlignment="1" applyProtection="1">
      <alignment horizontal="left" vertical="center"/>
      <protection hidden="1"/>
    </xf>
    <xf numFmtId="0" fontId="25" fillId="23" borderId="13" xfId="0" applyFont="1" applyFill="1" applyBorder="1" applyProtection="1">
      <protection hidden="1"/>
    </xf>
    <xf numFmtId="0" fontId="16" fillId="3" borderId="20" xfId="0" applyFont="1" applyFill="1" applyBorder="1" applyProtection="1">
      <protection hidden="1"/>
    </xf>
    <xf numFmtId="0" fontId="16" fillId="3" borderId="11" xfId="0" applyFont="1" applyFill="1" applyBorder="1" applyProtection="1">
      <protection hidden="1"/>
    </xf>
    <xf numFmtId="0" fontId="16" fillId="3" borderId="24" xfId="0" applyFont="1" applyFill="1" applyBorder="1" applyProtection="1">
      <protection hidden="1"/>
    </xf>
    <xf numFmtId="0" fontId="16" fillId="3" borderId="18" xfId="0" applyFont="1" applyFill="1" applyBorder="1" applyProtection="1">
      <protection hidden="1"/>
    </xf>
    <xf numFmtId="0" fontId="16" fillId="3" borderId="19" xfId="0" applyFont="1" applyFill="1" applyBorder="1" applyAlignment="1" applyProtection="1">
      <alignment horizontal="right"/>
      <protection hidden="1"/>
    </xf>
    <xf numFmtId="0" fontId="16" fillId="3" borderId="22" xfId="0" applyFont="1" applyFill="1" applyBorder="1" applyAlignment="1" applyProtection="1">
      <alignment horizontal="right"/>
      <protection hidden="1"/>
    </xf>
    <xf numFmtId="4" fontId="22" fillId="3" borderId="20" xfId="0" applyNumberFormat="1" applyFont="1" applyFill="1" applyBorder="1" applyProtection="1">
      <protection hidden="1"/>
    </xf>
    <xf numFmtId="0" fontId="14" fillId="3" borderId="11" xfId="0" applyFont="1" applyFill="1" applyBorder="1" applyProtection="1">
      <protection hidden="1"/>
    </xf>
    <xf numFmtId="2" fontId="16" fillId="3" borderId="11" xfId="0" applyNumberFormat="1" applyFont="1" applyFill="1" applyBorder="1" applyProtection="1">
      <protection hidden="1"/>
    </xf>
    <xf numFmtId="2" fontId="14" fillId="3" borderId="11" xfId="0" applyNumberFormat="1" applyFont="1" applyFill="1" applyBorder="1" applyProtection="1">
      <protection hidden="1"/>
    </xf>
    <xf numFmtId="10" fontId="14" fillId="0" borderId="11" xfId="9" applyFont="1" applyBorder="1" applyProtection="1">
      <protection hidden="1"/>
    </xf>
    <xf numFmtId="2" fontId="16" fillId="3" borderId="19" xfId="0" applyNumberFormat="1" applyFont="1" applyFill="1" applyBorder="1" applyProtection="1">
      <protection hidden="1"/>
    </xf>
    <xf numFmtId="2" fontId="16" fillId="3" borderId="24" xfId="0" applyNumberFormat="1" applyFont="1" applyFill="1" applyBorder="1" applyProtection="1">
      <protection hidden="1"/>
    </xf>
    <xf numFmtId="4" fontId="120" fillId="3" borderId="21" xfId="0" applyNumberFormat="1" applyFont="1" applyFill="1" applyBorder="1" applyProtection="1">
      <protection hidden="1"/>
    </xf>
    <xf numFmtId="2" fontId="49" fillId="3" borderId="17" xfId="0" applyNumberFormat="1" applyFont="1" applyFill="1" applyBorder="1" applyProtection="1">
      <protection hidden="1"/>
    </xf>
    <xf numFmtId="0" fontId="49" fillId="3" borderId="17" xfId="0" applyFont="1" applyFill="1" applyBorder="1" applyProtection="1">
      <protection hidden="1"/>
    </xf>
    <xf numFmtId="10" fontId="15" fillId="0" borderId="26" xfId="0" applyNumberFormat="1" applyFont="1" applyBorder="1" applyProtection="1">
      <protection hidden="1"/>
    </xf>
    <xf numFmtId="2" fontId="16" fillId="3" borderId="17" xfId="0" applyNumberFormat="1" applyFont="1" applyFill="1" applyBorder="1" applyProtection="1">
      <protection hidden="1"/>
    </xf>
    <xf numFmtId="2" fontId="16" fillId="3" borderId="23" xfId="0" applyNumberFormat="1" applyFont="1" applyFill="1" applyBorder="1" applyProtection="1">
      <protection hidden="1"/>
    </xf>
    <xf numFmtId="4" fontId="120" fillId="3" borderId="20" xfId="0" applyNumberFormat="1" applyFont="1" applyFill="1" applyBorder="1" applyProtection="1">
      <protection hidden="1"/>
    </xf>
    <xf numFmtId="10" fontId="16" fillId="3" borderId="11" xfId="0" applyNumberFormat="1" applyFont="1" applyFill="1" applyBorder="1" applyProtection="1">
      <protection hidden="1"/>
    </xf>
    <xf numFmtId="10" fontId="16" fillId="3" borderId="24" xfId="0" applyNumberFormat="1" applyFont="1" applyFill="1" applyBorder="1" applyProtection="1">
      <protection hidden="1"/>
    </xf>
    <xf numFmtId="2" fontId="16" fillId="3" borderId="0" xfId="0" applyNumberFormat="1" applyFont="1" applyFill="1" applyProtection="1">
      <protection hidden="1"/>
    </xf>
    <xf numFmtId="0" fontId="16" fillId="3" borderId="0" xfId="0" applyFont="1" applyFill="1" applyProtection="1">
      <protection hidden="1"/>
    </xf>
    <xf numFmtId="4" fontId="120" fillId="3" borderId="13" xfId="0" applyNumberFormat="1" applyFont="1" applyFill="1" applyBorder="1" applyProtection="1">
      <protection hidden="1"/>
    </xf>
    <xf numFmtId="169" fontId="16" fillId="3" borderId="0" xfId="0" applyNumberFormat="1" applyFont="1" applyFill="1" applyProtection="1">
      <protection hidden="1"/>
    </xf>
    <xf numFmtId="169" fontId="16" fillId="3" borderId="14" xfId="0" applyNumberFormat="1" applyFont="1" applyFill="1" applyBorder="1" applyProtection="1">
      <protection hidden="1"/>
    </xf>
    <xf numFmtId="2" fontId="16" fillId="3" borderId="0" xfId="0" applyNumberFormat="1" applyFont="1" applyFill="1" applyAlignment="1" applyProtection="1">
      <alignment horizontal="right"/>
      <protection hidden="1"/>
    </xf>
    <xf numFmtId="0" fontId="16" fillId="3" borderId="0" xfId="0" applyFont="1" applyFill="1" applyAlignment="1" applyProtection="1">
      <alignment horizontal="right"/>
      <protection hidden="1"/>
    </xf>
    <xf numFmtId="4" fontId="22" fillId="3" borderId="13" xfId="0" applyNumberFormat="1" applyFont="1" applyFill="1" applyBorder="1" applyProtection="1">
      <protection hidden="1"/>
    </xf>
    <xf numFmtId="10" fontId="16" fillId="3" borderId="0" xfId="0" applyNumberFormat="1" applyFont="1" applyFill="1" applyProtection="1">
      <protection hidden="1"/>
    </xf>
    <xf numFmtId="4" fontId="22" fillId="3" borderId="18" xfId="0" applyNumberFormat="1" applyFont="1" applyFill="1" applyBorder="1" applyProtection="1">
      <protection hidden="1"/>
    </xf>
    <xf numFmtId="10" fontId="16" fillId="3" borderId="19" xfId="0" applyNumberFormat="1" applyFont="1" applyFill="1" applyBorder="1" applyProtection="1">
      <protection hidden="1"/>
    </xf>
    <xf numFmtId="10" fontId="16" fillId="3" borderId="22" xfId="0" applyNumberFormat="1" applyFont="1" applyFill="1" applyBorder="1" applyProtection="1">
      <protection hidden="1"/>
    </xf>
    <xf numFmtId="10" fontId="20" fillId="0" borderId="0" xfId="0" applyNumberFormat="1" applyFont="1" applyProtection="1">
      <protection hidden="1"/>
    </xf>
    <xf numFmtId="2" fontId="16" fillId="3" borderId="18" xfId="0" applyNumberFormat="1" applyFont="1" applyFill="1" applyBorder="1" applyProtection="1">
      <protection hidden="1"/>
    </xf>
    <xf numFmtId="4" fontId="22" fillId="3" borderId="0" xfId="0" applyNumberFormat="1" applyFont="1" applyFill="1" applyProtection="1">
      <protection hidden="1"/>
    </xf>
    <xf numFmtId="0" fontId="16" fillId="3" borderId="19" xfId="0" applyFont="1" applyFill="1" applyBorder="1" applyProtection="1">
      <protection hidden="1"/>
    </xf>
    <xf numFmtId="0" fontId="16" fillId="3" borderId="22" xfId="0" applyFont="1" applyFill="1" applyBorder="1" applyProtection="1">
      <protection hidden="1"/>
    </xf>
    <xf numFmtId="10" fontId="14" fillId="3" borderId="19" xfId="9" applyFont="1" applyFill="1" applyBorder="1" applyProtection="1">
      <protection hidden="1"/>
    </xf>
    <xf numFmtId="2" fontId="16" fillId="3" borderId="22" xfId="0" applyNumberFormat="1" applyFont="1" applyFill="1" applyBorder="1" applyProtection="1">
      <protection hidden="1"/>
    </xf>
    <xf numFmtId="2" fontId="16" fillId="3" borderId="14" xfId="0" applyNumberFormat="1" applyFont="1" applyFill="1" applyBorder="1" applyProtection="1">
      <protection hidden="1"/>
    </xf>
    <xf numFmtId="4" fontId="22" fillId="3" borderId="21" xfId="0" applyNumberFormat="1" applyFont="1" applyFill="1" applyBorder="1" applyProtection="1">
      <protection hidden="1"/>
    </xf>
    <xf numFmtId="0" fontId="16" fillId="3" borderId="17" xfId="0" applyFont="1" applyFill="1" applyBorder="1" applyProtection="1">
      <protection hidden="1"/>
    </xf>
    <xf numFmtId="0" fontId="16" fillId="3" borderId="23" xfId="0" applyFont="1" applyFill="1" applyBorder="1" applyProtection="1">
      <protection hidden="1"/>
    </xf>
    <xf numFmtId="10" fontId="14" fillId="3" borderId="17" xfId="9" applyFont="1" applyFill="1" applyBorder="1" applyProtection="1">
      <protection hidden="1"/>
    </xf>
    <xf numFmtId="0" fontId="16" fillId="3" borderId="14" xfId="0" applyFont="1" applyFill="1" applyBorder="1" applyProtection="1">
      <protection hidden="1"/>
    </xf>
    <xf numFmtId="0" fontId="14" fillId="3" borderId="13" xfId="0" applyFont="1" applyFill="1" applyBorder="1" applyAlignment="1" applyProtection="1">
      <alignment horizontal="left" vertical="top"/>
      <protection hidden="1"/>
    </xf>
    <xf numFmtId="0" fontId="14" fillId="3" borderId="0" xfId="0" applyFont="1" applyFill="1" applyAlignment="1" applyProtection="1">
      <alignment horizontal="left" vertical="top" wrapText="1"/>
      <protection hidden="1"/>
    </xf>
    <xf numFmtId="0" fontId="14" fillId="3" borderId="14" xfId="0" applyFont="1" applyFill="1" applyBorder="1" applyAlignment="1" applyProtection="1">
      <alignment horizontal="left" vertical="top" wrapText="1"/>
      <protection hidden="1"/>
    </xf>
    <xf numFmtId="0" fontId="16" fillId="3" borderId="21" xfId="0" applyFont="1" applyFill="1" applyBorder="1" applyAlignment="1" applyProtection="1">
      <alignment horizontal="left" vertical="top"/>
      <protection hidden="1"/>
    </xf>
    <xf numFmtId="169" fontId="16" fillId="3" borderId="17" xfId="0" applyNumberFormat="1" applyFont="1" applyFill="1" applyBorder="1" applyAlignment="1" applyProtection="1">
      <alignment horizontal="left" vertical="top"/>
      <protection hidden="1"/>
    </xf>
    <xf numFmtId="0" fontId="16" fillId="3" borderId="23" xfId="0" applyFont="1" applyFill="1" applyBorder="1" applyAlignment="1" applyProtection="1">
      <alignment horizontal="left" vertical="top"/>
      <protection hidden="1"/>
    </xf>
    <xf numFmtId="0" fontId="16" fillId="3" borderId="17" xfId="0" applyFont="1" applyFill="1" applyBorder="1" applyAlignment="1" applyProtection="1">
      <alignment horizontal="left" vertical="top"/>
      <protection hidden="1"/>
    </xf>
    <xf numFmtId="0" fontId="14" fillId="3" borderId="20" xfId="0" applyFont="1" applyFill="1" applyBorder="1" applyAlignment="1" applyProtection="1">
      <alignment horizontal="left" vertical="top"/>
      <protection hidden="1"/>
    </xf>
    <xf numFmtId="0" fontId="14" fillId="3" borderId="11" xfId="0" applyFont="1" applyFill="1" applyBorder="1" applyAlignment="1" applyProtection="1">
      <alignment horizontal="left" vertical="top"/>
      <protection hidden="1"/>
    </xf>
    <xf numFmtId="0" fontId="14" fillId="3" borderId="24" xfId="0" applyFont="1" applyFill="1" applyBorder="1" applyAlignment="1" applyProtection="1">
      <alignment horizontal="left" vertical="top"/>
      <protection hidden="1"/>
    </xf>
    <xf numFmtId="0" fontId="14" fillId="3" borderId="0" xfId="0" applyFont="1" applyFill="1" applyAlignment="1" applyProtection="1">
      <alignment horizontal="left" vertical="top"/>
      <protection hidden="1"/>
    </xf>
    <xf numFmtId="0" fontId="14" fillId="3" borderId="14" xfId="0" applyFont="1" applyFill="1" applyBorder="1" applyAlignment="1" applyProtection="1">
      <alignment horizontal="left" vertical="top"/>
      <protection hidden="1"/>
    </xf>
    <xf numFmtId="0" fontId="14" fillId="3" borderId="21" xfId="0" applyFont="1" applyFill="1" applyBorder="1" applyAlignment="1" applyProtection="1">
      <alignment horizontal="left" vertical="top"/>
      <protection hidden="1"/>
    </xf>
    <xf numFmtId="0" fontId="14" fillId="3" borderId="17" xfId="0" applyFont="1" applyFill="1" applyBorder="1" applyAlignment="1" applyProtection="1">
      <alignment horizontal="left" vertical="top"/>
      <protection hidden="1"/>
    </xf>
    <xf numFmtId="0" fontId="14" fillId="3" borderId="23" xfId="0" applyFont="1" applyFill="1" applyBorder="1" applyAlignment="1" applyProtection="1">
      <alignment horizontal="left" vertical="top"/>
      <protection hidden="1"/>
    </xf>
    <xf numFmtId="0" fontId="16" fillId="3" borderId="13" xfId="0" applyFont="1" applyFill="1" applyBorder="1" applyAlignment="1" applyProtection="1">
      <alignment horizontal="left" vertical="top"/>
      <protection hidden="1"/>
    </xf>
    <xf numFmtId="0" fontId="49" fillId="3" borderId="21" xfId="0" applyFont="1" applyFill="1" applyBorder="1" applyAlignment="1" applyProtection="1">
      <alignment horizontal="left" vertical="top"/>
      <protection hidden="1"/>
    </xf>
    <xf numFmtId="0" fontId="49" fillId="0" borderId="0" xfId="0" applyFont="1" applyAlignment="1" applyProtection="1">
      <alignment horizontal="left" vertical="top"/>
      <protection hidden="1"/>
    </xf>
    <xf numFmtId="0" fontId="14" fillId="3" borderId="20" xfId="0" applyFont="1" applyFill="1" applyBorder="1" applyProtection="1">
      <protection hidden="1"/>
    </xf>
    <xf numFmtId="0" fontId="49" fillId="3" borderId="29" xfId="0" applyFont="1" applyFill="1" applyBorder="1" applyAlignment="1" applyProtection="1">
      <alignment horizontal="left" vertical="top"/>
      <protection hidden="1"/>
    </xf>
    <xf numFmtId="0" fontId="14" fillId="3" borderId="13" xfId="0" applyFont="1" applyFill="1" applyBorder="1" applyProtection="1">
      <protection hidden="1"/>
    </xf>
    <xf numFmtId="0" fontId="49" fillId="3" borderId="27" xfId="0" applyFont="1" applyFill="1" applyBorder="1" applyAlignment="1" applyProtection="1">
      <alignment horizontal="left" vertical="top"/>
      <protection hidden="1"/>
    </xf>
    <xf numFmtId="0" fontId="49" fillId="3" borderId="28" xfId="0" applyFont="1" applyFill="1" applyBorder="1" applyAlignment="1" applyProtection="1">
      <alignment horizontal="left" vertical="top"/>
      <protection hidden="1"/>
    </xf>
    <xf numFmtId="0" fontId="25" fillId="0" borderId="0" xfId="0" applyFont="1" applyAlignment="1" applyProtection="1">
      <alignment horizontal="left" vertical="top"/>
      <protection hidden="1"/>
    </xf>
    <xf numFmtId="0" fontId="16" fillId="0" borderId="20" xfId="0" applyFont="1" applyBorder="1" applyAlignment="1" applyProtection="1">
      <alignment horizontal="left" vertical="top"/>
      <protection hidden="1"/>
    </xf>
    <xf numFmtId="0" fontId="14" fillId="0" borderId="11" xfId="0" applyFont="1" applyBorder="1" applyAlignment="1" applyProtection="1">
      <alignment horizontal="left" vertical="top"/>
      <protection hidden="1"/>
    </xf>
    <xf numFmtId="0" fontId="14" fillId="0" borderId="24" xfId="0" applyFont="1" applyBorder="1" applyAlignment="1" applyProtection="1">
      <alignment horizontal="left" vertical="top"/>
      <protection hidden="1"/>
    </xf>
    <xf numFmtId="0" fontId="16" fillId="0" borderId="13" xfId="0" applyFont="1" applyBorder="1" applyAlignment="1" applyProtection="1">
      <alignment horizontal="left" vertical="top"/>
      <protection hidden="1"/>
    </xf>
    <xf numFmtId="0" fontId="14" fillId="0" borderId="0" xfId="0" applyFont="1" applyAlignment="1" applyProtection="1">
      <alignment horizontal="left" vertical="top"/>
      <protection hidden="1"/>
    </xf>
    <xf numFmtId="0" fontId="14" fillId="0" borderId="14" xfId="0" applyFont="1" applyBorder="1" applyAlignment="1" applyProtection="1">
      <alignment horizontal="left" vertical="top"/>
      <protection hidden="1"/>
    </xf>
    <xf numFmtId="0" fontId="16" fillId="0" borderId="21" xfId="0" applyFont="1" applyBorder="1" applyAlignment="1" applyProtection="1">
      <alignment horizontal="left" vertical="top"/>
      <protection hidden="1"/>
    </xf>
    <xf numFmtId="0" fontId="14" fillId="0" borderId="17" xfId="0" applyFont="1" applyBorder="1" applyAlignment="1" applyProtection="1">
      <alignment horizontal="left" vertical="top"/>
      <protection hidden="1"/>
    </xf>
    <xf numFmtId="0" fontId="14" fillId="0" borderId="23" xfId="0" applyFont="1" applyBorder="1" applyAlignment="1" applyProtection="1">
      <alignment horizontal="left" vertical="top"/>
      <protection hidden="1"/>
    </xf>
    <xf numFmtId="0" fontId="49" fillId="0" borderId="21" xfId="0" applyFont="1" applyBorder="1" applyAlignment="1" applyProtection="1">
      <alignment horizontal="left" vertical="top"/>
      <protection hidden="1"/>
    </xf>
    <xf numFmtId="0" fontId="20" fillId="0" borderId="0" xfId="0" applyFont="1" applyAlignment="1" applyProtection="1">
      <alignment wrapText="1"/>
      <protection hidden="1"/>
    </xf>
    <xf numFmtId="0" fontId="20" fillId="3" borderId="20" xfId="0" applyFont="1" applyFill="1" applyBorder="1" applyAlignment="1" applyProtection="1">
      <alignment horizontal="left" vertical="top"/>
      <protection hidden="1"/>
    </xf>
    <xf numFmtId="0" fontId="14" fillId="3" borderId="11" xfId="0" applyFont="1" applyFill="1" applyBorder="1" applyAlignment="1" applyProtection="1">
      <alignment horizontal="left" vertical="top" wrapText="1"/>
      <protection hidden="1"/>
    </xf>
    <xf numFmtId="0" fontId="14" fillId="3" borderId="24" xfId="0" applyFont="1" applyFill="1" applyBorder="1" applyAlignment="1" applyProtection="1">
      <alignment horizontal="left" vertical="top" wrapText="1"/>
      <protection hidden="1"/>
    </xf>
    <xf numFmtId="0" fontId="20" fillId="3" borderId="13" xfId="0" applyFont="1" applyFill="1" applyBorder="1" applyAlignment="1" applyProtection="1">
      <alignment horizontal="left" vertical="top"/>
      <protection hidden="1"/>
    </xf>
    <xf numFmtId="44" fontId="14" fillId="3" borderId="0" xfId="15" applyFont="1" applyFill="1" applyBorder="1" applyAlignment="1" applyProtection="1">
      <alignment horizontal="left" vertical="top" wrapText="1"/>
      <protection hidden="1"/>
    </xf>
    <xf numFmtId="4" fontId="6" fillId="3" borderId="0" xfId="5" applyFont="1" applyFill="1" applyProtection="1">
      <protection hidden="1"/>
    </xf>
    <xf numFmtId="0" fontId="20" fillId="3" borderId="21" xfId="0" applyFont="1" applyFill="1" applyBorder="1" applyAlignment="1" applyProtection="1">
      <alignment vertical="top"/>
      <protection hidden="1"/>
    </xf>
    <xf numFmtId="0" fontId="14" fillId="3" borderId="17" xfId="0" applyFont="1" applyFill="1" applyBorder="1" applyAlignment="1" applyProtection="1">
      <alignment vertical="top"/>
      <protection hidden="1"/>
    </xf>
    <xf numFmtId="44" fontId="14" fillId="3" borderId="17" xfId="15" applyFont="1" applyFill="1" applyBorder="1" applyAlignment="1" applyProtection="1">
      <alignment vertical="top"/>
      <protection hidden="1"/>
    </xf>
    <xf numFmtId="4" fontId="6" fillId="3" borderId="17" xfId="5" applyFont="1" applyFill="1" applyBorder="1" applyProtection="1">
      <protection hidden="1"/>
    </xf>
    <xf numFmtId="0" fontId="14" fillId="3" borderId="23" xfId="0" applyFont="1" applyFill="1" applyBorder="1" applyAlignment="1" applyProtection="1">
      <alignment vertical="top"/>
      <protection hidden="1"/>
    </xf>
    <xf numFmtId="0" fontId="25" fillId="23" borderId="0" xfId="0" applyFont="1" applyFill="1" applyAlignment="1" applyProtection="1">
      <alignment vertical="top"/>
      <protection hidden="1"/>
    </xf>
    <xf numFmtId="0" fontId="20" fillId="23" borderId="0" xfId="0" applyFont="1" applyFill="1" applyAlignment="1" applyProtection="1">
      <alignment vertical="top"/>
      <protection hidden="1"/>
    </xf>
    <xf numFmtId="0" fontId="112" fillId="0" borderId="20" xfId="0" applyFont="1" applyBorder="1" applyAlignment="1" applyProtection="1">
      <alignment vertical="center"/>
      <protection hidden="1"/>
    </xf>
    <xf numFmtId="184" fontId="112" fillId="0" borderId="18" xfId="15" applyNumberFormat="1" applyFont="1" applyBorder="1" applyAlignment="1" applyProtection="1">
      <alignment vertical="top"/>
      <protection hidden="1"/>
    </xf>
    <xf numFmtId="10" fontId="86" fillId="0" borderId="19" xfId="9" applyFont="1" applyBorder="1" applyProtection="1">
      <protection hidden="1"/>
    </xf>
    <xf numFmtId="10" fontId="86" fillId="0" borderId="19" xfId="9" applyFont="1" applyBorder="1" applyAlignment="1" applyProtection="1">
      <alignment horizontal="center" vertical="center"/>
      <protection hidden="1"/>
    </xf>
    <xf numFmtId="184" fontId="112" fillId="0" borderId="18" xfId="15" applyNumberFormat="1" applyFont="1" applyBorder="1" applyAlignment="1" applyProtection="1">
      <alignment vertical="top" wrapText="1"/>
      <protection hidden="1"/>
    </xf>
    <xf numFmtId="0" fontId="86" fillId="0" borderId="11" xfId="0" applyFont="1" applyBorder="1" applyProtection="1">
      <protection hidden="1"/>
    </xf>
    <xf numFmtId="0" fontId="112" fillId="0" borderId="11" xfId="0" applyFont="1" applyBorder="1" applyAlignment="1" applyProtection="1">
      <alignment vertical="top" wrapText="1"/>
      <protection hidden="1"/>
    </xf>
    <xf numFmtId="44" fontId="86" fillId="0" borderId="24" xfId="0" applyNumberFormat="1" applyFont="1" applyBorder="1" applyAlignment="1" applyProtection="1">
      <alignment vertical="top" wrapText="1"/>
      <protection hidden="1"/>
    </xf>
    <xf numFmtId="0" fontId="86" fillId="0" borderId="21" xfId="0" applyFont="1" applyBorder="1" applyProtection="1">
      <protection hidden="1"/>
    </xf>
    <xf numFmtId="184" fontId="119" fillId="0" borderId="17" xfId="0" applyNumberFormat="1" applyFont="1" applyBorder="1" applyAlignment="1" applyProtection="1">
      <alignment vertical="top"/>
      <protection hidden="1"/>
    </xf>
    <xf numFmtId="4" fontId="86" fillId="0" borderId="17" xfId="0" applyNumberFormat="1" applyFont="1" applyBorder="1" applyAlignment="1" applyProtection="1">
      <alignment vertical="top"/>
      <protection hidden="1"/>
    </xf>
    <xf numFmtId="0" fontId="86" fillId="0" borderId="17" xfId="0" applyFont="1" applyBorder="1" applyAlignment="1" applyProtection="1">
      <alignment vertical="top"/>
      <protection hidden="1"/>
    </xf>
    <xf numFmtId="2" fontId="86" fillId="0" borderId="17" xfId="0" applyNumberFormat="1" applyFont="1" applyBorder="1" applyAlignment="1" applyProtection="1">
      <alignment vertical="top"/>
      <protection hidden="1"/>
    </xf>
    <xf numFmtId="0" fontId="86" fillId="0" borderId="23" xfId="0" applyFont="1" applyBorder="1" applyAlignment="1" applyProtection="1">
      <alignment vertical="top"/>
      <protection hidden="1"/>
    </xf>
    <xf numFmtId="0" fontId="112" fillId="0" borderId="13" xfId="0" applyFont="1" applyBorder="1" applyAlignment="1" applyProtection="1">
      <alignment vertical="center"/>
      <protection hidden="1"/>
    </xf>
    <xf numFmtId="184" fontId="112" fillId="0" borderId="17" xfId="15" applyNumberFormat="1" applyFont="1" applyBorder="1" applyAlignment="1" applyProtection="1">
      <alignment vertical="top"/>
      <protection hidden="1"/>
    </xf>
    <xf numFmtId="44" fontId="119" fillId="0" borderId="17" xfId="9" applyNumberFormat="1" applyFont="1" applyBorder="1" applyProtection="1">
      <protection hidden="1"/>
    </xf>
    <xf numFmtId="10" fontId="86" fillId="0" borderId="17" xfId="9" applyFont="1" applyBorder="1" applyAlignment="1" applyProtection="1">
      <alignment horizontal="center" vertical="center"/>
      <protection hidden="1"/>
    </xf>
    <xf numFmtId="184" fontId="112" fillId="0" borderId="17" xfId="15" applyNumberFormat="1" applyFont="1" applyBorder="1" applyAlignment="1" applyProtection="1">
      <alignment vertical="top" wrapText="1"/>
      <protection hidden="1"/>
    </xf>
    <xf numFmtId="0" fontId="86" fillId="0" borderId="0" xfId="0" applyFont="1" applyProtection="1">
      <protection hidden="1"/>
    </xf>
    <xf numFmtId="0" fontId="112" fillId="0" borderId="0" xfId="0" applyFont="1" applyAlignment="1" applyProtection="1">
      <alignment vertical="top" wrapText="1"/>
      <protection hidden="1"/>
    </xf>
    <xf numFmtId="44" fontId="86" fillId="0" borderId="14" xfId="0" applyNumberFormat="1" applyFont="1" applyBorder="1" applyAlignment="1" applyProtection="1">
      <alignment vertical="top" wrapText="1"/>
      <protection hidden="1"/>
    </xf>
    <xf numFmtId="0" fontId="25" fillId="3" borderId="20" xfId="0" applyFont="1" applyFill="1" applyBorder="1" applyAlignment="1" applyProtection="1">
      <alignment horizontal="left" vertical="top"/>
      <protection hidden="1"/>
    </xf>
    <xf numFmtId="0" fontId="20" fillId="3" borderId="11" xfId="0" applyFont="1" applyFill="1" applyBorder="1" applyAlignment="1" applyProtection="1">
      <alignment horizontal="left" vertical="top"/>
      <protection hidden="1"/>
    </xf>
    <xf numFmtId="0" fontId="20" fillId="3" borderId="24" xfId="0" applyFont="1" applyFill="1" applyBorder="1" applyAlignment="1" applyProtection="1">
      <alignment horizontal="left" vertical="top"/>
      <protection hidden="1"/>
    </xf>
    <xf numFmtId="0" fontId="20" fillId="3" borderId="0" xfId="0" applyFont="1" applyFill="1" applyAlignment="1" applyProtection="1">
      <alignment horizontal="left" vertical="top"/>
      <protection hidden="1"/>
    </xf>
    <xf numFmtId="9" fontId="20" fillId="3" borderId="0" xfId="0" applyNumberFormat="1" applyFont="1" applyFill="1" applyAlignment="1" applyProtection="1">
      <alignment horizontal="left" vertical="top"/>
      <protection hidden="1"/>
    </xf>
    <xf numFmtId="0" fontId="20" fillId="3" borderId="14" xfId="0" applyFont="1" applyFill="1" applyBorder="1" applyAlignment="1" applyProtection="1">
      <alignment horizontal="left" vertical="top"/>
      <protection hidden="1"/>
    </xf>
    <xf numFmtId="0" fontId="49" fillId="3" borderId="13" xfId="0" applyFont="1" applyFill="1" applyBorder="1" applyAlignment="1" applyProtection="1">
      <alignment horizontal="left" vertical="top"/>
      <protection hidden="1"/>
    </xf>
    <xf numFmtId="0" fontId="16" fillId="3" borderId="0" xfId="0" applyFont="1" applyFill="1" applyAlignment="1" applyProtection="1">
      <alignment horizontal="left" vertical="top"/>
      <protection hidden="1"/>
    </xf>
    <xf numFmtId="0" fontId="25" fillId="13" borderId="20" xfId="0" applyFont="1" applyFill="1" applyBorder="1" applyAlignment="1" applyProtection="1">
      <alignment horizontal="left" vertical="top"/>
      <protection hidden="1"/>
    </xf>
    <xf numFmtId="0" fontId="20" fillId="13" borderId="11" xfId="0" applyFont="1" applyFill="1" applyBorder="1" applyAlignment="1" applyProtection="1">
      <alignment horizontal="left" vertical="top"/>
      <protection hidden="1"/>
    </xf>
    <xf numFmtId="0" fontId="20" fillId="13" borderId="24" xfId="0" applyFont="1" applyFill="1" applyBorder="1" applyAlignment="1" applyProtection="1">
      <alignment horizontal="left" vertical="top"/>
      <protection hidden="1"/>
    </xf>
    <xf numFmtId="0" fontId="16" fillId="13" borderId="13" xfId="0" applyFont="1" applyFill="1" applyBorder="1" applyAlignment="1" applyProtection="1">
      <alignment horizontal="left" vertical="top"/>
      <protection hidden="1"/>
    </xf>
    <xf numFmtId="0" fontId="20" fillId="13" borderId="0" xfId="0" applyFont="1" applyFill="1" applyAlignment="1" applyProtection="1">
      <alignment horizontal="left" vertical="top"/>
      <protection hidden="1"/>
    </xf>
    <xf numFmtId="0" fontId="20" fillId="13" borderId="14" xfId="0" applyFont="1" applyFill="1" applyBorder="1" applyAlignment="1" applyProtection="1">
      <alignment horizontal="left" vertical="top"/>
      <protection hidden="1"/>
    </xf>
    <xf numFmtId="0" fontId="49" fillId="17" borderId="13" xfId="0" applyFont="1" applyFill="1" applyBorder="1" applyAlignment="1" applyProtection="1">
      <alignment horizontal="left" vertical="top"/>
      <protection hidden="1"/>
    </xf>
    <xf numFmtId="0" fontId="14" fillId="13" borderId="0" xfId="0" applyFont="1" applyFill="1" applyAlignment="1" applyProtection="1">
      <alignment horizontal="left" vertical="top"/>
      <protection hidden="1"/>
    </xf>
    <xf numFmtId="44" fontId="16" fillId="13" borderId="0" xfId="0" applyNumberFormat="1" applyFont="1" applyFill="1" applyAlignment="1" applyProtection="1">
      <alignment horizontal="left" vertical="top"/>
      <protection hidden="1"/>
    </xf>
    <xf numFmtId="0" fontId="25" fillId="17" borderId="20" xfId="0" applyFont="1" applyFill="1" applyBorder="1" applyAlignment="1" applyProtection="1">
      <alignment horizontal="left" vertical="top"/>
      <protection hidden="1"/>
    </xf>
    <xf numFmtId="0" fontId="20" fillId="17" borderId="11" xfId="0" applyFont="1" applyFill="1" applyBorder="1" applyAlignment="1" applyProtection="1">
      <alignment horizontal="left" vertical="top"/>
      <protection hidden="1"/>
    </xf>
    <xf numFmtId="0" fontId="20" fillId="17" borderId="24" xfId="0" applyFont="1" applyFill="1" applyBorder="1" applyAlignment="1" applyProtection="1">
      <alignment horizontal="left" vertical="top"/>
      <protection hidden="1"/>
    </xf>
    <xf numFmtId="0" fontId="16" fillId="17" borderId="13" xfId="0" applyFont="1" applyFill="1" applyBorder="1" applyAlignment="1" applyProtection="1">
      <alignment horizontal="left" vertical="top"/>
      <protection hidden="1"/>
    </xf>
    <xf numFmtId="0" fontId="20" fillId="17" borderId="0" xfId="0" applyFont="1" applyFill="1" applyAlignment="1" applyProtection="1">
      <alignment horizontal="left" vertical="top"/>
      <protection hidden="1"/>
    </xf>
    <xf numFmtId="0" fontId="20" fillId="17" borderId="14" xfId="0" applyFont="1" applyFill="1" applyBorder="1" applyAlignment="1" applyProtection="1">
      <alignment horizontal="left" vertical="top"/>
      <protection hidden="1"/>
    </xf>
    <xf numFmtId="0" fontId="16" fillId="17" borderId="21" xfId="0" applyFont="1" applyFill="1" applyBorder="1" applyAlignment="1" applyProtection="1">
      <alignment horizontal="left" vertical="top"/>
      <protection hidden="1"/>
    </xf>
    <xf numFmtId="0" fontId="20" fillId="17" borderId="17" xfId="0" applyFont="1" applyFill="1" applyBorder="1" applyAlignment="1" applyProtection="1">
      <alignment horizontal="left" vertical="top"/>
      <protection hidden="1"/>
    </xf>
    <xf numFmtId="0" fontId="14" fillId="17" borderId="17" xfId="0" applyFont="1" applyFill="1" applyBorder="1" applyAlignment="1" applyProtection="1">
      <alignment horizontal="left" vertical="top"/>
      <protection hidden="1"/>
    </xf>
    <xf numFmtId="44" fontId="16" fillId="17" borderId="17" xfId="0" applyNumberFormat="1" applyFont="1" applyFill="1" applyBorder="1" applyAlignment="1" applyProtection="1">
      <alignment horizontal="left" vertical="top"/>
      <protection hidden="1"/>
    </xf>
    <xf numFmtId="0" fontId="20" fillId="17" borderId="23" xfId="0" applyFont="1" applyFill="1" applyBorder="1" applyAlignment="1" applyProtection="1">
      <alignment horizontal="left" vertical="top"/>
      <protection hidden="1"/>
    </xf>
    <xf numFmtId="0" fontId="14" fillId="17" borderId="0" xfId="0" applyFont="1" applyFill="1" applyAlignment="1" applyProtection="1">
      <alignment horizontal="left" vertical="top"/>
      <protection hidden="1"/>
    </xf>
    <xf numFmtId="44" fontId="16" fillId="17" borderId="0" xfId="0" applyNumberFormat="1" applyFont="1" applyFill="1" applyAlignment="1" applyProtection="1">
      <alignment horizontal="left" vertical="top"/>
      <protection hidden="1"/>
    </xf>
    <xf numFmtId="0" fontId="25" fillId="13" borderId="21" xfId="0" applyFont="1" applyFill="1" applyBorder="1" applyAlignment="1" applyProtection="1">
      <alignment horizontal="left" vertical="top"/>
      <protection hidden="1"/>
    </xf>
    <xf numFmtId="0" fontId="20" fillId="13" borderId="26" xfId="0" applyFont="1" applyFill="1" applyBorder="1" applyProtection="1">
      <protection hidden="1"/>
    </xf>
    <xf numFmtId="44" fontId="16" fillId="13" borderId="26" xfId="0" applyNumberFormat="1" applyFont="1" applyFill="1" applyBorder="1" applyAlignment="1" applyProtection="1">
      <alignment horizontal="left" vertical="top"/>
      <protection hidden="1"/>
    </xf>
    <xf numFmtId="49" fontId="20" fillId="13" borderId="0" xfId="0" applyNumberFormat="1" applyFont="1" applyFill="1" applyAlignment="1" applyProtection="1">
      <alignment horizontal="left" vertical="top"/>
      <protection hidden="1"/>
    </xf>
    <xf numFmtId="0" fontId="16" fillId="13" borderId="0" xfId="0" applyFont="1" applyFill="1" applyAlignment="1" applyProtection="1">
      <alignment horizontal="left" vertical="top"/>
      <protection hidden="1"/>
    </xf>
    <xf numFmtId="0" fontId="16" fillId="13" borderId="14" xfId="0" applyFont="1" applyFill="1" applyBorder="1" applyAlignment="1" applyProtection="1">
      <alignment horizontal="left" vertical="top"/>
      <protection hidden="1"/>
    </xf>
    <xf numFmtId="0" fontId="25" fillId="2" borderId="21" xfId="0" applyFont="1" applyFill="1" applyBorder="1" applyAlignment="1" applyProtection="1">
      <alignment horizontal="left" vertical="top"/>
      <protection hidden="1"/>
    </xf>
    <xf numFmtId="0" fontId="16" fillId="2" borderId="0" xfId="0" applyFont="1" applyFill="1" applyAlignment="1" applyProtection="1">
      <alignment horizontal="left" vertical="top"/>
      <protection hidden="1"/>
    </xf>
    <xf numFmtId="0" fontId="16" fillId="2" borderId="14" xfId="0" applyFont="1" applyFill="1" applyBorder="1" applyAlignment="1" applyProtection="1">
      <alignment horizontal="left" vertical="top"/>
      <protection hidden="1"/>
    </xf>
    <xf numFmtId="0" fontId="16" fillId="0" borderId="0" xfId="0" applyFont="1" applyAlignment="1" applyProtection="1">
      <alignment horizontal="left" vertical="top"/>
      <protection hidden="1"/>
    </xf>
    <xf numFmtId="0" fontId="23" fillId="0" borderId="14" xfId="0" applyFont="1" applyBorder="1" applyAlignment="1" applyProtection="1">
      <alignment horizontal="left" vertical="top" wrapText="1"/>
      <protection hidden="1"/>
    </xf>
    <xf numFmtId="0" fontId="25" fillId="0" borderId="0" xfId="0" applyFont="1" applyProtection="1">
      <protection hidden="1"/>
    </xf>
    <xf numFmtId="0" fontId="25" fillId="0" borderId="0" xfId="0" applyFont="1" applyAlignment="1" applyProtection="1">
      <alignment vertical="top"/>
      <protection hidden="1"/>
    </xf>
    <xf numFmtId="0" fontId="20" fillId="0" borderId="14" xfId="0" applyFont="1" applyBorder="1" applyAlignment="1" applyProtection="1">
      <alignment vertical="top"/>
      <protection hidden="1"/>
    </xf>
    <xf numFmtId="0" fontId="14" fillId="0" borderId="20" xfId="0" applyFont="1" applyBorder="1" applyProtection="1">
      <protection hidden="1"/>
    </xf>
    <xf numFmtId="0" fontId="14" fillId="0" borderId="11" xfId="0" applyFont="1" applyBorder="1" applyProtection="1">
      <protection hidden="1"/>
    </xf>
    <xf numFmtId="0" fontId="14" fillId="0" borderId="11" xfId="0" applyFont="1" applyBorder="1" applyAlignment="1" applyProtection="1">
      <alignment horizontal="left" vertical="center"/>
      <protection hidden="1"/>
    </xf>
    <xf numFmtId="14" fontId="14" fillId="0" borderId="11" xfId="0" applyNumberFormat="1" applyFont="1" applyBorder="1" applyAlignment="1" applyProtection="1">
      <alignment horizontal="left" vertical="center"/>
      <protection hidden="1"/>
    </xf>
    <xf numFmtId="185" fontId="14" fillId="0" borderId="11" xfId="0" applyNumberFormat="1" applyFont="1" applyBorder="1" applyAlignment="1" applyProtection="1">
      <alignment horizontal="left" vertical="center"/>
      <protection hidden="1"/>
    </xf>
    <xf numFmtId="0" fontId="14" fillId="0" borderId="24" xfId="0" applyFont="1" applyBorder="1" applyAlignment="1" applyProtection="1">
      <alignment horizontal="left" vertical="center"/>
      <protection hidden="1"/>
    </xf>
    <xf numFmtId="0" fontId="15" fillId="0" borderId="13" xfId="0" applyFont="1" applyBorder="1" applyAlignment="1" applyProtection="1">
      <alignment horizontal="left" vertical="center"/>
      <protection hidden="1"/>
    </xf>
    <xf numFmtId="0" fontId="14" fillId="0" borderId="14" xfId="0" applyFont="1" applyBorder="1" applyAlignment="1" applyProtection="1">
      <alignment horizontal="left" vertical="center"/>
      <protection hidden="1"/>
    </xf>
    <xf numFmtId="0" fontId="14" fillId="0" borderId="14" xfId="0" applyFont="1" applyBorder="1" applyProtection="1">
      <protection hidden="1"/>
    </xf>
    <xf numFmtId="0" fontId="15" fillId="0" borderId="21" xfId="0" applyFont="1" applyBorder="1" applyAlignment="1" applyProtection="1">
      <alignment horizontal="left" vertical="center"/>
      <protection hidden="1"/>
    </xf>
    <xf numFmtId="0" fontId="14" fillId="0" borderId="17" xfId="0" applyFont="1" applyBorder="1" applyAlignment="1" applyProtection="1">
      <alignment horizontal="left" vertical="center"/>
      <protection hidden="1"/>
    </xf>
    <xf numFmtId="14" fontId="14" fillId="0" borderId="17" xfId="0" applyNumberFormat="1" applyFont="1" applyBorder="1" applyAlignment="1" applyProtection="1">
      <alignment horizontal="left" vertical="center"/>
      <protection hidden="1"/>
    </xf>
    <xf numFmtId="0" fontId="14" fillId="0" borderId="17" xfId="0" applyFont="1" applyBorder="1" applyProtection="1">
      <protection hidden="1"/>
    </xf>
    <xf numFmtId="0" fontId="14" fillId="0" borderId="23" xfId="0" applyFont="1" applyBorder="1" applyProtection="1">
      <protection hidden="1"/>
    </xf>
    <xf numFmtId="0" fontId="20" fillId="0" borderId="14" xfId="0" applyFont="1" applyBorder="1" applyAlignment="1" applyProtection="1">
      <alignment horizontal="left" vertical="center" wrapText="1"/>
      <protection hidden="1"/>
    </xf>
    <xf numFmtId="0" fontId="20" fillId="0" borderId="13" xfId="0" applyFont="1" applyBorder="1" applyAlignment="1" applyProtection="1">
      <alignment vertical="top"/>
      <protection hidden="1"/>
    </xf>
    <xf numFmtId="0" fontId="23" fillId="0" borderId="0" xfId="0" applyFont="1" applyAlignment="1" applyProtection="1">
      <alignment horizontal="center" vertical="top"/>
      <protection hidden="1"/>
    </xf>
    <xf numFmtId="10" fontId="23" fillId="0" borderId="0" xfId="0" applyNumberFormat="1" applyFont="1" applyAlignment="1" applyProtection="1">
      <alignment horizontal="left" vertical="top"/>
      <protection hidden="1"/>
    </xf>
    <xf numFmtId="184" fontId="23" fillId="0" borderId="0" xfId="0" applyNumberFormat="1" applyFont="1" applyAlignment="1" applyProtection="1">
      <alignment horizontal="left" vertical="top"/>
      <protection hidden="1"/>
    </xf>
    <xf numFmtId="10" fontId="23" fillId="0" borderId="0" xfId="9" applyFont="1" applyAlignment="1" applyProtection="1">
      <alignment horizontal="left"/>
      <protection hidden="1"/>
    </xf>
    <xf numFmtId="4" fontId="23" fillId="0" borderId="0" xfId="5" applyFont="1" applyAlignment="1" applyProtection="1">
      <alignment horizontal="left"/>
      <protection hidden="1"/>
    </xf>
    <xf numFmtId="0" fontId="20" fillId="0" borderId="20" xfId="0" applyFont="1" applyBorder="1" applyAlignment="1" applyProtection="1">
      <alignment vertical="top"/>
      <protection hidden="1"/>
    </xf>
    <xf numFmtId="0" fontId="20" fillId="0" borderId="11" xfId="0" applyFont="1" applyBorder="1" applyAlignment="1" applyProtection="1">
      <alignment vertical="top" wrapText="1"/>
      <protection hidden="1"/>
    </xf>
    <xf numFmtId="0" fontId="20" fillId="0" borderId="24" xfId="0" applyFont="1" applyBorder="1" applyAlignment="1" applyProtection="1">
      <alignment vertical="top" wrapText="1"/>
      <protection hidden="1"/>
    </xf>
    <xf numFmtId="0" fontId="20" fillId="0" borderId="0" xfId="0" applyFont="1" applyAlignment="1" applyProtection="1">
      <alignment vertical="top" wrapText="1"/>
      <protection hidden="1"/>
    </xf>
    <xf numFmtId="0" fontId="20" fillId="0" borderId="14" xfId="0" applyFont="1" applyBorder="1" applyAlignment="1" applyProtection="1">
      <alignment vertical="top" wrapText="1"/>
      <protection hidden="1"/>
    </xf>
    <xf numFmtId="0" fontId="25" fillId="0" borderId="13" xfId="0" applyFont="1" applyBorder="1" applyAlignment="1" applyProtection="1">
      <alignment vertical="top"/>
      <protection hidden="1"/>
    </xf>
    <xf numFmtId="0" fontId="23" fillId="15" borderId="18" xfId="0" applyFont="1" applyFill="1" applyBorder="1" applyAlignment="1" applyProtection="1">
      <alignment vertical="top"/>
      <protection hidden="1"/>
    </xf>
    <xf numFmtId="0" fontId="23" fillId="15" borderId="19" xfId="0" applyFont="1" applyFill="1" applyBorder="1" applyAlignment="1" applyProtection="1">
      <alignment vertical="top"/>
      <protection hidden="1"/>
    </xf>
    <xf numFmtId="0" fontId="23" fillId="15" borderId="19" xfId="0" applyFont="1" applyFill="1" applyBorder="1" applyAlignment="1" applyProtection="1">
      <alignment horizontal="left" vertical="top"/>
      <protection hidden="1"/>
    </xf>
    <xf numFmtId="0" fontId="23" fillId="15" borderId="22" xfId="0" applyFont="1" applyFill="1" applyBorder="1" applyAlignment="1" applyProtection="1">
      <alignment horizontal="left" vertical="top"/>
      <protection hidden="1"/>
    </xf>
    <xf numFmtId="0" fontId="20" fillId="15" borderId="18" xfId="0" applyFont="1" applyFill="1" applyBorder="1" applyAlignment="1" applyProtection="1">
      <alignment vertical="top"/>
      <protection hidden="1"/>
    </xf>
    <xf numFmtId="0" fontId="20" fillId="15" borderId="19" xfId="0" applyFont="1" applyFill="1" applyBorder="1" applyAlignment="1" applyProtection="1">
      <alignment horizontal="left" vertical="top"/>
      <protection hidden="1"/>
    </xf>
    <xf numFmtId="0" fontId="20" fillId="15" borderId="22" xfId="0" applyFont="1" applyFill="1" applyBorder="1" applyAlignment="1" applyProtection="1">
      <alignment horizontal="left" vertical="top"/>
      <protection hidden="1"/>
    </xf>
    <xf numFmtId="0" fontId="20" fillId="0" borderId="17" xfId="0" applyFont="1" applyBorder="1" applyAlignment="1" applyProtection="1">
      <alignment horizontal="left" vertical="top"/>
      <protection hidden="1"/>
    </xf>
    <xf numFmtId="0" fontId="20" fillId="30" borderId="0" xfId="0" applyFont="1" applyFill="1" applyAlignment="1" applyProtection="1">
      <alignment horizontal="left" vertical="top"/>
      <protection hidden="1"/>
    </xf>
    <xf numFmtId="0" fontId="20" fillId="0" borderId="11" xfId="0" applyFont="1" applyBorder="1" applyAlignment="1" applyProtection="1">
      <alignment horizontal="left" vertical="top"/>
      <protection hidden="1"/>
    </xf>
    <xf numFmtId="0" fontId="20" fillId="0" borderId="24" xfId="0" applyFont="1" applyBorder="1" applyAlignment="1" applyProtection="1">
      <alignment horizontal="left" vertical="top"/>
      <protection hidden="1"/>
    </xf>
    <xf numFmtId="0" fontId="20" fillId="0" borderId="23" xfId="0" applyFont="1" applyBorder="1" applyAlignment="1" applyProtection="1">
      <alignment horizontal="left" vertical="top"/>
      <protection hidden="1"/>
    </xf>
    <xf numFmtId="0" fontId="142" fillId="0" borderId="0" xfId="0" applyFont="1" applyProtection="1">
      <protection hidden="1"/>
    </xf>
    <xf numFmtId="0" fontId="25" fillId="23" borderId="0" xfId="0" applyFont="1" applyFill="1" applyProtection="1">
      <protection hidden="1"/>
    </xf>
    <xf numFmtId="0" fontId="79" fillId="0" borderId="0" xfId="0" applyFont="1" applyProtection="1">
      <protection hidden="1"/>
    </xf>
    <xf numFmtId="10" fontId="118" fillId="0" borderId="0" xfId="9" applyFont="1" applyAlignment="1" applyProtection="1">
      <alignment horizontal="center" vertical="center"/>
      <protection hidden="1"/>
    </xf>
    <xf numFmtId="10" fontId="52" fillId="0" borderId="0" xfId="0" applyNumberFormat="1" applyFont="1" applyAlignment="1" applyProtection="1">
      <alignment horizontal="center" vertical="center"/>
      <protection hidden="1"/>
    </xf>
    <xf numFmtId="44" fontId="52" fillId="0" borderId="0" xfId="15" applyFont="1" applyProtection="1">
      <protection hidden="1"/>
    </xf>
    <xf numFmtId="44" fontId="52" fillId="0" borderId="0" xfId="15" applyFont="1" applyAlignment="1" applyProtection="1">
      <alignment horizontal="center" vertical="center"/>
      <protection hidden="1"/>
    </xf>
    <xf numFmtId="44" fontId="52" fillId="0" borderId="0" xfId="15" applyFont="1" applyAlignment="1" applyProtection="1">
      <alignment horizontal="center" vertical="top"/>
      <protection hidden="1"/>
    </xf>
    <xf numFmtId="0" fontId="40" fillId="0" borderId="27" xfId="0" applyFont="1" applyBorder="1" applyAlignment="1" applyProtection="1">
      <alignment horizontal="center" vertical="center"/>
      <protection hidden="1"/>
    </xf>
    <xf numFmtId="0" fontId="104" fillId="0" borderId="27" xfId="0" applyFont="1" applyBorder="1" applyAlignment="1" applyProtection="1">
      <alignment horizontal="center" vertical="center"/>
      <protection hidden="1"/>
    </xf>
    <xf numFmtId="0" fontId="40" fillId="0" borderId="28" xfId="0" applyFont="1" applyBorder="1" applyAlignment="1" applyProtection="1">
      <alignment horizontal="center" vertical="center"/>
      <protection hidden="1"/>
    </xf>
    <xf numFmtId="0" fontId="104" fillId="0" borderId="28" xfId="0" applyFont="1" applyBorder="1" applyAlignment="1" applyProtection="1">
      <alignment horizontal="center" vertical="center"/>
      <protection hidden="1"/>
    </xf>
    <xf numFmtId="0" fontId="23" fillId="0" borderId="13" xfId="0" applyFont="1" applyBorder="1" applyAlignment="1" applyProtection="1">
      <alignment vertical="center"/>
      <protection hidden="1"/>
    </xf>
    <xf numFmtId="0" fontId="23" fillId="0" borderId="0" xfId="0" applyFont="1" applyAlignment="1" applyProtection="1">
      <alignment vertical="center"/>
      <protection hidden="1"/>
    </xf>
    <xf numFmtId="0" fontId="23" fillId="0" borderId="21" xfId="0" applyFont="1" applyBorder="1" applyAlignment="1" applyProtection="1">
      <alignment vertical="center"/>
      <protection hidden="1"/>
    </xf>
    <xf numFmtId="0" fontId="23" fillId="0" borderId="26" xfId="0" applyFont="1" applyBorder="1" applyAlignment="1" applyProtection="1">
      <alignment horizontal="center" vertical="center"/>
      <protection hidden="1"/>
    </xf>
    <xf numFmtId="0" fontId="23" fillId="0" borderId="23" xfId="0" applyFont="1" applyBorder="1" applyAlignment="1" applyProtection="1">
      <alignment horizontal="center" vertical="center"/>
      <protection hidden="1"/>
    </xf>
    <xf numFmtId="0" fontId="141" fillId="0" borderId="0" xfId="0" applyFont="1" applyProtection="1">
      <protection hidden="1"/>
    </xf>
    <xf numFmtId="167" fontId="140" fillId="0" borderId="29" xfId="0" applyNumberFormat="1" applyFont="1" applyBorder="1" applyProtection="1">
      <protection hidden="1"/>
    </xf>
    <xf numFmtId="167" fontId="140" fillId="0" borderId="0" xfId="0" applyNumberFormat="1" applyFont="1" applyProtection="1">
      <protection hidden="1"/>
    </xf>
    <xf numFmtId="168" fontId="140" fillId="0" borderId="0" xfId="0" applyNumberFormat="1" applyFont="1" applyProtection="1">
      <protection hidden="1"/>
    </xf>
    <xf numFmtId="167" fontId="140" fillId="0" borderId="28" xfId="0" applyNumberFormat="1" applyFont="1" applyBorder="1" applyProtection="1">
      <protection hidden="1"/>
    </xf>
    <xf numFmtId="167" fontId="140" fillId="0" borderId="0" xfId="0" applyNumberFormat="1" applyFont="1" applyAlignment="1" applyProtection="1">
      <alignment vertical="center"/>
      <protection hidden="1"/>
    </xf>
    <xf numFmtId="167" fontId="140" fillId="0" borderId="26" xfId="0" applyNumberFormat="1" applyFont="1" applyBorder="1" applyAlignment="1" applyProtection="1">
      <alignment vertical="center"/>
      <protection hidden="1"/>
    </xf>
    <xf numFmtId="167" fontId="76" fillId="0" borderId="26" xfId="0" applyNumberFormat="1" applyFont="1" applyBorder="1" applyAlignment="1" applyProtection="1">
      <alignment vertical="center"/>
      <protection hidden="1"/>
    </xf>
    <xf numFmtId="0" fontId="145" fillId="0" borderId="0" xfId="0" applyFont="1" applyProtection="1">
      <protection hidden="1"/>
    </xf>
    <xf numFmtId="174" fontId="140" fillId="0" borderId="0" xfId="0" applyNumberFormat="1" applyFont="1" applyAlignment="1" applyProtection="1">
      <alignment vertical="center"/>
      <protection hidden="1"/>
    </xf>
    <xf numFmtId="0" fontId="140" fillId="0" borderId="0" xfId="0" applyFont="1" applyProtection="1">
      <protection hidden="1"/>
    </xf>
    <xf numFmtId="0" fontId="140" fillId="21" borderId="0" xfId="0" applyFont="1" applyFill="1" applyProtection="1">
      <protection hidden="1"/>
    </xf>
    <xf numFmtId="204" fontId="140" fillId="0" borderId="0" xfId="0" applyNumberFormat="1" applyFont="1" applyProtection="1">
      <protection hidden="1"/>
    </xf>
    <xf numFmtId="167" fontId="76" fillId="0" borderId="0" xfId="0" applyNumberFormat="1" applyFont="1" applyAlignment="1" applyProtection="1">
      <alignment vertical="center"/>
      <protection hidden="1"/>
    </xf>
    <xf numFmtId="4" fontId="140" fillId="0" borderId="0" xfId="0" applyNumberFormat="1" applyFont="1" applyAlignment="1" applyProtection="1">
      <alignment vertical="center"/>
      <protection hidden="1"/>
    </xf>
    <xf numFmtId="4" fontId="140" fillId="0" borderId="11" xfId="0" applyNumberFormat="1" applyFont="1" applyBorder="1" applyAlignment="1" applyProtection="1">
      <alignment vertical="center"/>
      <protection hidden="1"/>
    </xf>
    <xf numFmtId="210" fontId="66" fillId="0" borderId="0" xfId="0" applyNumberFormat="1" applyFont="1" applyAlignment="1">
      <alignment horizontal="center" vertical="center"/>
    </xf>
    <xf numFmtId="10" fontId="27" fillId="0" borderId="24" xfId="9" applyFont="1" applyBorder="1" applyProtection="1">
      <protection hidden="1"/>
    </xf>
    <xf numFmtId="2" fontId="23" fillId="0" borderId="21" xfId="0" applyNumberFormat="1" applyFont="1" applyBorder="1" applyAlignment="1" applyProtection="1">
      <alignment horizontal="left"/>
      <protection hidden="1"/>
    </xf>
    <xf numFmtId="2" fontId="23" fillId="0" borderId="17" xfId="0" applyNumberFormat="1" applyFont="1" applyBorder="1" applyAlignment="1" applyProtection="1">
      <alignment horizontal="left" vertical="top" wrapText="1"/>
      <protection hidden="1"/>
    </xf>
    <xf numFmtId="10" fontId="27" fillId="25" borderId="24" xfId="9" applyFont="1" applyFill="1" applyBorder="1" applyProtection="1">
      <protection hidden="1"/>
    </xf>
    <xf numFmtId="10" fontId="23" fillId="25" borderId="14" xfId="9" applyFont="1" applyFill="1" applyBorder="1" applyProtection="1">
      <protection hidden="1"/>
    </xf>
    <xf numFmtId="10" fontId="23" fillId="25" borderId="23" xfId="9" applyFont="1" applyFill="1" applyBorder="1" applyProtection="1">
      <protection hidden="1"/>
    </xf>
    <xf numFmtId="0" fontId="25" fillId="0" borderId="13" xfId="0" applyFont="1" applyBorder="1" applyAlignment="1" applyProtection="1">
      <alignment horizontal="left"/>
      <protection hidden="1"/>
    </xf>
    <xf numFmtId="10" fontId="20" fillId="0" borderId="0" xfId="0" applyNumberFormat="1" applyFont="1" applyAlignment="1" applyProtection="1">
      <alignment horizontal="left" vertical="top" wrapText="1"/>
      <protection hidden="1"/>
    </xf>
    <xf numFmtId="0" fontId="20" fillId="0" borderId="14" xfId="0" applyFont="1" applyBorder="1" applyProtection="1">
      <protection hidden="1"/>
    </xf>
    <xf numFmtId="10" fontId="34" fillId="0" borderId="11" xfId="9" applyFont="1" applyBorder="1" applyProtection="1">
      <protection hidden="1"/>
    </xf>
    <xf numFmtId="10" fontId="23" fillId="0" borderId="17" xfId="0" applyNumberFormat="1" applyFont="1" applyBorder="1" applyAlignment="1" applyProtection="1">
      <alignment horizontal="left" vertical="top" wrapText="1"/>
      <protection hidden="1"/>
    </xf>
    <xf numFmtId="10" fontId="23" fillId="0" borderId="17" xfId="9" applyFont="1" applyBorder="1" applyProtection="1">
      <protection hidden="1"/>
    </xf>
    <xf numFmtId="44" fontId="23" fillId="0" borderId="23" xfId="0" applyNumberFormat="1" applyFont="1" applyBorder="1" applyAlignment="1" applyProtection="1">
      <alignment horizontal="left" vertical="top" wrapText="1"/>
      <protection hidden="1"/>
    </xf>
    <xf numFmtId="0" fontId="20" fillId="0" borderId="20" xfId="0" applyFont="1" applyBorder="1" applyAlignment="1" applyProtection="1">
      <alignment horizontal="left" vertical="top" wrapText="1"/>
      <protection hidden="1"/>
    </xf>
    <xf numFmtId="0" fontId="20" fillId="0" borderId="11" xfId="0" applyFont="1" applyBorder="1" applyAlignment="1" applyProtection="1">
      <alignment horizontal="left" vertical="top" wrapText="1"/>
      <protection hidden="1"/>
    </xf>
    <xf numFmtId="0" fontId="20" fillId="0" borderId="24" xfId="0" applyFont="1" applyBorder="1" applyAlignment="1" applyProtection="1">
      <alignment horizontal="left" vertical="top" wrapText="1"/>
      <protection hidden="1"/>
    </xf>
    <xf numFmtId="0" fontId="20" fillId="0" borderId="21" xfId="0" applyFont="1" applyBorder="1" applyAlignment="1" applyProtection="1">
      <alignment horizontal="left" vertical="top" wrapText="1"/>
      <protection hidden="1"/>
    </xf>
    <xf numFmtId="0" fontId="20" fillId="0" borderId="23" xfId="0" applyFont="1" applyBorder="1" applyAlignment="1" applyProtection="1">
      <alignment horizontal="left" vertical="top" wrapText="1"/>
      <protection hidden="1"/>
    </xf>
    <xf numFmtId="44" fontId="25" fillId="0" borderId="0" xfId="0" applyNumberFormat="1" applyFont="1" applyProtection="1">
      <protection hidden="1"/>
    </xf>
    <xf numFmtId="4" fontId="27" fillId="0" borderId="21" xfId="0" applyNumberFormat="1" applyFont="1" applyBorder="1" applyAlignment="1">
      <alignment vertical="center"/>
    </xf>
    <xf numFmtId="4" fontId="27" fillId="0" borderId="17" xfId="0" applyNumberFormat="1" applyFont="1" applyBorder="1" applyAlignment="1">
      <alignment vertical="center"/>
    </xf>
    <xf numFmtId="49" fontId="146" fillId="2" borderId="26" xfId="0" applyNumberFormat="1" applyFont="1" applyFill="1" applyBorder="1" applyAlignment="1" applyProtection="1">
      <alignment horizontal="center" vertical="center"/>
      <protection locked="0"/>
    </xf>
    <xf numFmtId="211" fontId="23" fillId="0" borderId="28" xfId="0" applyNumberFormat="1" applyFont="1" applyBorder="1" applyAlignment="1">
      <alignment horizontal="center" vertical="center"/>
    </xf>
    <xf numFmtId="211" fontId="23" fillId="0" borderId="26" xfId="0" applyNumberFormat="1" applyFont="1" applyBorder="1" applyAlignment="1">
      <alignment horizontal="center" vertical="center"/>
    </xf>
    <xf numFmtId="0" fontId="12" fillId="22" borderId="0" xfId="0" applyFont="1" applyFill="1" applyProtection="1">
      <protection hidden="1"/>
    </xf>
    <xf numFmtId="0" fontId="43" fillId="22" borderId="0" xfId="0" applyFont="1" applyFill="1" applyAlignment="1" applyProtection="1">
      <alignment vertical="center"/>
      <protection hidden="1"/>
    </xf>
    <xf numFmtId="0" fontId="43" fillId="22" borderId="0" xfId="0" applyFont="1" applyFill="1" applyAlignment="1" applyProtection="1">
      <alignment horizontal="left" vertical="center"/>
      <protection hidden="1"/>
    </xf>
    <xf numFmtId="10" fontId="12" fillId="22" borderId="0" xfId="0" applyNumberFormat="1" applyFont="1" applyFill="1" applyProtection="1">
      <protection hidden="1"/>
    </xf>
    <xf numFmtId="186" fontId="12" fillId="22" borderId="0" xfId="0" applyNumberFormat="1" applyFont="1" applyFill="1" applyProtection="1">
      <protection hidden="1"/>
    </xf>
    <xf numFmtId="4" fontId="40" fillId="0" borderId="0" xfId="0" applyNumberFormat="1" applyFont="1" applyAlignment="1" applyProtection="1">
      <alignment vertical="center"/>
      <protection hidden="1"/>
    </xf>
    <xf numFmtId="207" fontId="23" fillId="3" borderId="26" xfId="23" applyNumberFormat="1" applyFont="1" applyFill="1" applyBorder="1" applyAlignment="1" applyProtection="1">
      <alignment vertical="center"/>
      <protection locked="0"/>
    </xf>
    <xf numFmtId="0" fontId="64" fillId="0" borderId="18" xfId="0" applyFont="1" applyBorder="1" applyAlignment="1">
      <alignment horizontal="left" vertical="center"/>
    </xf>
    <xf numFmtId="0" fontId="14" fillId="0" borderId="24" xfId="0" applyFont="1" applyBorder="1" applyAlignment="1">
      <alignment vertical="top" wrapText="1"/>
    </xf>
    <xf numFmtId="2" fontId="52" fillId="0" borderId="22" xfId="0" applyNumberFormat="1" applyFont="1" applyBorder="1" applyAlignment="1" applyProtection="1">
      <alignment horizontal="left" vertical="center"/>
      <protection hidden="1"/>
    </xf>
    <xf numFmtId="0" fontId="70" fillId="0" borderId="48" xfId="10" applyFont="1" applyBorder="1" applyProtection="1">
      <protection hidden="1"/>
    </xf>
    <xf numFmtId="0" fontId="70" fillId="0" borderId="5" xfId="0" applyFont="1" applyBorder="1" applyProtection="1">
      <protection hidden="1"/>
    </xf>
    <xf numFmtId="0" fontId="70" fillId="0" borderId="6" xfId="0" applyFont="1" applyBorder="1" applyProtection="1">
      <protection hidden="1"/>
    </xf>
    <xf numFmtId="0" fontId="70" fillId="0" borderId="30" xfId="10" applyFont="1" applyBorder="1" applyProtection="1">
      <protection hidden="1"/>
    </xf>
    <xf numFmtId="0" fontId="70" fillId="0" borderId="3" xfId="0" applyFont="1" applyBorder="1" applyProtection="1">
      <protection hidden="1"/>
    </xf>
    <xf numFmtId="1" fontId="70" fillId="0" borderId="65" xfId="10" applyNumberFormat="1" applyFont="1" applyBorder="1" applyProtection="1">
      <protection hidden="1"/>
    </xf>
    <xf numFmtId="0" fontId="70" fillId="0" borderId="19" xfId="10" applyFont="1" applyBorder="1" applyProtection="1">
      <protection hidden="1"/>
    </xf>
    <xf numFmtId="0" fontId="70" fillId="0" borderId="22" xfId="10" applyFont="1" applyBorder="1" applyProtection="1">
      <protection hidden="1"/>
    </xf>
    <xf numFmtId="0" fontId="70" fillId="0" borderId="28" xfId="10" applyFont="1" applyBorder="1" applyProtection="1">
      <protection hidden="1"/>
    </xf>
    <xf numFmtId="0" fontId="70" fillId="0" borderId="0" xfId="10" applyFont="1" applyProtection="1">
      <protection hidden="1"/>
    </xf>
    <xf numFmtId="0" fontId="70" fillId="0" borderId="3" xfId="10" applyFont="1" applyBorder="1" applyProtection="1">
      <protection hidden="1"/>
    </xf>
    <xf numFmtId="0" fontId="70" fillId="0" borderId="36" xfId="10" applyFont="1" applyBorder="1" applyProtection="1">
      <protection hidden="1"/>
    </xf>
    <xf numFmtId="0" fontId="70" fillId="0" borderId="11" xfId="10" applyFont="1" applyBorder="1" applyProtection="1">
      <protection hidden="1"/>
    </xf>
    <xf numFmtId="0" fontId="70" fillId="0" borderId="24" xfId="10" applyFont="1" applyBorder="1" applyProtection="1">
      <protection hidden="1"/>
    </xf>
    <xf numFmtId="0" fontId="70" fillId="0" borderId="14" xfId="10" applyFont="1" applyBorder="1" applyProtection="1">
      <protection hidden="1"/>
    </xf>
    <xf numFmtId="0" fontId="70" fillId="0" borderId="45" xfId="10" applyFont="1" applyBorder="1" applyProtection="1">
      <protection hidden="1"/>
    </xf>
    <xf numFmtId="0" fontId="70" fillId="0" borderId="58" xfId="10" applyFont="1" applyBorder="1" applyProtection="1">
      <protection hidden="1"/>
    </xf>
    <xf numFmtId="0" fontId="70" fillId="0" borderId="17" xfId="10" applyFont="1" applyBorder="1" applyProtection="1">
      <protection hidden="1"/>
    </xf>
    <xf numFmtId="0" fontId="70" fillId="0" borderId="23" xfId="10" applyFont="1" applyBorder="1" applyProtection="1">
      <protection hidden="1"/>
    </xf>
    <xf numFmtId="0" fontId="137" fillId="0" borderId="17" xfId="10" applyFont="1" applyBorder="1" applyAlignment="1" applyProtection="1">
      <alignment horizontal="right"/>
      <protection hidden="1"/>
    </xf>
    <xf numFmtId="0" fontId="137" fillId="0" borderId="23" xfId="10" applyFont="1" applyBorder="1" applyAlignment="1" applyProtection="1">
      <alignment horizontal="right"/>
      <protection hidden="1"/>
    </xf>
    <xf numFmtId="0" fontId="70" fillId="0" borderId="65" xfId="10" applyFont="1" applyBorder="1" applyProtection="1">
      <protection hidden="1"/>
    </xf>
    <xf numFmtId="0" fontId="70" fillId="0" borderId="19" xfId="10" applyFont="1" applyBorder="1" applyAlignment="1" applyProtection="1">
      <alignment horizontal="center"/>
      <protection hidden="1"/>
    </xf>
    <xf numFmtId="0" fontId="70" fillId="0" borderId="66" xfId="10" applyFont="1" applyBorder="1" applyProtection="1">
      <protection hidden="1"/>
    </xf>
    <xf numFmtId="1" fontId="70" fillId="0" borderId="45" xfId="10" applyNumberFormat="1" applyFont="1" applyBorder="1" applyProtection="1">
      <protection hidden="1"/>
    </xf>
    <xf numFmtId="0" fontId="70" fillId="0" borderId="0" xfId="10" applyFont="1" applyAlignment="1" applyProtection="1">
      <alignment horizontal="right"/>
      <protection hidden="1"/>
    </xf>
    <xf numFmtId="1" fontId="70" fillId="0" borderId="0" xfId="10" applyNumberFormat="1" applyFont="1" applyAlignment="1" applyProtection="1">
      <alignment horizontal="right"/>
      <protection hidden="1"/>
    </xf>
    <xf numFmtId="1" fontId="70" fillId="0" borderId="0" xfId="10" applyNumberFormat="1" applyFont="1" applyProtection="1">
      <protection hidden="1"/>
    </xf>
    <xf numFmtId="0" fontId="137" fillId="0" borderId="3" xfId="10" applyFont="1" applyBorder="1" applyAlignment="1" applyProtection="1">
      <alignment horizontal="center"/>
      <protection hidden="1"/>
    </xf>
    <xf numFmtId="1" fontId="70" fillId="0" borderId="58" xfId="10" applyNumberFormat="1" applyFont="1" applyBorder="1" applyProtection="1">
      <protection hidden="1"/>
    </xf>
    <xf numFmtId="0" fontId="70" fillId="0" borderId="17" xfId="10" applyFont="1" applyBorder="1" applyAlignment="1" applyProtection="1">
      <alignment horizontal="right"/>
      <protection hidden="1"/>
    </xf>
    <xf numFmtId="1" fontId="70" fillId="0" borderId="17" xfId="10" applyNumberFormat="1" applyFont="1" applyBorder="1" applyAlignment="1" applyProtection="1">
      <alignment horizontal="right"/>
      <protection hidden="1"/>
    </xf>
    <xf numFmtId="1" fontId="70" fillId="0" borderId="17" xfId="10" applyNumberFormat="1" applyFont="1" applyBorder="1" applyProtection="1">
      <protection hidden="1"/>
    </xf>
    <xf numFmtId="0" fontId="137" fillId="0" borderId="60" xfId="10" applyFont="1" applyBorder="1" applyAlignment="1" applyProtection="1">
      <alignment horizontal="center"/>
      <protection hidden="1"/>
    </xf>
    <xf numFmtId="2" fontId="70" fillId="0" borderId="45" xfId="10" applyNumberFormat="1" applyFont="1" applyBorder="1" applyProtection="1">
      <protection hidden="1"/>
    </xf>
    <xf numFmtId="2" fontId="70" fillId="0" borderId="0" xfId="10" applyNumberFormat="1" applyFont="1" applyProtection="1">
      <protection hidden="1"/>
    </xf>
    <xf numFmtId="0" fontId="137" fillId="0" borderId="0" xfId="10" applyFont="1" applyAlignment="1" applyProtection="1">
      <alignment horizontal="center"/>
      <protection hidden="1"/>
    </xf>
    <xf numFmtId="0" fontId="137" fillId="0" borderId="45" xfId="10" applyFont="1" applyBorder="1" applyProtection="1">
      <protection hidden="1"/>
    </xf>
    <xf numFmtId="0" fontId="137" fillId="0" borderId="7" xfId="10" applyFont="1" applyBorder="1" applyProtection="1">
      <protection hidden="1"/>
    </xf>
    <xf numFmtId="0" fontId="70" fillId="0" borderId="44" xfId="10" applyFont="1" applyBorder="1" applyProtection="1">
      <protection hidden="1"/>
    </xf>
    <xf numFmtId="0" fontId="70" fillId="0" borderId="10" xfId="10" applyFont="1" applyBorder="1" applyProtection="1">
      <protection hidden="1"/>
    </xf>
    <xf numFmtId="0" fontId="70" fillId="0" borderId="9" xfId="10" applyFont="1" applyBorder="1" applyProtection="1">
      <protection hidden="1"/>
    </xf>
    <xf numFmtId="14" fontId="70" fillId="0" borderId="9" xfId="10" applyNumberFormat="1" applyFont="1" applyBorder="1" applyProtection="1">
      <protection hidden="1"/>
    </xf>
    <xf numFmtId="0" fontId="70" fillId="0" borderId="4" xfId="10" applyFont="1" applyBorder="1" applyProtection="1">
      <protection hidden="1"/>
    </xf>
    <xf numFmtId="0" fontId="137" fillId="0" borderId="26" xfId="0" applyFont="1" applyBorder="1" applyProtection="1">
      <protection hidden="1"/>
    </xf>
    <xf numFmtId="0" fontId="20" fillId="0" borderId="29" xfId="0" applyFont="1" applyBorder="1"/>
    <xf numFmtId="0" fontId="20" fillId="0" borderId="27" xfId="0" applyFont="1" applyBorder="1"/>
    <xf numFmtId="0" fontId="64" fillId="3" borderId="0" xfId="0" applyFont="1" applyFill="1" applyProtection="1">
      <protection hidden="1"/>
    </xf>
    <xf numFmtId="3" fontId="64" fillId="3" borderId="0" xfId="5" applyNumberFormat="1" applyFont="1" applyFill="1" applyProtection="1">
      <protection hidden="1"/>
    </xf>
    <xf numFmtId="0" fontId="64" fillId="3" borderId="0" xfId="0" applyFont="1" applyFill="1" applyAlignment="1" applyProtection="1">
      <alignment horizontal="center" vertical="center"/>
      <protection hidden="1"/>
    </xf>
    <xf numFmtId="3" fontId="64" fillId="0" borderId="0" xfId="5" applyNumberFormat="1" applyFont="1" applyProtection="1">
      <protection hidden="1"/>
    </xf>
    <xf numFmtId="0" fontId="64" fillId="0" borderId="26" xfId="0" applyFont="1" applyBorder="1" applyProtection="1">
      <protection hidden="1"/>
    </xf>
    <xf numFmtId="0" fontId="64" fillId="0" borderId="0" xfId="0" applyFont="1" applyAlignment="1" applyProtection="1">
      <alignment wrapText="1"/>
      <protection hidden="1"/>
    </xf>
    <xf numFmtId="179" fontId="64" fillId="0" borderId="24" xfId="0" applyNumberFormat="1" applyFont="1" applyBorder="1" applyProtection="1">
      <protection hidden="1"/>
    </xf>
    <xf numFmtId="179" fontId="64" fillId="0" borderId="29" xfId="0" applyNumberFormat="1" applyFont="1" applyBorder="1" applyProtection="1">
      <protection hidden="1"/>
    </xf>
    <xf numFmtId="179" fontId="64" fillId="0" borderId="14" xfId="0" applyNumberFormat="1" applyFont="1" applyBorder="1" applyProtection="1">
      <protection hidden="1"/>
    </xf>
    <xf numFmtId="179" fontId="64" fillId="0" borderId="27" xfId="0" applyNumberFormat="1" applyFont="1" applyBorder="1" applyProtection="1">
      <protection hidden="1"/>
    </xf>
    <xf numFmtId="179" fontId="64" fillId="0" borderId="23" xfId="0" applyNumberFormat="1" applyFont="1" applyBorder="1" applyProtection="1">
      <protection hidden="1"/>
    </xf>
    <xf numFmtId="179" fontId="64" fillId="0" borderId="28" xfId="0" applyNumberFormat="1" applyFont="1" applyBorder="1" applyProtection="1">
      <protection hidden="1"/>
    </xf>
    <xf numFmtId="0" fontId="64" fillId="23" borderId="11" xfId="0" applyFont="1" applyFill="1" applyBorder="1" applyProtection="1">
      <protection hidden="1"/>
    </xf>
    <xf numFmtId="0" fontId="64" fillId="0" borderId="11" xfId="0" applyFont="1" applyBorder="1" applyProtection="1">
      <protection hidden="1"/>
    </xf>
    <xf numFmtId="0" fontId="64" fillId="0" borderId="24" xfId="0" applyFont="1" applyBorder="1" applyProtection="1">
      <protection hidden="1"/>
    </xf>
    <xf numFmtId="0" fontId="64" fillId="23" borderId="0" xfId="0" applyFont="1" applyFill="1" applyProtection="1">
      <protection hidden="1"/>
    </xf>
    <xf numFmtId="0" fontId="64" fillId="23" borderId="29" xfId="0" applyFont="1" applyFill="1" applyBorder="1" applyProtection="1">
      <protection hidden="1"/>
    </xf>
    <xf numFmtId="0" fontId="138" fillId="3" borderId="11" xfId="0" applyFont="1" applyFill="1" applyBorder="1" applyProtection="1">
      <protection hidden="1"/>
    </xf>
    <xf numFmtId="0" fontId="66" fillId="3" borderId="0" xfId="0" applyFont="1" applyFill="1" applyProtection="1">
      <protection hidden="1"/>
    </xf>
    <xf numFmtId="0" fontId="64" fillId="0" borderId="14" xfId="0" applyFont="1" applyBorder="1" applyProtection="1">
      <protection hidden="1"/>
    </xf>
    <xf numFmtId="0" fontId="64" fillId="0" borderId="27" xfId="0" applyFont="1" applyBorder="1" applyProtection="1">
      <protection hidden="1"/>
    </xf>
    <xf numFmtId="0" fontId="64" fillId="0" borderId="17" xfId="0" applyFont="1" applyBorder="1" applyProtection="1">
      <protection hidden="1"/>
    </xf>
    <xf numFmtId="0" fontId="64" fillId="0" borderId="28" xfId="0" applyFont="1" applyBorder="1" applyProtection="1">
      <protection hidden="1"/>
    </xf>
    <xf numFmtId="0" fontId="138" fillId="0" borderId="11" xfId="0" applyFont="1" applyBorder="1" applyProtection="1">
      <protection hidden="1"/>
    </xf>
    <xf numFmtId="0" fontId="66" fillId="0" borderId="0" xfId="0" applyFont="1" applyProtection="1">
      <protection hidden="1"/>
    </xf>
    <xf numFmtId="0" fontId="64" fillId="23" borderId="14" xfId="0" applyFont="1" applyFill="1" applyBorder="1" applyProtection="1">
      <protection hidden="1"/>
    </xf>
    <xf numFmtId="182" fontId="70" fillId="3" borderId="6" xfId="0" applyNumberFormat="1" applyFont="1" applyFill="1" applyBorder="1" applyProtection="1">
      <protection hidden="1"/>
    </xf>
    <xf numFmtId="0" fontId="64" fillId="23" borderId="20" xfId="0" applyFont="1" applyFill="1" applyBorder="1" applyProtection="1">
      <protection hidden="1"/>
    </xf>
    <xf numFmtId="0" fontId="64" fillId="0" borderId="23" xfId="0" applyFont="1" applyBorder="1" applyProtection="1">
      <protection hidden="1"/>
    </xf>
    <xf numFmtId="0" fontId="140" fillId="23" borderId="19" xfId="0" applyFont="1" applyFill="1" applyBorder="1" applyProtection="1">
      <protection hidden="1"/>
    </xf>
    <xf numFmtId="0" fontId="140" fillId="0" borderId="22" xfId="0" applyFont="1" applyBorder="1" applyProtection="1">
      <protection hidden="1"/>
    </xf>
    <xf numFmtId="0" fontId="64" fillId="4" borderId="0" xfId="0" applyFont="1" applyFill="1" applyProtection="1">
      <protection hidden="1"/>
    </xf>
    <xf numFmtId="0" fontId="140" fillId="0" borderId="14" xfId="0" applyFont="1" applyBorder="1" applyProtection="1">
      <protection hidden="1"/>
    </xf>
    <xf numFmtId="2" fontId="64" fillId="0" borderId="26" xfId="0" applyNumberFormat="1" applyFont="1" applyBorder="1" applyProtection="1">
      <protection hidden="1"/>
    </xf>
    <xf numFmtId="10" fontId="64" fillId="0" borderId="30" xfId="0" applyNumberFormat="1" applyFont="1" applyBorder="1" applyProtection="1">
      <protection hidden="1"/>
    </xf>
    <xf numFmtId="0" fontId="140" fillId="0" borderId="17" xfId="0" applyFont="1" applyBorder="1" applyProtection="1">
      <protection hidden="1"/>
    </xf>
    <xf numFmtId="0" fontId="140" fillId="0" borderId="23" xfId="0" applyFont="1" applyBorder="1" applyProtection="1">
      <protection hidden="1"/>
    </xf>
    <xf numFmtId="1" fontId="64" fillId="0" borderId="28" xfId="0" applyNumberFormat="1" applyFont="1" applyBorder="1" applyProtection="1">
      <protection hidden="1"/>
    </xf>
    <xf numFmtId="0" fontId="64" fillId="23" borderId="24" xfId="0" applyFont="1" applyFill="1" applyBorder="1" applyProtection="1">
      <protection hidden="1"/>
    </xf>
    <xf numFmtId="0" fontId="64" fillId="4" borderId="20" xfId="0" applyFont="1" applyFill="1" applyBorder="1" applyProtection="1">
      <protection hidden="1"/>
    </xf>
    <xf numFmtId="0" fontId="64" fillId="4" borderId="11" xfId="0" applyFont="1" applyFill="1" applyBorder="1" applyProtection="1">
      <protection hidden="1"/>
    </xf>
    <xf numFmtId="0" fontId="64" fillId="4" borderId="24" xfId="0" applyFont="1" applyFill="1" applyBorder="1" applyProtection="1">
      <protection hidden="1"/>
    </xf>
    <xf numFmtId="0" fontId="64" fillId="0" borderId="13" xfId="0" applyFont="1" applyBorder="1" applyProtection="1">
      <protection hidden="1"/>
    </xf>
    <xf numFmtId="0" fontId="64" fillId="0" borderId="29" xfId="0" applyFont="1" applyBorder="1" applyProtection="1">
      <protection hidden="1"/>
    </xf>
    <xf numFmtId="0" fontId="64" fillId="3" borderId="13" xfId="0" applyFont="1" applyFill="1" applyBorder="1" applyProtection="1">
      <protection hidden="1"/>
    </xf>
    <xf numFmtId="0" fontId="64" fillId="4" borderId="14" xfId="0" applyFont="1" applyFill="1" applyBorder="1" applyProtection="1">
      <protection hidden="1"/>
    </xf>
    <xf numFmtId="2" fontId="64" fillId="0" borderId="27" xfId="0" applyNumberFormat="1" applyFont="1" applyBorder="1" applyProtection="1">
      <protection hidden="1"/>
    </xf>
    <xf numFmtId="10" fontId="64" fillId="0" borderId="27" xfId="9" applyFont="1" applyBorder="1" applyProtection="1">
      <protection hidden="1"/>
    </xf>
    <xf numFmtId="0" fontId="64" fillId="3" borderId="21" xfId="0" applyFont="1" applyFill="1" applyBorder="1" applyProtection="1">
      <protection hidden="1"/>
    </xf>
    <xf numFmtId="0" fontId="64" fillId="0" borderId="17" xfId="0" applyFont="1" applyBorder="1" applyAlignment="1" applyProtection="1">
      <alignment wrapText="1"/>
      <protection hidden="1"/>
    </xf>
    <xf numFmtId="0" fontId="64" fillId="4" borderId="23" xfId="0" applyFont="1" applyFill="1" applyBorder="1" applyProtection="1">
      <protection hidden="1"/>
    </xf>
    <xf numFmtId="2" fontId="64" fillId="0" borderId="28" xfId="0" applyNumberFormat="1" applyFont="1" applyBorder="1" applyProtection="1">
      <protection hidden="1"/>
    </xf>
    <xf numFmtId="0" fontId="64" fillId="4" borderId="26" xfId="0" applyFont="1" applyFill="1" applyBorder="1" applyProtection="1">
      <protection hidden="1"/>
    </xf>
    <xf numFmtId="10" fontId="64" fillId="0" borderId="26" xfId="0" applyNumberFormat="1" applyFont="1" applyBorder="1" applyProtection="1">
      <protection hidden="1"/>
    </xf>
    <xf numFmtId="0" fontId="64" fillId="0" borderId="28" xfId="0" applyFont="1" applyBorder="1" applyAlignment="1" applyProtection="1">
      <alignment horizontal="right"/>
      <protection hidden="1"/>
    </xf>
    <xf numFmtId="0" fontId="64" fillId="0" borderId="0" xfId="0" quotePrefix="1" applyFont="1" applyProtection="1">
      <protection hidden="1"/>
    </xf>
    <xf numFmtId="0" fontId="96" fillId="0" borderId="0" xfId="0" applyFont="1" applyProtection="1">
      <protection hidden="1"/>
    </xf>
    <xf numFmtId="0" fontId="64" fillId="4" borderId="29" xfId="0" applyFont="1" applyFill="1" applyBorder="1" applyProtection="1">
      <protection hidden="1"/>
    </xf>
    <xf numFmtId="0" fontId="64" fillId="2" borderId="18" xfId="0" applyFont="1" applyFill="1" applyBorder="1" applyAlignment="1" applyProtection="1">
      <alignment horizontal="right"/>
      <protection hidden="1"/>
    </xf>
    <xf numFmtId="10" fontId="64" fillId="2" borderId="26" xfId="0" applyNumberFormat="1" applyFont="1" applyFill="1" applyBorder="1" applyProtection="1">
      <protection hidden="1"/>
    </xf>
    <xf numFmtId="0" fontId="64" fillId="0" borderId="0" xfId="0" applyFont="1" applyAlignment="1" applyProtection="1">
      <alignment horizontal="right"/>
      <protection hidden="1"/>
    </xf>
    <xf numFmtId="10" fontId="64" fillId="0" borderId="28" xfId="0" applyNumberFormat="1" applyFont="1" applyBorder="1" applyProtection="1">
      <protection hidden="1"/>
    </xf>
    <xf numFmtId="10" fontId="64" fillId="0" borderId="29" xfId="0" applyNumberFormat="1" applyFont="1" applyBorder="1" applyProtection="1">
      <protection hidden="1"/>
    </xf>
    <xf numFmtId="10" fontId="64" fillId="2" borderId="19" xfId="0" applyNumberFormat="1" applyFont="1" applyFill="1" applyBorder="1" applyProtection="1">
      <protection hidden="1"/>
    </xf>
    <xf numFmtId="0" fontId="64" fillId="13" borderId="0" xfId="0" applyFont="1" applyFill="1" applyAlignment="1" applyProtection="1">
      <alignment horizontal="right"/>
      <protection hidden="1"/>
    </xf>
    <xf numFmtId="10" fontId="64" fillId="13" borderId="28" xfId="0" applyNumberFormat="1" applyFont="1" applyFill="1" applyBorder="1" applyProtection="1">
      <protection hidden="1"/>
    </xf>
    <xf numFmtId="0" fontId="64" fillId="4" borderId="28" xfId="0" applyFont="1" applyFill="1" applyBorder="1" applyAlignment="1" applyProtection="1">
      <alignment horizontal="right"/>
      <protection hidden="1"/>
    </xf>
    <xf numFmtId="0" fontId="64" fillId="23" borderId="22" xfId="0" applyFont="1" applyFill="1" applyBorder="1" applyProtection="1">
      <protection hidden="1"/>
    </xf>
    <xf numFmtId="0" fontId="64" fillId="0" borderId="22" xfId="0" applyFont="1" applyBorder="1" applyProtection="1">
      <protection hidden="1"/>
    </xf>
    <xf numFmtId="182" fontId="70" fillId="3" borderId="24" xfId="0" applyNumberFormat="1" applyFont="1" applyFill="1" applyBorder="1" applyProtection="1">
      <protection hidden="1"/>
    </xf>
    <xf numFmtId="0" fontId="64" fillId="0" borderId="0" xfId="0" applyFont="1" applyAlignment="1" applyProtection="1">
      <alignment vertical="center"/>
      <protection hidden="1"/>
    </xf>
    <xf numFmtId="10" fontId="64" fillId="0" borderId="14" xfId="0" applyNumberFormat="1" applyFont="1" applyBorder="1" applyProtection="1">
      <protection hidden="1"/>
    </xf>
    <xf numFmtId="10" fontId="64" fillId="0" borderId="0" xfId="0" applyNumberFormat="1" applyFont="1" applyProtection="1">
      <protection hidden="1"/>
    </xf>
    <xf numFmtId="209" fontId="64" fillId="0" borderId="21" xfId="0" applyNumberFormat="1" applyFont="1" applyBorder="1" applyProtection="1">
      <protection hidden="1"/>
    </xf>
    <xf numFmtId="0" fontId="96" fillId="4" borderId="11" xfId="0" applyFont="1" applyFill="1" applyBorder="1" applyProtection="1">
      <protection hidden="1"/>
    </xf>
    <xf numFmtId="167" fontId="64" fillId="0" borderId="14" xfId="0" applyNumberFormat="1" applyFont="1" applyBorder="1" applyProtection="1">
      <protection hidden="1"/>
    </xf>
    <xf numFmtId="179" fontId="64" fillId="0" borderId="17" xfId="0" applyNumberFormat="1" applyFont="1" applyBorder="1" applyProtection="1">
      <protection hidden="1"/>
    </xf>
    <xf numFmtId="167" fontId="64" fillId="0" borderId="23" xfId="0" applyNumberFormat="1" applyFont="1" applyBorder="1" applyProtection="1">
      <protection hidden="1"/>
    </xf>
    <xf numFmtId="0" fontId="90" fillId="23" borderId="11" xfId="0" applyFont="1" applyFill="1" applyBorder="1" applyProtection="1">
      <protection hidden="1"/>
    </xf>
    <xf numFmtId="0" fontId="90" fillId="23" borderId="24" xfId="0" applyFont="1" applyFill="1" applyBorder="1" applyProtection="1">
      <protection hidden="1"/>
    </xf>
    <xf numFmtId="0" fontId="90" fillId="0" borderId="14" xfId="0" applyFont="1" applyBorder="1" applyProtection="1">
      <protection hidden="1"/>
    </xf>
    <xf numFmtId="165" fontId="90" fillId="0" borderId="0" xfId="9" applyNumberFormat="1" applyFont="1" applyProtection="1">
      <protection hidden="1"/>
    </xf>
    <xf numFmtId="167" fontId="90" fillId="0" borderId="0" xfId="0" applyNumberFormat="1" applyFont="1" applyProtection="1">
      <protection hidden="1"/>
    </xf>
    <xf numFmtId="10" fontId="90" fillId="0" borderId="0" xfId="0" applyNumberFormat="1" applyFont="1" applyProtection="1">
      <protection hidden="1"/>
    </xf>
    <xf numFmtId="10" fontId="90" fillId="0" borderId="14" xfId="0" applyNumberFormat="1" applyFont="1" applyBorder="1" applyProtection="1">
      <protection hidden="1"/>
    </xf>
    <xf numFmtId="44" fontId="90" fillId="0" borderId="0" xfId="0" applyNumberFormat="1" applyFont="1" applyProtection="1">
      <protection hidden="1"/>
    </xf>
    <xf numFmtId="0" fontId="150" fillId="0" borderId="19" xfId="0" applyFont="1" applyBorder="1" applyProtection="1">
      <protection hidden="1"/>
    </xf>
    <xf numFmtId="167" fontId="150" fillId="0" borderId="19" xfId="0" applyNumberFormat="1" applyFont="1" applyBorder="1" applyProtection="1">
      <protection hidden="1"/>
    </xf>
    <xf numFmtId="10" fontId="150" fillId="0" borderId="22" xfId="0" applyNumberFormat="1" applyFont="1" applyBorder="1" applyProtection="1">
      <protection hidden="1"/>
    </xf>
    <xf numFmtId="0" fontId="150" fillId="0" borderId="0" xfId="0" applyFont="1" applyProtection="1">
      <protection hidden="1"/>
    </xf>
    <xf numFmtId="10" fontId="150" fillId="0" borderId="0" xfId="0" applyNumberFormat="1" applyFont="1" applyProtection="1">
      <protection hidden="1"/>
    </xf>
    <xf numFmtId="0" fontId="90" fillId="0" borderId="17" xfId="0" applyFont="1" applyBorder="1" applyProtection="1">
      <protection hidden="1"/>
    </xf>
    <xf numFmtId="0" fontId="150" fillId="0" borderId="17" xfId="0" applyFont="1" applyBorder="1" applyProtection="1">
      <protection hidden="1"/>
    </xf>
    <xf numFmtId="10" fontId="150" fillId="0" borderId="17" xfId="0" applyNumberFormat="1" applyFont="1" applyBorder="1" applyProtection="1">
      <protection hidden="1"/>
    </xf>
    <xf numFmtId="0" fontId="90" fillId="0" borderId="23" xfId="0" applyFont="1" applyBorder="1" applyProtection="1">
      <protection hidden="1"/>
    </xf>
    <xf numFmtId="2" fontId="90" fillId="0" borderId="24" xfId="0" applyNumberFormat="1" applyFont="1" applyBorder="1" applyAlignment="1" applyProtection="1">
      <alignment vertical="center"/>
      <protection hidden="1"/>
    </xf>
    <xf numFmtId="0" fontId="90" fillId="0" borderId="29" xfId="0" applyFont="1" applyBorder="1" applyAlignment="1" applyProtection="1">
      <alignment vertical="center"/>
      <protection hidden="1"/>
    </xf>
    <xf numFmtId="2" fontId="90" fillId="0" borderId="0" xfId="0" applyNumberFormat="1" applyFont="1" applyAlignment="1" applyProtection="1">
      <alignment vertical="center"/>
      <protection hidden="1"/>
    </xf>
    <xf numFmtId="0" fontId="90" fillId="0" borderId="28" xfId="0" applyFont="1" applyBorder="1" applyProtection="1">
      <protection hidden="1"/>
    </xf>
    <xf numFmtId="0" fontId="148" fillId="0" borderId="0" xfId="0" applyFont="1" applyProtection="1">
      <protection hidden="1"/>
    </xf>
    <xf numFmtId="0" fontId="64" fillId="0" borderId="0" xfId="0" applyFont="1" applyAlignment="1" applyProtection="1">
      <alignment horizontal="left" wrapText="1"/>
      <protection hidden="1"/>
    </xf>
    <xf numFmtId="167" fontId="64" fillId="0" borderId="0" xfId="0" applyNumberFormat="1" applyFont="1" applyProtection="1">
      <protection hidden="1"/>
    </xf>
    <xf numFmtId="182" fontId="64" fillId="3" borderId="24" xfId="0" applyNumberFormat="1" applyFont="1" applyFill="1" applyBorder="1" applyProtection="1">
      <protection hidden="1"/>
    </xf>
    <xf numFmtId="0" fontId="64" fillId="21" borderId="22" xfId="0" applyFont="1" applyFill="1" applyBorder="1" applyProtection="1">
      <protection hidden="1"/>
    </xf>
    <xf numFmtId="49" fontId="64" fillId="21" borderId="14" xfId="0" applyNumberFormat="1" applyFont="1" applyFill="1" applyBorder="1" applyProtection="1">
      <protection hidden="1"/>
    </xf>
    <xf numFmtId="49" fontId="64" fillId="21" borderId="23" xfId="0" applyNumberFormat="1" applyFont="1" applyFill="1" applyBorder="1" applyProtection="1">
      <protection hidden="1"/>
    </xf>
    <xf numFmtId="0" fontId="96" fillId="21" borderId="19" xfId="0" applyFont="1" applyFill="1" applyBorder="1" applyProtection="1">
      <protection hidden="1"/>
    </xf>
    <xf numFmtId="205" fontId="64" fillId="21" borderId="0" xfId="0" applyNumberFormat="1" applyFont="1" applyFill="1" applyProtection="1">
      <protection hidden="1"/>
    </xf>
    <xf numFmtId="0" fontId="64" fillId="21" borderId="14" xfId="0" applyFont="1" applyFill="1" applyBorder="1" applyProtection="1">
      <protection hidden="1"/>
    </xf>
    <xf numFmtId="0" fontId="64" fillId="21" borderId="17" xfId="0" applyFont="1" applyFill="1" applyBorder="1" applyProtection="1">
      <protection hidden="1"/>
    </xf>
    <xf numFmtId="194" fontId="64" fillId="21" borderId="23" xfId="0" applyNumberFormat="1" applyFont="1" applyFill="1" applyBorder="1" applyProtection="1">
      <protection hidden="1"/>
    </xf>
    <xf numFmtId="0" fontId="96" fillId="0" borderId="19" xfId="0" applyFont="1" applyBorder="1" applyProtection="1">
      <protection hidden="1"/>
    </xf>
    <xf numFmtId="194" fontId="96" fillId="0" borderId="22" xfId="0" applyNumberFormat="1" applyFont="1" applyBorder="1" applyProtection="1">
      <protection hidden="1"/>
    </xf>
    <xf numFmtId="0" fontId="140" fillId="0" borderId="20" xfId="0" applyFont="1" applyBorder="1" applyAlignment="1">
      <alignment vertical="top" wrapText="1"/>
    </xf>
    <xf numFmtId="0" fontId="76" fillId="0" borderId="0" xfId="0" applyFont="1" applyAlignment="1" applyProtection="1">
      <alignment vertical="center" wrapText="1"/>
      <protection hidden="1"/>
    </xf>
    <xf numFmtId="178" fontId="96" fillId="0" borderId="0" xfId="0" applyNumberFormat="1" applyFont="1" applyProtection="1">
      <protection hidden="1"/>
    </xf>
    <xf numFmtId="178" fontId="64" fillId="0" borderId="0" xfId="0" applyNumberFormat="1" applyFont="1" applyProtection="1">
      <protection hidden="1"/>
    </xf>
    <xf numFmtId="169" fontId="64" fillId="0" borderId="0" xfId="0" applyNumberFormat="1" applyFont="1" applyProtection="1">
      <protection hidden="1"/>
    </xf>
    <xf numFmtId="169" fontId="64" fillId="0" borderId="0" xfId="0" applyNumberFormat="1" applyFont="1" applyAlignment="1" applyProtection="1">
      <alignment horizontal="right"/>
      <protection hidden="1"/>
    </xf>
    <xf numFmtId="0" fontId="64" fillId="2" borderId="22" xfId="0" applyFont="1" applyFill="1" applyBorder="1" applyProtection="1">
      <protection hidden="1"/>
    </xf>
    <xf numFmtId="0" fontId="64" fillId="32" borderId="11" xfId="0" applyFont="1" applyFill="1" applyBorder="1" applyProtection="1">
      <protection hidden="1"/>
    </xf>
    <xf numFmtId="10" fontId="64" fillId="0" borderId="18" xfId="0" applyNumberFormat="1" applyFont="1" applyBorder="1" applyProtection="1">
      <protection hidden="1"/>
    </xf>
    <xf numFmtId="0" fontId="64" fillId="2" borderId="26" xfId="0" applyFont="1" applyFill="1" applyBorder="1" applyProtection="1">
      <protection hidden="1"/>
    </xf>
    <xf numFmtId="0" fontId="64" fillId="32" borderId="0" xfId="0" applyFont="1" applyFill="1" applyProtection="1">
      <protection hidden="1"/>
    </xf>
    <xf numFmtId="0" fontId="64" fillId="2" borderId="18" xfId="0" applyFont="1" applyFill="1" applyBorder="1" applyProtection="1">
      <protection hidden="1"/>
    </xf>
    <xf numFmtId="0" fontId="64" fillId="0" borderId="18" xfId="0" applyFont="1" applyBorder="1" applyProtection="1">
      <protection hidden="1"/>
    </xf>
    <xf numFmtId="0" fontId="64" fillId="0" borderId="22" xfId="0" applyFont="1" applyBorder="1" applyAlignment="1" applyProtection="1">
      <alignment wrapText="1"/>
      <protection hidden="1"/>
    </xf>
    <xf numFmtId="0" fontId="64" fillId="0" borderId="14" xfId="0" applyFont="1" applyBorder="1" applyAlignment="1" applyProtection="1">
      <alignment wrapText="1"/>
      <protection hidden="1"/>
    </xf>
    <xf numFmtId="44" fontId="64" fillId="0" borderId="26" xfId="0" applyNumberFormat="1" applyFont="1" applyBorder="1" applyProtection="1">
      <protection hidden="1"/>
    </xf>
    <xf numFmtId="0" fontId="64" fillId="2" borderId="17" xfId="0" applyFont="1" applyFill="1" applyBorder="1" applyProtection="1">
      <protection hidden="1"/>
    </xf>
    <xf numFmtId="0" fontId="64" fillId="19" borderId="19" xfId="0" applyFont="1" applyFill="1" applyBorder="1" applyProtection="1">
      <protection hidden="1"/>
    </xf>
    <xf numFmtId="0" fontId="64" fillId="19" borderId="22" xfId="0" applyFont="1" applyFill="1" applyBorder="1" applyProtection="1">
      <protection hidden="1"/>
    </xf>
    <xf numFmtId="0" fontId="64" fillId="19" borderId="17" xfId="0" applyFont="1" applyFill="1" applyBorder="1" applyProtection="1">
      <protection hidden="1"/>
    </xf>
    <xf numFmtId="0" fontId="64" fillId="19" borderId="23" xfId="0" applyFont="1" applyFill="1" applyBorder="1" applyProtection="1">
      <protection hidden="1"/>
    </xf>
    <xf numFmtId="0" fontId="64" fillId="19" borderId="0" xfId="0" applyFont="1" applyFill="1" applyProtection="1">
      <protection hidden="1"/>
    </xf>
    <xf numFmtId="0" fontId="64" fillId="19" borderId="0" xfId="0" applyFont="1" applyFill="1" applyAlignment="1" applyProtection="1">
      <alignment vertical="center"/>
      <protection hidden="1"/>
    </xf>
    <xf numFmtId="0" fontId="64" fillId="19" borderId="14" xfId="0" applyFont="1" applyFill="1" applyBorder="1" applyProtection="1">
      <protection hidden="1"/>
    </xf>
    <xf numFmtId="0" fontId="64" fillId="19" borderId="11" xfId="0" applyFont="1" applyFill="1" applyBorder="1" applyProtection="1">
      <protection hidden="1"/>
    </xf>
    <xf numFmtId="0" fontId="64" fillId="19" borderId="19" xfId="0" applyFont="1" applyFill="1" applyBorder="1" applyAlignment="1" applyProtection="1">
      <alignment vertical="center"/>
      <protection hidden="1"/>
    </xf>
    <xf numFmtId="0" fontId="64" fillId="19" borderId="24" xfId="0" applyFont="1" applyFill="1" applyBorder="1" applyProtection="1">
      <protection hidden="1"/>
    </xf>
    <xf numFmtId="0" fontId="107" fillId="19" borderId="19" xfId="0" applyFont="1" applyFill="1" applyBorder="1" applyAlignment="1" applyProtection="1">
      <alignment horizontal="left" vertical="center"/>
      <protection hidden="1"/>
    </xf>
    <xf numFmtId="0" fontId="66" fillId="19" borderId="17" xfId="0" applyFont="1" applyFill="1" applyBorder="1" applyProtection="1">
      <protection hidden="1"/>
    </xf>
    <xf numFmtId="0" fontId="64" fillId="36" borderId="0" xfId="0" applyFont="1" applyFill="1" applyProtection="1">
      <protection hidden="1"/>
    </xf>
    <xf numFmtId="186" fontId="64" fillId="0" borderId="0" xfId="0" applyNumberFormat="1" applyFont="1" applyProtection="1">
      <protection hidden="1"/>
    </xf>
    <xf numFmtId="0" fontId="151" fillId="0" borderId="0" xfId="20" applyFont="1" applyFill="1" applyBorder="1" applyAlignment="1" applyProtection="1">
      <alignment horizontal="center" vertical="center"/>
      <protection hidden="1"/>
    </xf>
    <xf numFmtId="10" fontId="90" fillId="0" borderId="26" xfId="0" applyNumberFormat="1" applyFont="1" applyBorder="1" applyProtection="1">
      <protection hidden="1"/>
    </xf>
    <xf numFmtId="0" fontId="64" fillId="34" borderId="0" xfId="0" applyFont="1" applyFill="1" applyAlignment="1" applyProtection="1">
      <alignment vertical="center"/>
      <protection hidden="1"/>
    </xf>
    <xf numFmtId="0" fontId="64" fillId="34" borderId="0" xfId="0" applyFont="1" applyFill="1" applyProtection="1">
      <protection hidden="1"/>
    </xf>
    <xf numFmtId="0" fontId="64" fillId="3" borderId="22" xfId="0" applyFont="1" applyFill="1" applyBorder="1" applyProtection="1">
      <protection hidden="1"/>
    </xf>
    <xf numFmtId="0" fontId="64" fillId="37" borderId="11" xfId="0" applyFont="1" applyFill="1" applyBorder="1" applyProtection="1">
      <protection hidden="1"/>
    </xf>
    <xf numFmtId="0" fontId="64" fillId="37" borderId="24" xfId="0" applyFont="1" applyFill="1" applyBorder="1" applyProtection="1">
      <protection hidden="1"/>
    </xf>
    <xf numFmtId="0" fontId="64" fillId="37" borderId="0" xfId="0" applyFont="1" applyFill="1" applyProtection="1">
      <protection hidden="1"/>
    </xf>
    <xf numFmtId="0" fontId="64" fillId="37" borderId="14" xfId="0" applyFont="1" applyFill="1" applyBorder="1" applyProtection="1">
      <protection hidden="1"/>
    </xf>
    <xf numFmtId="0" fontId="64" fillId="37" borderId="0" xfId="0" applyFont="1" applyFill="1" applyAlignment="1" applyProtection="1">
      <alignment vertical="center"/>
      <protection hidden="1"/>
    </xf>
    <xf numFmtId="0" fontId="140" fillId="37" borderId="0" xfId="0" applyFont="1" applyFill="1" applyAlignment="1" applyProtection="1">
      <alignment vertical="center"/>
      <protection hidden="1"/>
    </xf>
    <xf numFmtId="0" fontId="64" fillId="37" borderId="17" xfId="0" applyFont="1" applyFill="1" applyBorder="1" applyProtection="1">
      <protection hidden="1"/>
    </xf>
    <xf numFmtId="0" fontId="64" fillId="37" borderId="23" xfId="0" applyFont="1" applyFill="1" applyBorder="1" applyProtection="1">
      <protection hidden="1"/>
    </xf>
    <xf numFmtId="0" fontId="64" fillId="3" borderId="29" xfId="0" applyFont="1" applyFill="1" applyBorder="1" applyProtection="1">
      <protection hidden="1"/>
    </xf>
    <xf numFmtId="0" fontId="64" fillId="3" borderId="27" xfId="0" applyFont="1" applyFill="1" applyBorder="1" applyProtection="1">
      <protection hidden="1"/>
    </xf>
    <xf numFmtId="0" fontId="64" fillId="3" borderId="14" xfId="0" applyFont="1" applyFill="1" applyBorder="1" applyProtection="1">
      <protection hidden="1"/>
    </xf>
    <xf numFmtId="0" fontId="64" fillId="3" borderId="24" xfId="0" applyFont="1" applyFill="1" applyBorder="1" applyProtection="1">
      <protection hidden="1"/>
    </xf>
    <xf numFmtId="0" fontId="96" fillId="24" borderId="11" xfId="0" applyFont="1" applyFill="1" applyBorder="1" applyProtection="1">
      <protection hidden="1"/>
    </xf>
    <xf numFmtId="0" fontId="96" fillId="24" borderId="24" xfId="0" applyFont="1" applyFill="1" applyBorder="1" applyProtection="1">
      <protection hidden="1"/>
    </xf>
    <xf numFmtId="0" fontId="64" fillId="3" borderId="17" xfId="0" applyFont="1" applyFill="1" applyBorder="1" applyProtection="1">
      <protection hidden="1"/>
    </xf>
    <xf numFmtId="0" fontId="64" fillId="3" borderId="28" xfId="0" applyFont="1" applyFill="1" applyBorder="1" applyProtection="1">
      <protection hidden="1"/>
    </xf>
    <xf numFmtId="0" fontId="140" fillId="0" borderId="11" xfId="0" applyFont="1" applyBorder="1" applyAlignment="1" applyProtection="1">
      <alignment vertical="top"/>
      <protection hidden="1"/>
    </xf>
    <xf numFmtId="0" fontId="70" fillId="0" borderId="0" xfId="0" applyFont="1" applyAlignment="1" applyProtection="1">
      <alignment vertical="center"/>
      <protection hidden="1"/>
    </xf>
    <xf numFmtId="0" fontId="70" fillId="0" borderId="0" xfId="0" applyFont="1" applyAlignment="1" applyProtection="1">
      <alignment wrapText="1"/>
      <protection hidden="1"/>
    </xf>
    <xf numFmtId="49" fontId="71" fillId="3" borderId="19" xfId="0" applyNumberFormat="1" applyFont="1" applyFill="1" applyBorder="1" applyAlignment="1" applyProtection="1">
      <alignment horizontal="center" vertical="center" wrapText="1"/>
      <protection locked="0"/>
    </xf>
    <xf numFmtId="205" fontId="14" fillId="3" borderId="26" xfId="0" applyNumberFormat="1" applyFont="1" applyFill="1" applyBorder="1" applyAlignment="1" applyProtection="1">
      <alignment horizontal="center" vertical="center"/>
      <protection locked="0"/>
    </xf>
    <xf numFmtId="0" fontId="23" fillId="0" borderId="20" xfId="0" applyFont="1" applyBorder="1" applyAlignment="1">
      <alignment horizontal="left" vertical="top" wrapText="1"/>
    </xf>
    <xf numFmtId="0" fontId="23" fillId="0" borderId="13" xfId="0" applyFont="1" applyBorder="1" applyAlignment="1">
      <alignment horizontal="left" vertical="top" wrapText="1"/>
    </xf>
    <xf numFmtId="49" fontId="23" fillId="3" borderId="20" xfId="0" applyNumberFormat="1" applyFont="1" applyFill="1" applyBorder="1" applyAlignment="1" applyProtection="1">
      <alignment horizontal="left" wrapText="1"/>
      <protection locked="0"/>
    </xf>
    <xf numFmtId="49" fontId="23" fillId="3" borderId="11" xfId="0" applyNumberFormat="1" applyFont="1" applyFill="1" applyBorder="1" applyAlignment="1" applyProtection="1">
      <alignment horizontal="left" wrapText="1"/>
      <protection locked="0"/>
    </xf>
    <xf numFmtId="49" fontId="23" fillId="3" borderId="13" xfId="0" applyNumberFormat="1" applyFont="1" applyFill="1" applyBorder="1" applyAlignment="1" applyProtection="1">
      <alignment horizontal="left" wrapText="1"/>
      <protection locked="0"/>
    </xf>
    <xf numFmtId="49" fontId="23" fillId="3" borderId="0" xfId="0" applyNumberFormat="1" applyFont="1" applyFill="1" applyAlignment="1" applyProtection="1">
      <alignment horizontal="left" wrapText="1"/>
      <protection locked="0"/>
    </xf>
    <xf numFmtId="49" fontId="23" fillId="3" borderId="21" xfId="0" applyNumberFormat="1" applyFont="1" applyFill="1" applyBorder="1" applyAlignment="1" applyProtection="1">
      <alignment horizontal="left" vertical="center"/>
      <protection locked="0"/>
    </xf>
    <xf numFmtId="49" fontId="23" fillId="3" borderId="17" xfId="0" applyNumberFormat="1" applyFont="1" applyFill="1" applyBorder="1" applyAlignment="1" applyProtection="1">
      <alignment horizontal="left" vertical="center"/>
      <protection locked="0"/>
    </xf>
    <xf numFmtId="49" fontId="23" fillId="3" borderId="23" xfId="0" applyNumberFormat="1" applyFont="1" applyFill="1" applyBorder="1" applyAlignment="1" applyProtection="1">
      <alignment horizontal="left" vertical="center"/>
      <protection locked="0"/>
    </xf>
    <xf numFmtId="0" fontId="14" fillId="0" borderId="20" xfId="0" applyFont="1" applyBorder="1" applyAlignment="1">
      <alignment horizontal="center" vertical="top" wrapText="1"/>
    </xf>
    <xf numFmtId="0" fontId="14" fillId="0" borderId="13" xfId="0" applyFont="1" applyBorder="1" applyAlignment="1">
      <alignment horizontal="center" vertical="top" wrapText="1"/>
    </xf>
    <xf numFmtId="0" fontId="14" fillId="0" borderId="53" xfId="0" applyFont="1" applyBorder="1" applyAlignment="1">
      <alignment horizontal="center" vertical="top" wrapText="1"/>
    </xf>
    <xf numFmtId="0" fontId="23" fillId="30" borderId="13" xfId="0" applyFont="1" applyFill="1" applyBorder="1" applyAlignment="1">
      <alignment horizontal="left" vertical="center"/>
    </xf>
    <xf numFmtId="0" fontId="23" fillId="30" borderId="0" xfId="0" applyFont="1" applyFill="1" applyAlignment="1">
      <alignment horizontal="left" vertical="center"/>
    </xf>
    <xf numFmtId="180" fontId="23" fillId="30" borderId="20" xfId="5" applyNumberFormat="1" applyFont="1" applyFill="1" applyBorder="1" applyAlignment="1" applyProtection="1">
      <alignment vertical="center"/>
    </xf>
    <xf numFmtId="180" fontId="23" fillId="30" borderId="24" xfId="5" applyNumberFormat="1" applyFont="1" applyFill="1" applyBorder="1" applyAlignment="1" applyProtection="1">
      <alignment vertical="center"/>
    </xf>
    <xf numFmtId="0" fontId="34" fillId="0" borderId="13" xfId="0" applyFont="1" applyBorder="1" applyAlignment="1">
      <alignment horizontal="left" vertical="center"/>
    </xf>
    <xf numFmtId="0" fontId="34" fillId="0" borderId="0" xfId="0" applyFont="1" applyAlignment="1">
      <alignment horizontal="left" vertical="center"/>
    </xf>
    <xf numFmtId="0" fontId="23" fillId="0" borderId="18" xfId="0" applyFont="1" applyBorder="1" applyAlignment="1">
      <alignment horizontal="left" vertical="center"/>
    </xf>
    <xf numFmtId="0" fontId="23" fillId="0" borderId="19" xfId="0" applyFont="1" applyBorder="1" applyAlignment="1">
      <alignment horizontal="left" vertical="center"/>
    </xf>
    <xf numFmtId="0" fontId="23" fillId="0" borderId="22" xfId="0" applyFont="1" applyBorder="1" applyAlignment="1">
      <alignment horizontal="left" vertical="center"/>
    </xf>
    <xf numFmtId="49" fontId="23" fillId="3" borderId="18" xfId="0" applyNumberFormat="1" applyFont="1" applyFill="1" applyBorder="1" applyAlignment="1" applyProtection="1">
      <alignment horizontal="left" vertical="center"/>
      <protection locked="0"/>
    </xf>
    <xf numFmtId="49" fontId="23" fillId="3" borderId="19" xfId="0" applyNumberFormat="1" applyFont="1" applyFill="1" applyBorder="1" applyAlignment="1" applyProtection="1">
      <alignment horizontal="left" vertical="center"/>
      <protection locked="0"/>
    </xf>
    <xf numFmtId="49" fontId="23" fillId="3" borderId="22" xfId="0" applyNumberFormat="1" applyFont="1" applyFill="1" applyBorder="1" applyAlignment="1" applyProtection="1">
      <alignment horizontal="left" vertical="center"/>
      <protection locked="0"/>
    </xf>
    <xf numFmtId="0" fontId="23" fillId="0" borderId="20" xfId="0" applyFont="1" applyBorder="1" applyAlignment="1">
      <alignment vertical="center" wrapText="1"/>
    </xf>
    <xf numFmtId="0" fontId="23" fillId="0" borderId="11" xfId="0" applyFont="1" applyBorder="1" applyAlignment="1">
      <alignment vertical="center" wrapText="1"/>
    </xf>
    <xf numFmtId="0" fontId="27" fillId="0" borderId="18" xfId="0" applyFont="1" applyBorder="1" applyAlignment="1">
      <alignment horizontal="left" vertical="center"/>
    </xf>
    <xf numFmtId="0" fontId="27" fillId="0" borderId="19" xfId="0" applyFont="1" applyBorder="1" applyAlignment="1">
      <alignment horizontal="left" vertical="center"/>
    </xf>
    <xf numFmtId="0" fontId="27" fillId="0" borderId="21" xfId="0" applyFont="1" applyBorder="1" applyAlignment="1">
      <alignment horizontal="left" vertical="center"/>
    </xf>
    <xf numFmtId="0" fontId="27" fillId="0" borderId="17" xfId="0" applyFont="1" applyBorder="1" applyAlignment="1">
      <alignment horizontal="left" vertical="center"/>
    </xf>
    <xf numFmtId="0" fontId="27" fillId="0" borderId="23" xfId="0" applyFont="1" applyBorder="1" applyAlignment="1">
      <alignment horizontal="left" vertical="center"/>
    </xf>
    <xf numFmtId="49" fontId="27" fillId="13" borderId="18" xfId="0" applyNumberFormat="1" applyFont="1" applyFill="1" applyBorder="1" applyAlignment="1" applyProtection="1">
      <alignment horizontal="center" vertical="top" wrapText="1"/>
      <protection locked="0"/>
    </xf>
    <xf numFmtId="49" fontId="27" fillId="13" borderId="22" xfId="0" applyNumberFormat="1" applyFont="1" applyFill="1" applyBorder="1" applyAlignment="1" applyProtection="1">
      <alignment horizontal="center" vertical="top" wrapText="1"/>
      <protection locked="0"/>
    </xf>
    <xf numFmtId="0" fontId="23" fillId="0" borderId="20" xfId="0" applyFont="1" applyBorder="1" applyAlignment="1">
      <alignment horizontal="left" vertical="center" wrapText="1"/>
    </xf>
    <xf numFmtId="0" fontId="23" fillId="0" borderId="11" xfId="0" applyFont="1" applyBorder="1" applyAlignment="1">
      <alignment horizontal="left" vertical="center" wrapText="1"/>
    </xf>
    <xf numFmtId="0" fontId="23" fillId="0" borderId="13" xfId="0" applyFont="1" applyBorder="1" applyAlignment="1">
      <alignment horizontal="left" vertical="center" wrapText="1"/>
    </xf>
    <xf numFmtId="0" fontId="23" fillId="0" borderId="0" xfId="0" applyFont="1" applyAlignment="1">
      <alignment horizontal="left" vertical="center" wrapText="1"/>
    </xf>
    <xf numFmtId="0" fontId="23" fillId="0" borderId="21" xfId="0" applyFont="1" applyBorder="1" applyAlignment="1">
      <alignment horizontal="left" vertical="center" wrapText="1"/>
    </xf>
    <xf numFmtId="0" fontId="23" fillId="0" borderId="17" xfId="0" applyFont="1" applyBorder="1" applyAlignment="1">
      <alignment horizontal="left" vertical="center" wrapText="1"/>
    </xf>
    <xf numFmtId="49" fontId="23" fillId="13" borderId="20" xfId="0" applyNumberFormat="1" applyFont="1" applyFill="1" applyBorder="1" applyAlignment="1" applyProtection="1">
      <alignment horizontal="left" vertical="center" wrapText="1"/>
      <protection locked="0"/>
    </xf>
    <xf numFmtId="49" fontId="23" fillId="13" borderId="11" xfId="0" applyNumberFormat="1" applyFont="1" applyFill="1" applyBorder="1" applyAlignment="1" applyProtection="1">
      <alignment horizontal="left" vertical="center" wrapText="1"/>
      <protection locked="0"/>
    </xf>
    <xf numFmtId="49" fontId="23" fillId="13" borderId="13" xfId="0" applyNumberFormat="1" applyFont="1" applyFill="1" applyBorder="1" applyAlignment="1" applyProtection="1">
      <alignment horizontal="left" vertical="center" wrapText="1"/>
      <protection locked="0"/>
    </xf>
    <xf numFmtId="49" fontId="23" fillId="13" borderId="0" xfId="0" applyNumberFormat="1" applyFont="1" applyFill="1" applyAlignment="1" applyProtection="1">
      <alignment horizontal="left" vertical="center" wrapText="1"/>
      <protection locked="0"/>
    </xf>
    <xf numFmtId="49" fontId="23" fillId="13" borderId="21" xfId="0" applyNumberFormat="1" applyFont="1" applyFill="1" applyBorder="1" applyAlignment="1" applyProtection="1">
      <alignment horizontal="left" vertical="center" wrapText="1"/>
      <protection locked="0"/>
    </xf>
    <xf numFmtId="49" fontId="23" fillId="13" borderId="17" xfId="0" applyNumberFormat="1" applyFont="1" applyFill="1" applyBorder="1" applyAlignment="1" applyProtection="1">
      <alignment horizontal="left" vertical="center" wrapText="1"/>
      <protection locked="0"/>
    </xf>
    <xf numFmtId="0" fontId="106" fillId="0" borderId="20" xfId="0" applyFont="1" applyBorder="1" applyAlignment="1">
      <alignment horizontal="left" vertical="center" wrapText="1"/>
    </xf>
    <xf numFmtId="0" fontId="106" fillId="0" borderId="11" xfId="0" applyFont="1" applyBorder="1" applyAlignment="1">
      <alignment horizontal="left" vertical="center" wrapText="1"/>
    </xf>
    <xf numFmtId="0" fontId="106" fillId="0" borderId="13" xfId="0" applyFont="1" applyBorder="1" applyAlignment="1">
      <alignment horizontal="left" vertical="center" wrapText="1"/>
    </xf>
    <xf numFmtId="0" fontId="106" fillId="0" borderId="0" xfId="0" applyFont="1" applyAlignment="1">
      <alignment horizontal="left" vertical="center" wrapText="1"/>
    </xf>
    <xf numFmtId="0" fontId="106" fillId="0" borderId="21" xfId="0" applyFont="1" applyBorder="1" applyAlignment="1">
      <alignment horizontal="left" vertical="center" wrapText="1"/>
    </xf>
    <xf numFmtId="0" fontId="106" fillId="0" borderId="17" xfId="0" applyFont="1" applyBorder="1" applyAlignment="1">
      <alignment horizontal="left" vertical="center" wrapText="1"/>
    </xf>
    <xf numFmtId="0" fontId="99" fillId="0" borderId="0" xfId="0" applyFont="1" applyAlignment="1">
      <alignment horizontal="left" vertical="center" wrapText="1"/>
    </xf>
    <xf numFmtId="0" fontId="99" fillId="0" borderId="14" xfId="0" applyFont="1" applyBorder="1" applyAlignment="1">
      <alignment horizontal="left" vertical="center" wrapText="1"/>
    </xf>
    <xf numFmtId="0" fontId="27" fillId="4" borderId="18" xfId="0" applyFont="1" applyFill="1" applyBorder="1" applyAlignment="1">
      <alignment horizontal="left" vertical="center"/>
    </xf>
    <xf numFmtId="0" fontId="27" fillId="4" borderId="19" xfId="0" applyFont="1" applyFill="1" applyBorder="1" applyAlignment="1">
      <alignment horizontal="left" vertical="center"/>
    </xf>
    <xf numFmtId="0" fontId="27" fillId="4" borderId="22" xfId="0" applyFont="1" applyFill="1" applyBorder="1" applyAlignment="1">
      <alignment horizontal="left" vertical="center"/>
    </xf>
    <xf numFmtId="0" fontId="23" fillId="0" borderId="19" xfId="0" applyFont="1" applyBorder="1" applyAlignment="1">
      <alignment horizontal="right" vertical="center"/>
    </xf>
    <xf numFmtId="0" fontId="23" fillId="0" borderId="22" xfId="0" applyFont="1" applyBorder="1" applyAlignment="1">
      <alignment horizontal="right" vertical="center"/>
    </xf>
    <xf numFmtId="0" fontId="22" fillId="0" borderId="20" xfId="0" applyFont="1" applyBorder="1" applyAlignment="1">
      <alignment horizontal="right" vertical="center"/>
    </xf>
    <xf numFmtId="0" fontId="22" fillId="0" borderId="11" xfId="0" applyFont="1" applyBorder="1" applyAlignment="1">
      <alignment horizontal="right" vertical="center"/>
    </xf>
    <xf numFmtId="0" fontId="43" fillId="0" borderId="0" xfId="0" applyFont="1" applyAlignment="1">
      <alignment horizontal="left" vertical="center"/>
    </xf>
    <xf numFmtId="0" fontId="43" fillId="0" borderId="14" xfId="0" applyFont="1" applyBorder="1" applyAlignment="1">
      <alignment horizontal="left" vertical="center"/>
    </xf>
    <xf numFmtId="0" fontId="43" fillId="0" borderId="0" xfId="0" applyFont="1" applyAlignment="1">
      <alignment horizontal="left" vertical="center" wrapText="1"/>
    </xf>
    <xf numFmtId="0" fontId="43" fillId="0" borderId="14" xfId="0" applyFont="1" applyBorder="1" applyAlignment="1">
      <alignment horizontal="left" vertical="center" wrapText="1"/>
    </xf>
    <xf numFmtId="0" fontId="27" fillId="0" borderId="20" xfId="15" applyNumberFormat="1" applyFont="1" applyBorder="1" applyAlignment="1">
      <alignment horizontal="left" vertical="center"/>
    </xf>
    <xf numFmtId="0" fontId="27" fillId="0" borderId="11" xfId="15" applyNumberFormat="1" applyFont="1" applyBorder="1" applyAlignment="1">
      <alignment horizontal="left" vertical="center"/>
    </xf>
    <xf numFmtId="0" fontId="27" fillId="0" borderId="0" xfId="15" applyNumberFormat="1" applyFont="1" applyBorder="1" applyAlignment="1">
      <alignment horizontal="left" vertical="center"/>
    </xf>
    <xf numFmtId="0" fontId="104" fillId="0" borderId="0" xfId="0" applyFont="1" applyAlignment="1">
      <alignment horizontal="left" wrapText="1"/>
    </xf>
    <xf numFmtId="0" fontId="104" fillId="0" borderId="14" xfId="0" applyFont="1" applyBorder="1" applyAlignment="1">
      <alignment horizontal="left" wrapText="1"/>
    </xf>
    <xf numFmtId="49" fontId="23" fillId="3" borderId="84" xfId="0" applyNumberFormat="1" applyFont="1" applyFill="1" applyBorder="1" applyAlignment="1" applyProtection="1">
      <alignment horizontal="left" vertical="center" wrapText="1"/>
      <protection locked="0"/>
    </xf>
    <xf numFmtId="49" fontId="23" fillId="3" borderId="85" xfId="0" applyNumberFormat="1" applyFont="1" applyFill="1" applyBorder="1" applyAlignment="1" applyProtection="1">
      <alignment horizontal="left" vertical="center" wrapText="1"/>
      <protection locked="0"/>
    </xf>
    <xf numFmtId="167" fontId="27" fillId="0" borderId="20" xfId="0" applyNumberFormat="1" applyFont="1" applyBorder="1" applyAlignment="1">
      <alignment horizontal="left" vertical="center"/>
    </xf>
    <xf numFmtId="167" fontId="27" fillId="0" borderId="24" xfId="0" applyNumberFormat="1" applyFont="1" applyBorder="1" applyAlignment="1">
      <alignment horizontal="left" vertical="center"/>
    </xf>
    <xf numFmtId="0" fontId="134" fillId="17" borderId="0" xfId="0" applyFont="1" applyFill="1" applyAlignment="1">
      <alignment horizontal="left" vertical="center"/>
    </xf>
    <xf numFmtId="0" fontId="27" fillId="0" borderId="20" xfId="0" applyFont="1" applyBorder="1" applyAlignment="1">
      <alignment horizontal="left" vertical="center" wrapText="1"/>
    </xf>
    <xf numFmtId="0" fontId="27" fillId="0" borderId="11" xfId="0" applyFont="1" applyBorder="1" applyAlignment="1">
      <alignment horizontal="left" vertical="center" wrapText="1"/>
    </xf>
    <xf numFmtId="0" fontId="27" fillId="0" borderId="13" xfId="0" applyFont="1" applyBorder="1" applyAlignment="1">
      <alignment horizontal="left" vertical="center" wrapText="1"/>
    </xf>
    <xf numFmtId="0" fontId="27" fillId="0" borderId="0" xfId="0" applyFont="1" applyAlignment="1">
      <alignment horizontal="left" vertical="center" wrapText="1"/>
    </xf>
    <xf numFmtId="0" fontId="27" fillId="0" borderId="21" xfId="0" applyFont="1" applyBorder="1" applyAlignment="1">
      <alignment horizontal="left" vertical="center" wrapText="1"/>
    </xf>
    <xf numFmtId="0" fontId="27" fillId="0" borderId="17" xfId="0" applyFont="1" applyBorder="1" applyAlignment="1">
      <alignment horizontal="left" vertical="center" wrapText="1"/>
    </xf>
    <xf numFmtId="0" fontId="14" fillId="0" borderId="29" xfId="0" applyFont="1" applyBorder="1" applyAlignment="1">
      <alignment horizontal="center" vertical="top" wrapText="1"/>
    </xf>
    <xf numFmtId="0" fontId="14" fillId="0" borderId="27" xfId="0" applyFont="1" applyBorder="1" applyAlignment="1">
      <alignment horizontal="center" vertical="top" wrapText="1"/>
    </xf>
    <xf numFmtId="0" fontId="14" fillId="0" borderId="56" xfId="0" applyFont="1" applyBorder="1" applyAlignment="1">
      <alignment horizontal="center" vertical="top" wrapText="1"/>
    </xf>
    <xf numFmtId="0" fontId="14" fillId="0" borderId="20" xfId="0" applyFont="1" applyBorder="1" applyAlignment="1">
      <alignment vertical="top" wrapText="1"/>
    </xf>
    <xf numFmtId="0" fontId="15" fillId="0" borderId="11" xfId="0" applyFont="1" applyBorder="1" applyAlignment="1">
      <alignment vertical="top" wrapText="1"/>
    </xf>
    <xf numFmtId="0" fontId="15" fillId="0" borderId="24" xfId="0" applyFont="1" applyBorder="1" applyAlignment="1">
      <alignment vertical="top" wrapText="1"/>
    </xf>
    <xf numFmtId="0" fontId="15" fillId="0" borderId="13" xfId="0" applyFont="1" applyBorder="1" applyAlignment="1">
      <alignment vertical="top" wrapText="1"/>
    </xf>
    <xf numFmtId="0" fontId="15" fillId="0" borderId="0" xfId="0" applyFont="1" applyAlignment="1">
      <alignment vertical="top" wrapText="1"/>
    </xf>
    <xf numFmtId="0" fontId="15" fillId="0" borderId="14" xfId="0" applyFont="1" applyBorder="1" applyAlignment="1">
      <alignment vertical="top" wrapText="1"/>
    </xf>
    <xf numFmtId="0" fontId="15" fillId="0" borderId="53" xfId="0" applyFont="1" applyBorder="1" applyAlignment="1">
      <alignment vertical="top" wrapText="1"/>
    </xf>
    <xf numFmtId="0" fontId="15" fillId="0" borderId="54" xfId="0" applyFont="1" applyBorder="1" applyAlignment="1">
      <alignment vertical="top" wrapText="1"/>
    </xf>
    <xf numFmtId="0" fontId="15" fillId="0" borderId="55" xfId="0" applyFont="1" applyBorder="1" applyAlignment="1">
      <alignment vertical="top" wrapText="1"/>
    </xf>
    <xf numFmtId="0" fontId="27" fillId="0" borderId="20" xfId="0" applyFont="1" applyBorder="1" applyAlignment="1">
      <alignment horizontal="left" vertical="center"/>
    </xf>
    <xf numFmtId="0" fontId="27" fillId="0" borderId="24" xfId="0" applyFont="1" applyBorder="1" applyAlignment="1">
      <alignment horizontal="left" vertical="center"/>
    </xf>
    <xf numFmtId="0" fontId="27" fillId="0" borderId="13" xfId="0" applyFont="1" applyBorder="1" applyAlignment="1">
      <alignment horizontal="center" vertical="center"/>
    </xf>
    <xf numFmtId="0" fontId="27" fillId="0" borderId="0" xfId="0" applyFont="1" applyAlignment="1">
      <alignment horizontal="center" vertical="center"/>
    </xf>
    <xf numFmtId="181" fontId="11" fillId="4" borderId="0" xfId="0" applyNumberFormat="1" applyFont="1" applyFill="1" applyAlignment="1">
      <alignment horizontal="center" vertical="center"/>
    </xf>
    <xf numFmtId="0" fontId="14" fillId="4" borderId="0" xfId="0" applyFont="1" applyFill="1" applyAlignment="1">
      <alignment horizontal="center" vertical="center"/>
    </xf>
    <xf numFmtId="49" fontId="23" fillId="3" borderId="25" xfId="0" applyNumberFormat="1" applyFont="1" applyFill="1" applyBorder="1" applyAlignment="1" applyProtection="1">
      <alignment horizontal="left" vertical="center"/>
      <protection locked="0"/>
    </xf>
    <xf numFmtId="49" fontId="23" fillId="3" borderId="9" xfId="0" applyNumberFormat="1" applyFont="1" applyFill="1" applyBorder="1" applyAlignment="1" applyProtection="1">
      <alignment horizontal="left" vertical="center"/>
      <protection locked="0"/>
    </xf>
    <xf numFmtId="49" fontId="23" fillId="3" borderId="15" xfId="0" applyNumberFormat="1" applyFont="1" applyFill="1" applyBorder="1" applyAlignment="1" applyProtection="1">
      <alignment horizontal="left" vertical="center"/>
      <protection locked="0"/>
    </xf>
    <xf numFmtId="0" fontId="27" fillId="0" borderId="20" xfId="0" applyFont="1" applyBorder="1" applyAlignment="1">
      <alignment horizontal="center" vertical="center"/>
    </xf>
    <xf numFmtId="0" fontId="27" fillId="0" borderId="11" xfId="0" applyFont="1" applyBorder="1" applyAlignment="1">
      <alignment horizontal="center" vertical="center"/>
    </xf>
    <xf numFmtId="0" fontId="27" fillId="0" borderId="24" xfId="0" applyFont="1" applyBorder="1" applyAlignment="1">
      <alignment horizontal="center" vertical="center"/>
    </xf>
    <xf numFmtId="0" fontId="27" fillId="0" borderId="14" xfId="0" applyFont="1" applyBorder="1" applyAlignment="1">
      <alignment horizontal="center" vertical="center"/>
    </xf>
    <xf numFmtId="0" fontId="23" fillId="0" borderId="21" xfId="0" applyFont="1" applyBorder="1" applyAlignment="1">
      <alignment horizontal="left" vertical="center"/>
    </xf>
    <xf numFmtId="0" fontId="23" fillId="0" borderId="17" xfId="0" applyFont="1" applyBorder="1" applyAlignment="1">
      <alignment horizontal="left" vertical="center"/>
    </xf>
    <xf numFmtId="0" fontId="67" fillId="4" borderId="13" xfId="0" applyFont="1" applyFill="1" applyBorder="1" applyAlignment="1">
      <alignment horizontal="left" vertical="center"/>
    </xf>
    <xf numFmtId="0" fontId="67" fillId="4" borderId="0" xfId="0" applyFont="1" applyFill="1" applyAlignment="1">
      <alignment horizontal="left" vertical="center"/>
    </xf>
    <xf numFmtId="0" fontId="23" fillId="0" borderId="20" xfId="0" applyFont="1" applyBorder="1" applyAlignment="1">
      <alignment horizontal="center" vertical="center"/>
    </xf>
    <xf numFmtId="0" fontId="23" fillId="0" borderId="24" xfId="0" applyFont="1" applyBorder="1" applyAlignment="1">
      <alignment horizontal="center" vertical="center"/>
    </xf>
    <xf numFmtId="0" fontId="99" fillId="0" borderId="0" xfId="0" applyFont="1" applyAlignment="1">
      <alignment horizontal="left" wrapText="1"/>
    </xf>
    <xf numFmtId="0" fontId="99" fillId="0" borderId="14" xfId="0" applyFont="1" applyBorder="1" applyAlignment="1">
      <alignment horizontal="left" wrapText="1"/>
    </xf>
    <xf numFmtId="0" fontId="99" fillId="0" borderId="0" xfId="0" applyFont="1" applyAlignment="1">
      <alignment horizontal="left" vertical="center"/>
    </xf>
    <xf numFmtId="0" fontId="99" fillId="0" borderId="14" xfId="0" applyFont="1" applyBorder="1" applyAlignment="1">
      <alignment horizontal="left" vertical="center"/>
    </xf>
    <xf numFmtId="0" fontId="104" fillId="0" borderId="0" xfId="0" applyFont="1" applyAlignment="1">
      <alignment horizontal="left" vertical="center" wrapText="1"/>
    </xf>
    <xf numFmtId="0" fontId="104" fillId="0" borderId="14" xfId="0" applyFont="1" applyBorder="1" applyAlignment="1">
      <alignment horizontal="left" vertical="center" wrapText="1"/>
    </xf>
    <xf numFmtId="0" fontId="23" fillId="29" borderId="21" xfId="0" applyFont="1" applyFill="1" applyBorder="1" applyAlignment="1">
      <alignment horizontal="left" vertical="center"/>
    </xf>
    <xf numFmtId="0" fontId="23" fillId="29" borderId="17" xfId="0" applyFont="1" applyFill="1" applyBorder="1" applyAlignment="1">
      <alignment horizontal="left" vertical="center"/>
    </xf>
    <xf numFmtId="0" fontId="23" fillId="29" borderId="23" xfId="0" applyFont="1" applyFill="1" applyBorder="1" applyAlignment="1">
      <alignment horizontal="left" vertical="center"/>
    </xf>
    <xf numFmtId="0" fontId="23" fillId="0" borderId="18" xfId="0" applyFont="1" applyBorder="1" applyAlignment="1">
      <alignment horizontal="left" vertical="center" wrapText="1"/>
    </xf>
    <xf numFmtId="0" fontId="23" fillId="0" borderId="22" xfId="0" applyFont="1" applyBorder="1" applyAlignment="1">
      <alignment horizontal="left" vertical="center" wrapText="1"/>
    </xf>
    <xf numFmtId="0" fontId="43" fillId="0" borderId="11" xfId="0" applyFont="1" applyBorder="1" applyAlignment="1">
      <alignment horizontal="left" vertical="center"/>
    </xf>
    <xf numFmtId="0" fontId="43" fillId="0" borderId="24" xfId="0" applyFont="1" applyBorder="1" applyAlignment="1">
      <alignment horizontal="left" vertical="center"/>
    </xf>
    <xf numFmtId="49" fontId="64" fillId="0" borderId="19" xfId="0" applyNumberFormat="1" applyFont="1" applyBorder="1" applyAlignment="1">
      <alignment horizontal="center" vertical="center"/>
    </xf>
    <xf numFmtId="0" fontId="23" fillId="29" borderId="13" xfId="0" applyFont="1" applyFill="1" applyBorder="1" applyAlignment="1">
      <alignment horizontal="left" vertical="center"/>
    </xf>
    <xf numFmtId="0" fontId="23" fillId="29" borderId="0" xfId="0" applyFont="1" applyFill="1" applyAlignment="1">
      <alignment horizontal="left" vertical="center"/>
    </xf>
    <xf numFmtId="4" fontId="23" fillId="0" borderId="37" xfId="0" applyNumberFormat="1" applyFont="1" applyBorder="1" applyAlignment="1">
      <alignment horizontal="right" vertical="center"/>
    </xf>
    <xf numFmtId="4" fontId="23" fillId="0" borderId="38" xfId="0" applyNumberFormat="1" applyFont="1" applyBorder="1" applyAlignment="1">
      <alignment horizontal="right" vertical="center"/>
    </xf>
    <xf numFmtId="4" fontId="14" fillId="0" borderId="27" xfId="0" applyNumberFormat="1" applyFont="1" applyBorder="1" applyAlignment="1">
      <alignment horizontal="center" vertical="top" wrapText="1"/>
    </xf>
    <xf numFmtId="4" fontId="14" fillId="0" borderId="56" xfId="0" applyNumberFormat="1" applyFont="1" applyBorder="1" applyAlignment="1">
      <alignment horizontal="center" vertical="top" wrapText="1"/>
    </xf>
    <xf numFmtId="4" fontId="27" fillId="4" borderId="20" xfId="0" applyNumberFormat="1" applyFont="1" applyFill="1" applyBorder="1" applyAlignment="1">
      <alignment horizontal="left" vertical="center" wrapText="1"/>
    </xf>
    <xf numFmtId="4" fontId="27" fillId="4" borderId="11" xfId="0" applyNumberFormat="1" applyFont="1" applyFill="1" applyBorder="1" applyAlignment="1">
      <alignment horizontal="left" vertical="center" wrapText="1"/>
    </xf>
    <xf numFmtId="4" fontId="14" fillId="0" borderId="20" xfId="0" applyNumberFormat="1" applyFont="1" applyBorder="1" applyAlignment="1">
      <alignment horizontal="center" vertical="center" wrapText="1"/>
    </xf>
    <xf numFmtId="4" fontId="14" fillId="0" borderId="11" xfId="0" applyNumberFormat="1" applyFont="1" applyBorder="1" applyAlignment="1">
      <alignment horizontal="center" vertical="center" wrapText="1"/>
    </xf>
    <xf numFmtId="4" fontId="14" fillId="0" borderId="24" xfId="0" applyNumberFormat="1" applyFont="1" applyBorder="1" applyAlignment="1">
      <alignment horizontal="center" vertical="center" wrapText="1"/>
    </xf>
    <xf numFmtId="4" fontId="14" fillId="0" borderId="53" xfId="0" applyNumberFormat="1" applyFont="1" applyBorder="1" applyAlignment="1">
      <alignment horizontal="center" vertical="center" wrapText="1"/>
    </xf>
    <xf numFmtId="4" fontId="14" fillId="0" borderId="54" xfId="0" applyNumberFormat="1" applyFont="1" applyBorder="1" applyAlignment="1">
      <alignment horizontal="center" vertical="center" wrapText="1"/>
    </xf>
    <xf numFmtId="4" fontId="14" fillId="0" borderId="55" xfId="0" applyNumberFormat="1" applyFont="1" applyBorder="1" applyAlignment="1">
      <alignment horizontal="center" vertical="center" wrapText="1"/>
    </xf>
    <xf numFmtId="4" fontId="23" fillId="0" borderId="21" xfId="0" applyNumberFormat="1" applyFont="1" applyBorder="1" applyAlignment="1">
      <alignment horizontal="right" vertical="center"/>
    </xf>
    <xf numFmtId="4" fontId="23" fillId="0" borderId="17" xfId="0" applyNumberFormat="1" applyFont="1" applyBorder="1" applyAlignment="1">
      <alignment horizontal="right" vertical="center"/>
    </xf>
    <xf numFmtId="4" fontId="23" fillId="0" borderId="33" xfId="0" applyNumberFormat="1" applyFont="1" applyBorder="1" applyAlignment="1">
      <alignment horizontal="right" vertical="center"/>
    </xf>
    <xf numFmtId="4" fontId="23" fillId="0" borderId="8" xfId="0" applyNumberFormat="1" applyFont="1" applyBorder="1" applyAlignment="1">
      <alignment horizontal="right" vertical="center"/>
    </xf>
    <xf numFmtId="4" fontId="23" fillId="0" borderId="25" xfId="0" applyNumberFormat="1" applyFont="1" applyBorder="1" applyAlignment="1">
      <alignment horizontal="right" vertical="center"/>
    </xf>
    <xf numFmtId="4" fontId="23" fillId="0" borderId="9" xfId="0" applyNumberFormat="1" applyFont="1" applyBorder="1" applyAlignment="1">
      <alignment horizontal="right" vertical="center"/>
    </xf>
    <xf numFmtId="0" fontId="105" fillId="0" borderId="0" xfId="0" applyFont="1" applyAlignment="1">
      <alignment horizontal="left"/>
    </xf>
    <xf numFmtId="0" fontId="105" fillId="0" borderId="14" xfId="0" applyFont="1" applyBorder="1" applyAlignment="1">
      <alignment horizontal="left"/>
    </xf>
    <xf numFmtId="0" fontId="99" fillId="0" borderId="0" xfId="0" applyFont="1" applyAlignment="1">
      <alignment horizontal="left" vertical="top" wrapText="1"/>
    </xf>
    <xf numFmtId="0" fontId="99" fillId="0" borderId="14" xfId="0" applyFont="1" applyBorder="1" applyAlignment="1">
      <alignment horizontal="left" vertical="top" wrapText="1"/>
    </xf>
    <xf numFmtId="49" fontId="23" fillId="3" borderId="26" xfId="0" applyNumberFormat="1" applyFont="1" applyFill="1" applyBorder="1" applyAlignment="1" applyProtection="1">
      <alignment horizontal="left" vertical="center"/>
      <protection locked="0"/>
    </xf>
    <xf numFmtId="0" fontId="27" fillId="0" borderId="71" xfId="0" applyFont="1" applyBorder="1" applyAlignment="1">
      <alignment horizontal="left" vertical="center"/>
    </xf>
    <xf numFmtId="0" fontId="23" fillId="0" borderId="24" xfId="0" applyFont="1" applyBorder="1" applyAlignment="1">
      <alignment horizontal="left" vertical="top" wrapText="1"/>
    </xf>
    <xf numFmtId="0" fontId="23" fillId="0" borderId="21" xfId="0" applyFont="1" applyBorder="1" applyAlignment="1">
      <alignment horizontal="left" vertical="top" wrapText="1"/>
    </xf>
    <xf numFmtId="0" fontId="23" fillId="0" borderId="23" xfId="0" applyFont="1" applyBorder="1" applyAlignment="1">
      <alignment horizontal="left" vertical="top" wrapText="1"/>
    </xf>
    <xf numFmtId="49" fontId="27" fillId="3" borderId="18" xfId="0" applyNumberFormat="1" applyFont="1" applyFill="1" applyBorder="1" applyAlignment="1" applyProtection="1">
      <alignment horizontal="center" vertical="top" wrapText="1"/>
      <protection locked="0"/>
    </xf>
    <xf numFmtId="49" fontId="27" fillId="3" borderId="22" xfId="0" applyNumberFormat="1" applyFont="1" applyFill="1" applyBorder="1" applyAlignment="1" applyProtection="1">
      <alignment horizontal="center" vertical="top" wrapText="1"/>
      <protection locked="0"/>
    </xf>
    <xf numFmtId="0" fontId="23" fillId="0" borderId="11" xfId="0" applyFont="1" applyBorder="1" applyAlignment="1">
      <alignment horizontal="left" vertical="top" wrapText="1"/>
    </xf>
    <xf numFmtId="0" fontId="23" fillId="0" borderId="17" xfId="0" applyFont="1" applyBorder="1" applyAlignment="1">
      <alignment horizontal="left" vertical="top" wrapText="1"/>
    </xf>
    <xf numFmtId="49" fontId="23" fillId="3" borderId="20" xfId="0" applyNumberFormat="1" applyFont="1" applyFill="1" applyBorder="1" applyAlignment="1" applyProtection="1">
      <alignment horizontal="left" vertical="top"/>
      <protection locked="0"/>
    </xf>
    <xf numFmtId="49" fontId="23" fillId="3" borderId="11" xfId="0" applyNumberFormat="1" applyFont="1" applyFill="1" applyBorder="1" applyAlignment="1" applyProtection="1">
      <alignment horizontal="left" vertical="top"/>
      <protection locked="0"/>
    </xf>
    <xf numFmtId="49" fontId="23" fillId="3" borderId="11" xfId="0" applyNumberFormat="1" applyFont="1" applyFill="1" applyBorder="1" applyAlignment="1" applyProtection="1">
      <alignment horizontal="left" vertical="center"/>
      <protection locked="0"/>
    </xf>
    <xf numFmtId="0" fontId="23" fillId="0" borderId="24" xfId="0" applyFont="1" applyBorder="1" applyAlignment="1">
      <alignment horizontal="left" vertical="center" wrapText="1"/>
    </xf>
    <xf numFmtId="0" fontId="23" fillId="0" borderId="23" xfId="0" applyFont="1" applyBorder="1" applyAlignment="1">
      <alignment horizontal="left" vertical="center" wrapText="1"/>
    </xf>
    <xf numFmtId="0" fontId="23" fillId="0" borderId="14" xfId="0" applyFont="1" applyBorder="1" applyAlignment="1">
      <alignment horizontal="left" vertical="center" wrapText="1"/>
    </xf>
    <xf numFmtId="0" fontId="14" fillId="0" borderId="0" xfId="0" applyFont="1" applyAlignment="1">
      <alignment horizontal="left" vertical="center"/>
    </xf>
    <xf numFmtId="0" fontId="14" fillId="0" borderId="14" xfId="0" applyFont="1" applyBorder="1" applyAlignment="1">
      <alignment horizontal="left" vertical="center"/>
    </xf>
    <xf numFmtId="49" fontId="14" fillId="0" borderId="18" xfId="0" applyNumberFormat="1" applyFont="1" applyBorder="1" applyAlignment="1" applyProtection="1">
      <alignment horizontal="left"/>
      <protection locked="0"/>
    </xf>
    <xf numFmtId="49" fontId="14" fillId="0" borderId="19" xfId="0" applyNumberFormat="1" applyFont="1" applyBorder="1" applyAlignment="1" applyProtection="1">
      <alignment horizontal="left"/>
      <protection locked="0"/>
    </xf>
    <xf numFmtId="49" fontId="135" fillId="0" borderId="18" xfId="0" applyNumberFormat="1" applyFont="1" applyBorder="1" applyAlignment="1" applyProtection="1">
      <alignment horizontal="center"/>
      <protection locked="0"/>
    </xf>
    <xf numFmtId="49" fontId="135" fillId="0" borderId="19" xfId="0" applyNumberFormat="1" applyFont="1" applyBorder="1" applyAlignment="1" applyProtection="1">
      <alignment horizontal="center"/>
      <protection locked="0"/>
    </xf>
    <xf numFmtId="49" fontId="23" fillId="0" borderId="19" xfId="0" applyNumberFormat="1" applyFont="1" applyBorder="1" applyAlignment="1">
      <alignment horizontal="center"/>
    </xf>
    <xf numFmtId="0" fontId="34" fillId="0" borderId="20" xfId="0" applyFont="1" applyBorder="1" applyAlignment="1">
      <alignment horizontal="left" vertical="center"/>
    </xf>
    <xf numFmtId="0" fontId="34" fillId="0" borderId="11" xfId="0" applyFont="1" applyBorder="1" applyAlignment="1">
      <alignment horizontal="left" vertical="center"/>
    </xf>
    <xf numFmtId="0" fontId="27" fillId="0" borderId="21" xfId="0" applyFont="1" applyBorder="1" applyAlignment="1" applyProtection="1">
      <alignment horizontal="left" vertical="center"/>
      <protection locked="0"/>
    </xf>
    <xf numFmtId="0" fontId="27" fillId="0" borderId="17" xfId="0" applyFont="1" applyBorder="1" applyAlignment="1" applyProtection="1">
      <alignment horizontal="left" vertical="center"/>
      <protection locked="0"/>
    </xf>
    <xf numFmtId="0" fontId="95" fillId="16" borderId="13" xfId="0" applyFont="1" applyFill="1" applyBorder="1" applyAlignment="1">
      <alignment horizontal="left" vertical="center"/>
    </xf>
    <xf numFmtId="0" fontId="95" fillId="16" borderId="0" xfId="0" applyFont="1" applyFill="1" applyAlignment="1">
      <alignment horizontal="left" vertical="center"/>
    </xf>
    <xf numFmtId="0" fontId="100" fillId="0" borderId="0" xfId="0" applyFont="1" applyAlignment="1">
      <alignment horizontal="left" vertical="center"/>
    </xf>
    <xf numFmtId="0" fontId="100" fillId="0" borderId="14" xfId="0" applyFont="1" applyBorder="1" applyAlignment="1">
      <alignment horizontal="left" vertical="center"/>
    </xf>
    <xf numFmtId="49" fontId="23" fillId="3" borderId="30" xfId="0" applyNumberFormat="1" applyFont="1" applyFill="1" applyBorder="1" applyAlignment="1" applyProtection="1">
      <alignment horizontal="left" vertical="center"/>
      <protection locked="0"/>
    </xf>
    <xf numFmtId="0" fontId="23" fillId="0" borderId="0" xfId="0" applyFont="1" applyAlignment="1" applyProtection="1">
      <alignment horizontal="left" vertical="center"/>
      <protection hidden="1"/>
    </xf>
    <xf numFmtId="0" fontId="23" fillId="29" borderId="13" xfId="0" applyFont="1" applyFill="1" applyBorder="1" applyAlignment="1">
      <alignment vertical="center"/>
    </xf>
    <xf numFmtId="0" fontId="23" fillId="29" borderId="0" xfId="0" applyFont="1" applyFill="1" applyAlignment="1">
      <alignment vertical="center"/>
    </xf>
    <xf numFmtId="0" fontId="23" fillId="0" borderId="0" xfId="0" applyFont="1" applyAlignment="1">
      <alignment horizontal="left" vertical="top" wrapText="1"/>
    </xf>
    <xf numFmtId="4" fontId="14" fillId="0" borderId="29" xfId="0" applyNumberFormat="1" applyFont="1" applyBorder="1" applyAlignment="1">
      <alignment horizontal="center" vertical="center" wrapText="1"/>
    </xf>
    <xf numFmtId="4" fontId="14" fillId="0" borderId="56" xfId="0" applyNumberFormat="1" applyFont="1" applyBorder="1" applyAlignment="1">
      <alignment horizontal="center" vertical="center" wrapText="1"/>
    </xf>
    <xf numFmtId="0" fontId="27" fillId="4" borderId="21" xfId="0" applyFont="1" applyFill="1" applyBorder="1" applyAlignment="1">
      <alignment horizontal="left" vertical="center"/>
    </xf>
    <xf numFmtId="0" fontId="27" fillId="4" borderId="17" xfId="0" applyFont="1" applyFill="1" applyBorder="1" applyAlignment="1">
      <alignment horizontal="left" vertical="center"/>
    </xf>
    <xf numFmtId="0" fontId="27" fillId="4" borderId="23" xfId="0" applyFont="1" applyFill="1" applyBorder="1" applyAlignment="1">
      <alignment horizontal="left" vertical="center"/>
    </xf>
    <xf numFmtId="0" fontId="27" fillId="0" borderId="11" xfId="0" applyFont="1" applyBorder="1" applyAlignment="1">
      <alignment horizontal="left" vertical="center"/>
    </xf>
    <xf numFmtId="0" fontId="23" fillId="0" borderId="23" xfId="0" applyFont="1" applyBorder="1" applyAlignment="1">
      <alignment horizontal="left" vertical="center"/>
    </xf>
    <xf numFmtId="49" fontId="23" fillId="3" borderId="18" xfId="0" applyNumberFormat="1" applyFont="1" applyFill="1" applyBorder="1" applyAlignment="1" applyProtection="1">
      <alignment horizontal="left" vertical="top"/>
      <protection locked="0"/>
    </xf>
    <xf numFmtId="49" fontId="23" fillId="3" borderId="19" xfId="0" applyNumberFormat="1" applyFont="1" applyFill="1" applyBorder="1" applyAlignment="1" applyProtection="1">
      <alignment horizontal="left" vertical="top"/>
      <protection locked="0"/>
    </xf>
    <xf numFmtId="49" fontId="23" fillId="3" borderId="20" xfId="0" applyNumberFormat="1" applyFont="1" applyFill="1" applyBorder="1" applyAlignment="1" applyProtection="1">
      <alignment horizontal="left" vertical="center"/>
      <protection locked="0"/>
    </xf>
    <xf numFmtId="0" fontId="23" fillId="0" borderId="14" xfId="0" applyFont="1" applyBorder="1" applyAlignment="1">
      <alignment horizontal="left" vertical="top" wrapText="1"/>
    </xf>
    <xf numFmtId="0" fontId="67" fillId="6" borderId="20" xfId="0" applyFont="1" applyFill="1" applyBorder="1" applyAlignment="1">
      <alignment horizontal="left" vertical="center"/>
    </xf>
    <xf numFmtId="0" fontId="67" fillId="6" borderId="11" xfId="0" applyFont="1" applyFill="1" applyBorder="1" applyAlignment="1">
      <alignment horizontal="left" vertical="center"/>
    </xf>
    <xf numFmtId="0" fontId="27" fillId="0" borderId="19" xfId="15" applyNumberFormat="1" applyFont="1" applyBorder="1" applyAlignment="1">
      <alignment horizontal="left" vertical="center"/>
    </xf>
    <xf numFmtId="0" fontId="23" fillId="0" borderId="72" xfId="0" applyFont="1" applyBorder="1" applyAlignment="1">
      <alignment horizontal="left" vertical="center"/>
    </xf>
    <xf numFmtId="0" fontId="27" fillId="0" borderId="2" xfId="0" applyFont="1" applyBorder="1" applyAlignment="1">
      <alignment horizontal="left" vertical="center"/>
    </xf>
    <xf numFmtId="0" fontId="27" fillId="0" borderId="70" xfId="0" applyFont="1" applyBorder="1" applyAlignment="1">
      <alignment horizontal="left" vertical="center"/>
    </xf>
    <xf numFmtId="0" fontId="15" fillId="4" borderId="13" xfId="0" applyFont="1" applyFill="1" applyBorder="1" applyAlignment="1">
      <alignment horizontal="center" vertical="center"/>
    </xf>
    <xf numFmtId="0" fontId="15" fillId="4" borderId="0" xfId="0" applyFont="1" applyFill="1" applyAlignment="1">
      <alignment horizontal="center" vertical="center"/>
    </xf>
    <xf numFmtId="0" fontId="100" fillId="0" borderId="0" xfId="0" applyFont="1" applyAlignment="1">
      <alignment horizontal="left" vertical="top" wrapText="1"/>
    </xf>
    <xf numFmtId="0" fontId="100" fillId="0" borderId="14" xfId="0" applyFont="1" applyBorder="1" applyAlignment="1">
      <alignment horizontal="left" vertical="top" wrapText="1"/>
    </xf>
    <xf numFmtId="0" fontId="27" fillId="29" borderId="18" xfId="0" applyFont="1" applyFill="1" applyBorder="1" applyAlignment="1">
      <alignment horizontal="left" vertical="center"/>
    </xf>
    <xf numFmtId="0" fontId="27" fillId="29" borderId="19" xfId="0" applyFont="1" applyFill="1" applyBorder="1" applyAlignment="1">
      <alignment horizontal="left" vertical="center"/>
    </xf>
    <xf numFmtId="0" fontId="23" fillId="0" borderId="37" xfId="0" applyFont="1" applyBorder="1" applyAlignment="1">
      <alignment horizontal="left" vertical="center"/>
    </xf>
    <xf numFmtId="0" fontId="23" fillId="0" borderId="38" xfId="0" applyFont="1" applyBorder="1" applyAlignment="1">
      <alignment horizontal="left" vertical="center"/>
    </xf>
    <xf numFmtId="0" fontId="23" fillId="0" borderId="39" xfId="0" applyFont="1" applyBorder="1" applyAlignment="1">
      <alignment horizontal="left" vertical="center"/>
    </xf>
    <xf numFmtId="0" fontId="133" fillId="0" borderId="11" xfId="0" applyFont="1" applyBorder="1" applyAlignment="1">
      <alignment horizontal="left" vertical="top" wrapText="1"/>
    </xf>
    <xf numFmtId="0" fontId="133" fillId="0" borderId="24" xfId="0" applyFont="1" applyBorder="1" applyAlignment="1">
      <alignment horizontal="left" vertical="top" wrapText="1"/>
    </xf>
    <xf numFmtId="0" fontId="133" fillId="0" borderId="0" xfId="0" applyFont="1" applyAlignment="1">
      <alignment horizontal="left" vertical="top" wrapText="1"/>
    </xf>
    <xf numFmtId="0" fontId="133" fillId="0" borderId="14" xfId="0" applyFont="1" applyBorder="1" applyAlignment="1">
      <alignment horizontal="left" vertical="top" wrapText="1"/>
    </xf>
    <xf numFmtId="0" fontId="23" fillId="0" borderId="13" xfId="0" applyFont="1" applyBorder="1" applyAlignment="1">
      <alignment horizontal="center" vertical="center"/>
    </xf>
    <xf numFmtId="0" fontId="23" fillId="0" borderId="0" xfId="0" applyFont="1" applyAlignment="1">
      <alignment horizontal="center" vertical="center"/>
    </xf>
    <xf numFmtId="4" fontId="27" fillId="4" borderId="13" xfId="0" applyNumberFormat="1" applyFont="1" applyFill="1" applyBorder="1" applyAlignment="1">
      <alignment horizontal="left" vertical="center" wrapText="1"/>
    </xf>
    <xf numFmtId="4" fontId="27" fillId="4" borderId="0" xfId="0" applyNumberFormat="1" applyFont="1" applyFill="1" applyAlignment="1">
      <alignment horizontal="left" vertical="center" wrapText="1"/>
    </xf>
    <xf numFmtId="4" fontId="115" fillId="0" borderId="13" xfId="0" applyNumberFormat="1" applyFont="1" applyBorder="1" applyAlignment="1">
      <alignment horizontal="left" vertical="center"/>
    </xf>
    <xf numFmtId="4" fontId="115" fillId="0" borderId="0" xfId="0" applyNumberFormat="1" applyFont="1" applyAlignment="1">
      <alignment horizontal="left" vertical="center"/>
    </xf>
    <xf numFmtId="4" fontId="115" fillId="0" borderId="14" xfId="0" applyNumberFormat="1" applyFont="1" applyBorder="1" applyAlignment="1">
      <alignment horizontal="left" vertical="center"/>
    </xf>
    <xf numFmtId="4" fontId="14" fillId="0" borderId="20" xfId="0" applyNumberFormat="1" applyFont="1" applyBorder="1" applyAlignment="1">
      <alignment horizontal="center" vertical="top" wrapText="1"/>
    </xf>
    <xf numFmtId="4" fontId="14" fillId="0" borderId="11" xfId="0" applyNumberFormat="1" applyFont="1" applyBorder="1" applyAlignment="1">
      <alignment horizontal="center" vertical="top" wrapText="1"/>
    </xf>
    <xf numFmtId="4" fontId="14" fillId="0" borderId="13" xfId="0" applyNumberFormat="1" applyFont="1" applyBorder="1" applyAlignment="1">
      <alignment horizontal="center" vertical="top" wrapText="1"/>
    </xf>
    <xf numFmtId="4" fontId="14" fillId="0" borderId="0" xfId="0" applyNumberFormat="1" applyFont="1" applyAlignment="1">
      <alignment horizontal="center" vertical="top" wrapText="1"/>
    </xf>
    <xf numFmtId="4" fontId="14" fillId="0" borderId="21" xfId="0" applyNumberFormat="1" applyFont="1" applyBorder="1" applyAlignment="1">
      <alignment horizontal="center" vertical="top" wrapText="1"/>
    </xf>
    <xf numFmtId="4" fontId="14" fillId="0" borderId="17" xfId="0" applyNumberFormat="1" applyFont="1" applyBorder="1" applyAlignment="1">
      <alignment horizontal="center" vertical="top" wrapText="1"/>
    </xf>
    <xf numFmtId="49" fontId="135" fillId="0" borderId="13" xfId="0" applyNumberFormat="1" applyFont="1" applyBorder="1" applyAlignment="1">
      <alignment horizontal="center" vertical="center"/>
    </xf>
    <xf numFmtId="49" fontId="135" fillId="0" borderId="0" xfId="0" applyNumberFormat="1" applyFont="1" applyAlignment="1">
      <alignment horizontal="center" vertical="center"/>
    </xf>
    <xf numFmtId="0" fontId="16" fillId="0" borderId="13" xfId="0" applyFont="1" applyBorder="1" applyAlignment="1">
      <alignment horizontal="right" vertical="center"/>
    </xf>
    <xf numFmtId="0" fontId="16" fillId="0" borderId="0" xfId="0" applyFont="1" applyAlignment="1">
      <alignment horizontal="right" vertical="center"/>
    </xf>
    <xf numFmtId="0" fontId="134" fillId="16" borderId="0" xfId="0" applyFont="1" applyFill="1" applyAlignment="1">
      <alignment horizontal="left" vertical="center"/>
    </xf>
    <xf numFmtId="0" fontId="27" fillId="0" borderId="17" xfId="0" applyFont="1" applyBorder="1" applyAlignment="1">
      <alignment horizontal="right" vertical="top" wrapText="1"/>
    </xf>
    <xf numFmtId="49" fontId="71" fillId="3" borderId="18" xfId="0" applyNumberFormat="1" applyFont="1" applyFill="1" applyBorder="1" applyAlignment="1" applyProtection="1">
      <alignment horizontal="center" vertical="center"/>
      <protection locked="0"/>
    </xf>
    <xf numFmtId="49" fontId="71" fillId="3" borderId="19" xfId="0" applyNumberFormat="1" applyFont="1" applyFill="1" applyBorder="1" applyAlignment="1" applyProtection="1">
      <alignment horizontal="center" vertical="center"/>
      <protection locked="0"/>
    </xf>
    <xf numFmtId="49" fontId="129" fillId="0" borderId="13" xfId="0" applyNumberFormat="1" applyFont="1" applyBorder="1" applyAlignment="1" applyProtection="1">
      <alignment horizontal="center" vertical="center"/>
      <protection locked="0"/>
    </xf>
    <xf numFmtId="49" fontId="129" fillId="0" borderId="0" xfId="0" applyNumberFormat="1" applyFont="1" applyAlignment="1" applyProtection="1">
      <alignment horizontal="center" vertical="center"/>
      <protection locked="0"/>
    </xf>
    <xf numFmtId="49" fontId="129" fillId="0" borderId="13" xfId="0" applyNumberFormat="1" applyFont="1" applyBorder="1" applyAlignment="1" applyProtection="1">
      <alignment horizontal="center"/>
      <protection locked="0"/>
    </xf>
    <xf numFmtId="49" fontId="129" fillId="0" borderId="0" xfId="0" applyNumberFormat="1" applyFont="1" applyAlignment="1" applyProtection="1">
      <alignment horizontal="center"/>
      <protection locked="0"/>
    </xf>
    <xf numFmtId="49" fontId="23" fillId="3" borderId="21" xfId="0" applyNumberFormat="1" applyFont="1" applyFill="1" applyBorder="1" applyAlignment="1" applyProtection="1">
      <alignment vertical="center"/>
      <protection locked="0"/>
    </xf>
    <xf numFmtId="49" fontId="23" fillId="3" borderId="17" xfId="0" applyNumberFormat="1" applyFont="1" applyFill="1" applyBorder="1" applyAlignment="1" applyProtection="1">
      <alignment vertical="center"/>
      <protection locked="0"/>
    </xf>
    <xf numFmtId="49" fontId="23" fillId="3" borderId="23" xfId="0" applyNumberFormat="1" applyFont="1" applyFill="1" applyBorder="1" applyAlignment="1" applyProtection="1">
      <alignment vertical="center"/>
      <protection locked="0"/>
    </xf>
    <xf numFmtId="49" fontId="23" fillId="3" borderId="18" xfId="0" applyNumberFormat="1" applyFont="1" applyFill="1" applyBorder="1" applyAlignment="1" applyProtection="1">
      <alignment vertical="center"/>
      <protection locked="0"/>
    </xf>
    <xf numFmtId="49" fontId="23" fillId="3" borderId="19" xfId="0" applyNumberFormat="1" applyFont="1" applyFill="1" applyBorder="1" applyAlignment="1" applyProtection="1">
      <alignment vertical="center"/>
      <protection locked="0"/>
    </xf>
    <xf numFmtId="49" fontId="23" fillId="3" borderId="22" xfId="0" applyNumberFormat="1" applyFont="1" applyFill="1" applyBorder="1" applyAlignment="1" applyProtection="1">
      <alignment vertical="center"/>
      <protection locked="0"/>
    </xf>
    <xf numFmtId="4" fontId="23" fillId="0" borderId="33" xfId="0" applyNumberFormat="1" applyFont="1" applyBorder="1" applyAlignment="1">
      <alignment horizontal="left" vertical="center"/>
    </xf>
    <xf numFmtId="4" fontId="23" fillId="0" borderId="8" xfId="0" applyNumberFormat="1" applyFont="1" applyBorder="1" applyAlignment="1">
      <alignment horizontal="left" vertical="center"/>
    </xf>
    <xf numFmtId="4" fontId="23" fillId="0" borderId="35" xfId="0" applyNumberFormat="1" applyFont="1" applyBorder="1" applyAlignment="1">
      <alignment horizontal="left" vertical="center"/>
    </xf>
    <xf numFmtId="0" fontId="27" fillId="29" borderId="26" xfId="0" applyFont="1" applyFill="1" applyBorder="1" applyAlignment="1">
      <alignment horizontal="center" vertical="center" wrapText="1"/>
    </xf>
    <xf numFmtId="0" fontId="27" fillId="29" borderId="18" xfId="0" applyFont="1" applyFill="1" applyBorder="1" applyAlignment="1">
      <alignment horizontal="center" vertical="center" wrapText="1"/>
    </xf>
    <xf numFmtId="0" fontId="107" fillId="16" borderId="13" xfId="0" applyFont="1" applyFill="1" applyBorder="1" applyAlignment="1">
      <alignment horizontal="center" vertical="center"/>
    </xf>
    <xf numFmtId="0" fontId="107" fillId="16" borderId="0" xfId="0" applyFont="1" applyFill="1" applyAlignment="1">
      <alignment horizontal="center" vertical="center"/>
    </xf>
    <xf numFmtId="49" fontId="23" fillId="3" borderId="18" xfId="0" applyNumberFormat="1" applyFont="1" applyFill="1" applyBorder="1" applyAlignment="1" applyProtection="1">
      <alignment horizontal="left" vertical="center" wrapText="1"/>
      <protection locked="0"/>
    </xf>
    <xf numFmtId="49" fontId="23" fillId="3" borderId="19" xfId="0" applyNumberFormat="1" applyFont="1" applyFill="1" applyBorder="1" applyAlignment="1" applyProtection="1">
      <alignment horizontal="left" vertical="center" wrapText="1"/>
      <protection locked="0"/>
    </xf>
    <xf numFmtId="49" fontId="23" fillId="3" borderId="28" xfId="0" applyNumberFormat="1" applyFont="1" applyFill="1" applyBorder="1" applyAlignment="1" applyProtection="1">
      <alignment horizontal="left" vertical="center"/>
      <protection locked="0"/>
    </xf>
    <xf numFmtId="49" fontId="23" fillId="3" borderId="20" xfId="0" applyNumberFormat="1" applyFont="1" applyFill="1" applyBorder="1" applyAlignment="1" applyProtection="1">
      <alignment horizontal="center" vertical="center"/>
      <protection locked="0"/>
    </xf>
    <xf numFmtId="49" fontId="23" fillId="3" borderId="11" xfId="0" applyNumberFormat="1" applyFont="1" applyFill="1" applyBorder="1" applyAlignment="1" applyProtection="1">
      <alignment horizontal="center" vertical="center"/>
      <protection locked="0"/>
    </xf>
    <xf numFmtId="49" fontId="23" fillId="3" borderId="13" xfId="0" applyNumberFormat="1" applyFont="1" applyFill="1" applyBorder="1" applyAlignment="1" applyProtection="1">
      <alignment horizontal="center" vertical="center"/>
      <protection locked="0"/>
    </xf>
    <xf numFmtId="49" fontId="23" fillId="3" borderId="0" xfId="0" applyNumberFormat="1" applyFont="1" applyFill="1" applyAlignment="1" applyProtection="1">
      <alignment horizontal="center" vertical="center"/>
      <protection locked="0"/>
    </xf>
    <xf numFmtId="0" fontId="64" fillId="0" borderId="19" xfId="0" applyFont="1" applyBorder="1" applyAlignment="1">
      <alignment horizontal="center" vertical="center"/>
    </xf>
    <xf numFmtId="0" fontId="23" fillId="0" borderId="20" xfId="0" applyFont="1" applyBorder="1" applyAlignment="1">
      <alignment vertical="top" wrapText="1"/>
    </xf>
    <xf numFmtId="0" fontId="23" fillId="0" borderId="24" xfId="0" applyFont="1" applyBorder="1" applyAlignment="1">
      <alignment vertical="top" wrapText="1"/>
    </xf>
    <xf numFmtId="0" fontId="23" fillId="0" borderId="13" xfId="0" applyFont="1" applyBorder="1" applyAlignment="1">
      <alignment vertical="top" wrapText="1"/>
    </xf>
    <xf numFmtId="0" fontId="23" fillId="0" borderId="14" xfId="0" applyFont="1" applyBorder="1" applyAlignment="1">
      <alignment vertical="top" wrapText="1"/>
    </xf>
    <xf numFmtId="49" fontId="23" fillId="3" borderId="13" xfId="0" applyNumberFormat="1" applyFont="1" applyFill="1" applyBorder="1" applyAlignment="1" applyProtection="1">
      <alignment horizontal="left" vertical="center"/>
      <protection locked="0"/>
    </xf>
    <xf numFmtId="49" fontId="23" fillId="3" borderId="0" xfId="0" applyNumberFormat="1" applyFont="1" applyFill="1" applyAlignment="1" applyProtection="1">
      <alignment horizontal="left" vertical="center"/>
      <protection locked="0"/>
    </xf>
    <xf numFmtId="0" fontId="27" fillId="14" borderId="16" xfId="0" applyFont="1" applyFill="1" applyBorder="1" applyAlignment="1">
      <alignment horizontal="left" vertical="center"/>
    </xf>
    <xf numFmtId="0" fontId="27" fillId="14" borderId="5" xfId="0" applyFont="1" applyFill="1" applyBorder="1" applyAlignment="1">
      <alignment horizontal="left" vertical="center"/>
    </xf>
    <xf numFmtId="49" fontId="23" fillId="3" borderId="20" xfId="0" applyNumberFormat="1" applyFont="1" applyFill="1" applyBorder="1" applyAlignment="1" applyProtection="1">
      <alignment horizontal="left" vertical="top" wrapText="1"/>
      <protection locked="0"/>
    </xf>
    <xf numFmtId="49" fontId="23" fillId="3" borderId="11" xfId="0" applyNumberFormat="1" applyFont="1" applyFill="1" applyBorder="1" applyAlignment="1" applyProtection="1">
      <alignment horizontal="left" vertical="top" wrapText="1"/>
      <protection locked="0"/>
    </xf>
    <xf numFmtId="49" fontId="23" fillId="3" borderId="21" xfId="0" applyNumberFormat="1" applyFont="1" applyFill="1" applyBorder="1" applyAlignment="1" applyProtection="1">
      <alignment horizontal="left" vertical="top" wrapText="1"/>
      <protection locked="0"/>
    </xf>
    <xf numFmtId="49" fontId="23" fillId="3" borderId="17" xfId="0" applyNumberFormat="1" applyFont="1" applyFill="1" applyBorder="1" applyAlignment="1" applyProtection="1">
      <alignment horizontal="left" vertical="top" wrapText="1"/>
      <protection locked="0"/>
    </xf>
    <xf numFmtId="0" fontId="27" fillId="0" borderId="53" xfId="0" applyFont="1" applyBorder="1" applyAlignment="1">
      <alignment horizontal="left" vertical="center"/>
    </xf>
    <xf numFmtId="0" fontId="27" fillId="0" borderId="54" xfId="0" applyFont="1" applyBorder="1" applyAlignment="1">
      <alignment horizontal="left" vertical="center"/>
    </xf>
    <xf numFmtId="0" fontId="27" fillId="0" borderId="55" xfId="0" applyFont="1" applyBorder="1" applyAlignment="1">
      <alignment horizontal="left" vertical="center"/>
    </xf>
    <xf numFmtId="0" fontId="95" fillId="20" borderId="13" xfId="0" applyFont="1" applyFill="1" applyBorder="1" applyAlignment="1">
      <alignment horizontal="center" vertical="center"/>
    </xf>
    <xf numFmtId="0" fontId="95" fillId="20" borderId="0" xfId="0" applyFont="1" applyFill="1" applyAlignment="1">
      <alignment horizontal="center" vertical="center"/>
    </xf>
    <xf numFmtId="0" fontId="23" fillId="0" borderId="21" xfId="0" applyFont="1" applyBorder="1" applyAlignment="1">
      <alignment horizontal="center" vertical="center"/>
    </xf>
    <xf numFmtId="0" fontId="23" fillId="0" borderId="17" xfId="0" applyFont="1" applyBorder="1" applyAlignment="1">
      <alignment horizontal="center" vertical="center"/>
    </xf>
    <xf numFmtId="49" fontId="23" fillId="3" borderId="31" xfId="0" applyNumberFormat="1" applyFont="1" applyFill="1" applyBorder="1" applyAlignment="1" applyProtection="1">
      <alignment horizontal="left" vertical="center"/>
      <protection locked="0"/>
    </xf>
    <xf numFmtId="49" fontId="23" fillId="3" borderId="42" xfId="0" applyNumberFormat="1" applyFont="1" applyFill="1" applyBorder="1" applyAlignment="1" applyProtection="1">
      <alignment horizontal="left" vertical="center"/>
      <protection locked="0"/>
    </xf>
    <xf numFmtId="49" fontId="23" fillId="3" borderId="32" xfId="0" applyNumberFormat="1" applyFont="1" applyFill="1" applyBorder="1" applyAlignment="1" applyProtection="1">
      <alignment horizontal="left" vertical="center"/>
      <protection locked="0"/>
    </xf>
    <xf numFmtId="0" fontId="27" fillId="4" borderId="16" xfId="0" applyFont="1" applyFill="1" applyBorder="1" applyAlignment="1">
      <alignment horizontal="left" vertical="center"/>
    </xf>
    <xf numFmtId="0" fontId="27" fillId="4" borderId="5" xfId="0" applyFont="1" applyFill="1" applyBorder="1" applyAlignment="1">
      <alignment horizontal="left" vertical="center"/>
    </xf>
    <xf numFmtId="0" fontId="14" fillId="0" borderId="28" xfId="0" applyFont="1" applyBorder="1" applyAlignment="1">
      <alignment horizontal="center" vertical="top" wrapText="1"/>
    </xf>
    <xf numFmtId="0" fontId="64" fillId="15" borderId="20" xfId="0" applyFont="1" applyFill="1" applyBorder="1" applyAlignment="1">
      <alignment horizontal="center" vertical="center"/>
    </xf>
    <xf numFmtId="0" fontId="64" fillId="15" borderId="11" xfId="0" applyFont="1" applyFill="1" applyBorder="1" applyAlignment="1">
      <alignment horizontal="center" vertical="center"/>
    </xf>
    <xf numFmtId="0" fontId="23" fillId="0" borderId="11" xfId="0" applyFont="1" applyBorder="1" applyAlignment="1">
      <alignment horizontal="left" vertical="top"/>
    </xf>
    <xf numFmtId="0" fontId="23" fillId="0" borderId="24" xfId="0" applyFont="1" applyBorder="1" applyAlignment="1">
      <alignment horizontal="left" vertical="top"/>
    </xf>
    <xf numFmtId="0" fontId="23" fillId="0" borderId="21" xfId="0" applyFont="1" applyBorder="1" applyAlignment="1">
      <alignment horizontal="left" vertical="top"/>
    </xf>
    <xf numFmtId="0" fontId="23" fillId="0" borderId="17" xfId="0" applyFont="1" applyBorder="1" applyAlignment="1">
      <alignment horizontal="left" vertical="top"/>
    </xf>
    <xf numFmtId="0" fontId="23" fillId="0" borderId="23" xfId="0" applyFont="1" applyBorder="1" applyAlignment="1">
      <alignment horizontal="left" vertical="top"/>
    </xf>
    <xf numFmtId="0" fontId="14" fillId="0" borderId="11" xfId="0" applyFont="1" applyBorder="1" applyAlignment="1">
      <alignment horizontal="center" vertical="top" wrapText="1"/>
    </xf>
    <xf numFmtId="0" fontId="14" fillId="0" borderId="0" xfId="0" applyFont="1" applyAlignment="1">
      <alignment horizontal="center" vertical="top" wrapText="1"/>
    </xf>
    <xf numFmtId="0" fontId="23" fillId="0" borderId="11" xfId="0" applyFont="1" applyBorder="1" applyAlignment="1">
      <alignment horizontal="center" vertical="top" wrapText="1"/>
    </xf>
    <xf numFmtId="0" fontId="23" fillId="0" borderId="0" xfId="0" applyFont="1" applyAlignment="1">
      <alignment horizontal="center" vertical="top" wrapText="1"/>
    </xf>
    <xf numFmtId="49" fontId="23" fillId="3" borderId="20" xfId="0" applyNumberFormat="1" applyFont="1" applyFill="1" applyBorder="1" applyAlignment="1" applyProtection="1">
      <alignment horizontal="left" vertical="center" wrapText="1"/>
      <protection locked="0"/>
    </xf>
    <xf numFmtId="49" fontId="23" fillId="3" borderId="24" xfId="0" applyNumberFormat="1" applyFont="1" applyFill="1" applyBorder="1" applyAlignment="1" applyProtection="1">
      <alignment horizontal="left" vertical="center" wrapText="1"/>
      <protection locked="0"/>
    </xf>
    <xf numFmtId="0" fontId="27" fillId="0" borderId="22" xfId="0" applyFont="1" applyBorder="1" applyAlignment="1">
      <alignment horizontal="left" vertical="center"/>
    </xf>
    <xf numFmtId="0" fontId="107" fillId="35" borderId="13" xfId="0" applyFont="1" applyFill="1" applyBorder="1" applyAlignment="1">
      <alignment horizontal="center" vertical="center"/>
    </xf>
    <xf numFmtId="0" fontId="107" fillId="35" borderId="0" xfId="0" applyFont="1" applyFill="1" applyAlignment="1">
      <alignment horizontal="center" vertical="center"/>
    </xf>
    <xf numFmtId="0" fontId="23" fillId="0" borderId="0" xfId="0" applyFont="1" applyAlignment="1">
      <alignment horizontal="left" vertical="top"/>
    </xf>
    <xf numFmtId="0" fontId="23" fillId="0" borderId="14" xfId="0" applyFont="1" applyBorder="1" applyAlignment="1">
      <alignment horizontal="left" vertical="top"/>
    </xf>
    <xf numFmtId="0" fontId="151" fillId="0" borderId="0" xfId="20" applyFont="1" applyFill="1" applyBorder="1" applyAlignment="1" applyProtection="1">
      <alignment horizontal="center" vertical="center"/>
      <protection hidden="1"/>
    </xf>
    <xf numFmtId="0" fontId="107" fillId="16" borderId="19" xfId="0" applyFont="1" applyFill="1" applyBorder="1" applyAlignment="1">
      <alignment horizontal="left" vertical="center"/>
    </xf>
    <xf numFmtId="0" fontId="27" fillId="0" borderId="31" xfId="0" applyFont="1" applyBorder="1" applyAlignment="1">
      <alignment horizontal="left" vertical="center"/>
    </xf>
    <xf numFmtId="0" fontId="27" fillId="0" borderId="32" xfId="0" applyFont="1" applyBorder="1" applyAlignment="1">
      <alignment horizontal="left" vertical="center"/>
    </xf>
    <xf numFmtId="0" fontId="134" fillId="8" borderId="0" xfId="0" applyFont="1" applyFill="1" applyAlignment="1">
      <alignment horizontal="left" vertical="center"/>
    </xf>
    <xf numFmtId="49" fontId="14" fillId="0" borderId="21" xfId="0" applyNumberFormat="1" applyFont="1" applyBorder="1" applyAlignment="1" applyProtection="1">
      <alignment horizontal="center"/>
      <protection locked="0"/>
    </xf>
    <xf numFmtId="49" fontId="14" fillId="0" borderId="17" xfId="0" applyNumberFormat="1" applyFont="1" applyBorder="1" applyAlignment="1" applyProtection="1">
      <alignment horizontal="center"/>
      <protection locked="0"/>
    </xf>
    <xf numFmtId="0" fontId="23" fillId="0" borderId="2" xfId="0" applyFont="1" applyBorder="1" applyAlignment="1">
      <alignment horizontal="left" vertical="center"/>
    </xf>
    <xf numFmtId="0" fontId="23" fillId="0" borderId="70" xfId="0" applyFont="1" applyBorder="1" applyAlignment="1">
      <alignment horizontal="left" vertical="center"/>
    </xf>
    <xf numFmtId="0" fontId="23" fillId="0" borderId="72" xfId="0" applyFont="1" applyBorder="1" applyAlignment="1">
      <alignment horizontal="center"/>
    </xf>
    <xf numFmtId="0" fontId="23" fillId="0" borderId="2" xfId="0" applyFont="1" applyBorder="1" applyAlignment="1">
      <alignment horizontal="center"/>
    </xf>
    <xf numFmtId="0" fontId="27" fillId="4" borderId="13" xfId="0" applyFont="1" applyFill="1" applyBorder="1" applyAlignment="1">
      <alignment horizontal="left" vertical="center"/>
    </xf>
    <xf numFmtId="0" fontId="27" fillId="4" borderId="0" xfId="0" applyFont="1" applyFill="1" applyAlignment="1">
      <alignment horizontal="left" vertical="center"/>
    </xf>
    <xf numFmtId="0" fontId="27" fillId="0" borderId="42" xfId="0" applyFont="1" applyBorder="1" applyAlignment="1">
      <alignment horizontal="left" vertical="center"/>
    </xf>
    <xf numFmtId="0" fontId="14" fillId="0" borderId="0" xfId="0" applyFont="1" applyAlignment="1">
      <alignment horizontal="left" vertical="top" wrapText="1"/>
    </xf>
    <xf numFmtId="0" fontId="14" fillId="0" borderId="14" xfId="0" applyFont="1" applyBorder="1" applyAlignment="1">
      <alignment horizontal="left" vertical="top" wrapText="1"/>
    </xf>
    <xf numFmtId="0" fontId="15" fillId="0" borderId="14" xfId="0" applyFont="1" applyBorder="1" applyAlignment="1">
      <alignment horizontal="left" vertical="top" wrapText="1"/>
    </xf>
    <xf numFmtId="4" fontId="23" fillId="0" borderId="29" xfId="0" applyNumberFormat="1" applyFont="1" applyBorder="1" applyAlignment="1">
      <alignment horizontal="center" vertical="center" wrapText="1"/>
    </xf>
    <xf numFmtId="4" fontId="23" fillId="0" borderId="27" xfId="0" applyNumberFormat="1" applyFont="1" applyBorder="1" applyAlignment="1">
      <alignment horizontal="center" vertical="center" wrapText="1"/>
    </xf>
    <xf numFmtId="4" fontId="23" fillId="0" borderId="56" xfId="0" applyNumberFormat="1" applyFont="1" applyBorder="1" applyAlignment="1">
      <alignment horizontal="center" vertical="center" wrapText="1"/>
    </xf>
    <xf numFmtId="4" fontId="23" fillId="0" borderId="13" xfId="0" applyNumberFormat="1" applyFont="1" applyBorder="1" applyAlignment="1">
      <alignment horizontal="left" vertical="center"/>
    </xf>
    <xf numFmtId="4" fontId="23" fillId="0" borderId="0" xfId="0" applyNumberFormat="1" applyFont="1" applyAlignment="1">
      <alignment horizontal="left" vertical="center"/>
    </xf>
    <xf numFmtId="4" fontId="23" fillId="0" borderId="14" xfId="0" applyNumberFormat="1" applyFont="1" applyBorder="1" applyAlignment="1">
      <alignment horizontal="left" vertical="center"/>
    </xf>
    <xf numFmtId="0" fontId="23" fillId="0" borderId="72" xfId="0" applyFont="1" applyBorder="1" applyAlignment="1">
      <alignment horizontal="center" vertical="center"/>
    </xf>
    <xf numFmtId="0" fontId="23" fillId="0" borderId="2" xfId="0" applyFont="1" applyBorder="1" applyAlignment="1">
      <alignment horizontal="center" vertical="center"/>
    </xf>
    <xf numFmtId="0" fontId="23" fillId="0" borderId="70" xfId="0" applyFont="1" applyBorder="1" applyAlignment="1">
      <alignment horizontal="center" vertical="center"/>
    </xf>
    <xf numFmtId="4" fontId="23" fillId="0" borderId="13" xfId="0" applyNumberFormat="1" applyFont="1" applyBorder="1" applyAlignment="1">
      <alignment horizontal="center" vertical="center"/>
    </xf>
    <xf numFmtId="4" fontId="23" fillId="0" borderId="0" xfId="0" applyNumberFormat="1" applyFont="1" applyAlignment="1">
      <alignment horizontal="center" vertical="center"/>
    </xf>
    <xf numFmtId="4" fontId="23" fillId="0" borderId="14" xfId="0" applyNumberFormat="1" applyFont="1" applyBorder="1" applyAlignment="1">
      <alignment horizontal="center" vertical="center"/>
    </xf>
    <xf numFmtId="4" fontId="23" fillId="0" borderId="25" xfId="0" applyNumberFormat="1" applyFont="1" applyBorder="1" applyAlignment="1">
      <alignment horizontal="center" vertical="center"/>
    </xf>
    <xf numFmtId="4" fontId="23" fillId="0" borderId="9" xfId="0" applyNumberFormat="1" applyFont="1" applyBorder="1" applyAlignment="1">
      <alignment horizontal="center" vertical="center"/>
    </xf>
    <xf numFmtId="4" fontId="23" fillId="0" borderId="15" xfId="0" applyNumberFormat="1" applyFont="1" applyBorder="1" applyAlignment="1">
      <alignment horizontal="center" vertical="center"/>
    </xf>
    <xf numFmtId="4" fontId="23" fillId="0" borderId="18" xfId="0" applyNumberFormat="1" applyFont="1" applyBorder="1" applyAlignment="1">
      <alignment horizontal="left" vertical="center"/>
    </xf>
    <xf numFmtId="4" fontId="23" fillId="0" borderId="19" xfId="0" applyNumberFormat="1" applyFont="1" applyBorder="1" applyAlignment="1">
      <alignment horizontal="left" vertical="center"/>
    </xf>
    <xf numFmtId="4" fontId="23" fillId="0" borderId="17" xfId="0" applyNumberFormat="1" applyFont="1" applyBorder="1" applyAlignment="1">
      <alignment horizontal="left" vertical="center"/>
    </xf>
    <xf numFmtId="4" fontId="23" fillId="0" borderId="23" xfId="0" applyNumberFormat="1" applyFont="1" applyBorder="1" applyAlignment="1">
      <alignment horizontal="left" vertical="center"/>
    </xf>
    <xf numFmtId="0" fontId="14" fillId="0" borderId="26" xfId="0" applyFont="1" applyBorder="1" applyAlignment="1">
      <alignment horizontal="center" vertical="center"/>
    </xf>
    <xf numFmtId="0" fontId="14" fillId="0" borderId="71" xfId="0" applyFont="1" applyBorder="1" applyAlignment="1">
      <alignment horizontal="center" vertical="center"/>
    </xf>
    <xf numFmtId="0" fontId="14" fillId="0" borderId="26" xfId="0" applyFont="1" applyBorder="1" applyAlignment="1">
      <alignment horizontal="center" vertical="center" wrapText="1"/>
    </xf>
    <xf numFmtId="0" fontId="14" fillId="0" borderId="71" xfId="0" applyFont="1" applyBorder="1" applyAlignment="1">
      <alignment horizontal="center" vertical="center" wrapText="1"/>
    </xf>
    <xf numFmtId="0" fontId="23" fillId="0" borderId="13" xfId="0" applyFont="1" applyBorder="1" applyAlignment="1">
      <alignment horizontal="left" vertical="center"/>
    </xf>
    <xf numFmtId="0" fontId="23" fillId="0" borderId="0" xfId="0" applyFont="1" applyAlignment="1">
      <alignment horizontal="left" vertical="center"/>
    </xf>
    <xf numFmtId="49" fontId="23" fillId="3" borderId="31" xfId="0" applyNumberFormat="1" applyFont="1" applyFill="1" applyBorder="1" applyAlignment="1" applyProtection="1">
      <alignment horizontal="left" vertical="center" wrapText="1"/>
      <protection locked="0"/>
    </xf>
    <xf numFmtId="49" fontId="23" fillId="3" borderId="32" xfId="0" applyNumberFormat="1" applyFont="1" applyFill="1" applyBorder="1" applyAlignment="1" applyProtection="1">
      <alignment horizontal="left" vertical="center" wrapText="1"/>
      <protection locked="0"/>
    </xf>
    <xf numFmtId="49" fontId="129" fillId="0" borderId="21" xfId="0" applyNumberFormat="1" applyFont="1" applyBorder="1" applyAlignment="1" applyProtection="1">
      <alignment horizontal="center" vertical="center"/>
      <protection locked="0"/>
    </xf>
    <xf numFmtId="49" fontId="129" fillId="0" borderId="17" xfId="0" applyNumberFormat="1" applyFont="1" applyBorder="1" applyAlignment="1" applyProtection="1">
      <alignment horizontal="center" vertical="center"/>
      <protection locked="0"/>
    </xf>
    <xf numFmtId="0" fontId="14" fillId="0" borderId="26" xfId="0" applyFont="1" applyBorder="1" applyAlignment="1">
      <alignment horizontal="center"/>
    </xf>
    <xf numFmtId="0" fontId="14" fillId="0" borderId="18" xfId="0" applyFont="1" applyBorder="1" applyAlignment="1">
      <alignment horizontal="center"/>
    </xf>
    <xf numFmtId="49" fontId="23" fillId="3" borderId="22" xfId="0" applyNumberFormat="1" applyFont="1" applyFill="1" applyBorder="1" applyAlignment="1" applyProtection="1">
      <alignment horizontal="left" vertical="center" wrapText="1"/>
      <protection locked="0"/>
    </xf>
    <xf numFmtId="49" fontId="23" fillId="3" borderId="26" xfId="0" applyNumberFormat="1" applyFont="1" applyFill="1" applyBorder="1" applyAlignment="1" applyProtection="1">
      <alignment vertical="center"/>
      <protection locked="0"/>
    </xf>
    <xf numFmtId="0" fontId="99" fillId="0" borderId="11" xfId="0" applyFont="1" applyBorder="1" applyAlignment="1">
      <alignment horizontal="left" vertical="top"/>
    </xf>
    <xf numFmtId="0" fontId="99" fillId="0" borderId="24" xfId="0" applyFont="1" applyBorder="1" applyAlignment="1">
      <alignment horizontal="left" vertical="top"/>
    </xf>
    <xf numFmtId="0" fontId="99" fillId="0" borderId="0" xfId="0" applyFont="1" applyAlignment="1">
      <alignment horizontal="left" vertical="top"/>
    </xf>
    <xf numFmtId="0" fontId="99" fillId="0" borderId="14" xfId="0" applyFont="1" applyBorder="1" applyAlignment="1">
      <alignment horizontal="left" vertical="top"/>
    </xf>
    <xf numFmtId="0" fontId="99" fillId="0" borderId="17" xfId="0" applyFont="1" applyBorder="1" applyAlignment="1">
      <alignment horizontal="left" vertical="top"/>
    </xf>
    <xf numFmtId="0" fontId="99" fillId="0" borderId="23" xfId="0" applyFont="1" applyBorder="1" applyAlignment="1">
      <alignment horizontal="left" vertical="top"/>
    </xf>
    <xf numFmtId="0" fontId="34" fillId="0" borderId="26" xfId="0" applyFont="1" applyBorder="1" applyAlignment="1">
      <alignment horizontal="left" vertical="center"/>
    </xf>
    <xf numFmtId="0" fontId="34" fillId="0" borderId="21" xfId="0" applyFont="1" applyBorder="1" applyAlignment="1">
      <alignment horizontal="center" vertical="center"/>
    </xf>
    <xf numFmtId="0" fontId="34" fillId="0" borderId="17" xfId="0" applyFont="1" applyBorder="1" applyAlignment="1">
      <alignment horizontal="center" vertical="center"/>
    </xf>
    <xf numFmtId="0" fontId="34" fillId="0" borderId="19" xfId="0" applyFont="1" applyBorder="1" applyAlignment="1">
      <alignment horizontal="center" vertical="center"/>
    </xf>
    <xf numFmtId="0" fontId="37" fillId="0" borderId="31" xfId="0" applyFont="1" applyBorder="1" applyAlignment="1">
      <alignment horizontal="left" vertical="center"/>
    </xf>
    <xf numFmtId="0" fontId="37" fillId="0" borderId="42" xfId="0" applyFont="1" applyBorder="1" applyAlignment="1">
      <alignment horizontal="left" vertical="center"/>
    </xf>
    <xf numFmtId="0" fontId="37" fillId="0" borderId="24" xfId="0" applyFont="1" applyBorder="1" applyAlignment="1">
      <alignment horizontal="left" vertical="center"/>
    </xf>
    <xf numFmtId="4" fontId="14" fillId="0" borderId="27" xfId="0" applyNumberFormat="1" applyFont="1" applyBorder="1" applyAlignment="1">
      <alignment horizontal="center" vertical="center" wrapText="1"/>
    </xf>
    <xf numFmtId="4" fontId="14" fillId="0" borderId="53" xfId="0" applyNumberFormat="1" applyFont="1" applyBorder="1" applyAlignment="1">
      <alignment horizontal="left" vertical="center" wrapText="1"/>
    </xf>
    <xf numFmtId="4" fontId="14" fillId="0" borderId="55" xfId="0" applyNumberFormat="1" applyFont="1" applyBorder="1" applyAlignment="1">
      <alignment horizontal="left" vertical="center" wrapText="1"/>
    </xf>
    <xf numFmtId="0" fontId="43" fillId="0" borderId="0" xfId="0" applyFont="1" applyAlignment="1">
      <alignment horizontal="left" vertical="top" wrapText="1"/>
    </xf>
    <xf numFmtId="0" fontId="43" fillId="0" borderId="14" xfId="0" applyFont="1" applyBorder="1" applyAlignment="1">
      <alignment horizontal="left" vertical="top" wrapText="1"/>
    </xf>
    <xf numFmtId="0" fontId="115" fillId="0" borderId="21" xfId="0" applyFont="1" applyBorder="1" applyAlignment="1">
      <alignment horizontal="center" vertical="center"/>
    </xf>
    <xf numFmtId="0" fontId="115" fillId="0" borderId="23" xfId="0" applyFont="1" applyBorder="1" applyAlignment="1">
      <alignment horizontal="center" vertical="center"/>
    </xf>
    <xf numFmtId="0" fontId="23" fillId="0" borderId="18" xfId="0" applyFont="1" applyBorder="1" applyAlignment="1">
      <alignment horizontal="right" vertical="center"/>
    </xf>
    <xf numFmtId="0" fontId="27" fillId="0" borderId="21" xfId="0" applyFont="1" applyBorder="1" applyAlignment="1">
      <alignment horizontal="right" vertical="center"/>
    </xf>
    <xf numFmtId="0" fontId="27" fillId="0" borderId="17" xfId="0" applyFont="1" applyBorder="1" applyAlignment="1">
      <alignment horizontal="right" vertical="center"/>
    </xf>
    <xf numFmtId="49" fontId="23" fillId="3" borderId="21" xfId="0" applyNumberFormat="1" applyFont="1" applyFill="1" applyBorder="1" applyAlignment="1" applyProtection="1">
      <alignment horizontal="left" vertical="center" wrapText="1"/>
      <protection locked="0"/>
    </xf>
    <xf numFmtId="49" fontId="23" fillId="3" borderId="23" xfId="0" applyNumberFormat="1" applyFont="1" applyFill="1" applyBorder="1" applyAlignment="1" applyProtection="1">
      <alignment horizontal="left" vertical="center" wrapText="1"/>
      <protection locked="0"/>
    </xf>
    <xf numFmtId="4" fontId="27" fillId="0" borderId="37" xfId="0" applyNumberFormat="1" applyFont="1" applyBorder="1" applyAlignment="1">
      <alignment horizontal="left" vertical="center"/>
    </xf>
    <xf numFmtId="4" fontId="27" fillId="0" borderId="38" xfId="0" applyNumberFormat="1" applyFont="1" applyBorder="1" applyAlignment="1">
      <alignment horizontal="left" vertical="center"/>
    </xf>
    <xf numFmtId="4" fontId="27" fillId="0" borderId="33" xfId="0" applyNumberFormat="1" applyFont="1" applyBorder="1" applyAlignment="1">
      <alignment horizontal="left" vertical="center"/>
    </xf>
    <xf numFmtId="4" fontId="27" fillId="0" borderId="8" xfId="0" applyNumberFormat="1" applyFont="1" applyBorder="1" applyAlignment="1">
      <alignment horizontal="left" vertical="center"/>
    </xf>
    <xf numFmtId="0" fontId="14" fillId="0" borderId="18" xfId="0" applyFont="1" applyBorder="1" applyAlignment="1">
      <alignment horizontal="center" vertical="center" wrapText="1"/>
    </xf>
    <xf numFmtId="0" fontId="14" fillId="0" borderId="72" xfId="0" applyFont="1" applyBorder="1" applyAlignment="1">
      <alignment horizontal="center" vertical="center" wrapText="1"/>
    </xf>
    <xf numFmtId="0" fontId="106" fillId="0" borderId="18" xfId="0" applyFont="1" applyBorder="1" applyAlignment="1">
      <alignment horizontal="left" vertical="center"/>
    </xf>
    <xf numFmtId="0" fontId="106" fillId="0" borderId="19" xfId="0" applyFont="1" applyBorder="1" applyAlignment="1">
      <alignment horizontal="left" vertical="center"/>
    </xf>
    <xf numFmtId="4" fontId="14" fillId="0" borderId="18" xfId="0" applyNumberFormat="1" applyFont="1" applyBorder="1" applyAlignment="1">
      <alignment horizontal="center" vertical="center" wrapText="1"/>
    </xf>
    <xf numFmtId="49" fontId="34" fillId="0" borderId="20" xfId="0" applyNumberFormat="1" applyFont="1" applyBorder="1" applyAlignment="1" applyProtection="1">
      <alignment horizontal="center" vertical="center"/>
      <protection locked="0"/>
    </xf>
    <xf numFmtId="49" fontId="34" fillId="0" borderId="11" xfId="0" applyNumberFormat="1" applyFont="1" applyBorder="1" applyAlignment="1" applyProtection="1">
      <alignment horizontal="center" vertical="center"/>
      <protection locked="0"/>
    </xf>
    <xf numFmtId="49" fontId="23" fillId="0" borderId="31" xfId="0" applyNumberFormat="1" applyFont="1" applyBorder="1" applyAlignment="1" applyProtection="1">
      <alignment horizontal="left" vertical="center"/>
      <protection locked="0"/>
    </xf>
    <xf numFmtId="49" fontId="23" fillId="0" borderId="42" xfId="0" applyNumberFormat="1" applyFont="1" applyBorder="1" applyAlignment="1" applyProtection="1">
      <alignment horizontal="left" vertical="center"/>
      <protection locked="0"/>
    </xf>
    <xf numFmtId="9" fontId="23" fillId="0" borderId="18" xfId="9" applyNumberFormat="1" applyFont="1" applyBorder="1" applyAlignment="1">
      <alignment horizontal="left" vertical="center"/>
    </xf>
    <xf numFmtId="9" fontId="23" fillId="0" borderId="19" xfId="9" applyNumberFormat="1" applyFont="1" applyBorder="1" applyAlignment="1">
      <alignment horizontal="left" vertical="center"/>
    </xf>
    <xf numFmtId="4" fontId="23" fillId="0" borderId="80" xfId="0" applyNumberFormat="1" applyFont="1" applyBorder="1" applyAlignment="1">
      <alignment horizontal="center" vertical="center"/>
    </xf>
    <xf numFmtId="4" fontId="23" fillId="0" borderId="81" xfId="0" applyNumberFormat="1" applyFont="1" applyBorder="1" applyAlignment="1">
      <alignment horizontal="center" vertical="center"/>
    </xf>
    <xf numFmtId="4" fontId="27" fillId="4" borderId="13" xfId="0" applyNumberFormat="1" applyFont="1" applyFill="1" applyBorder="1" applyAlignment="1">
      <alignment horizontal="left" vertical="top" wrapText="1"/>
    </xf>
    <xf numFmtId="4" fontId="27" fillId="4" borderId="0" xfId="0" applyNumberFormat="1" applyFont="1" applyFill="1" applyAlignment="1">
      <alignment horizontal="left" vertical="top" wrapText="1"/>
    </xf>
    <xf numFmtId="4" fontId="27" fillId="4" borderId="17" xfId="0" applyNumberFormat="1" applyFont="1" applyFill="1" applyBorder="1" applyAlignment="1">
      <alignment horizontal="left" vertical="center" wrapText="1"/>
    </xf>
    <xf numFmtId="4" fontId="34" fillId="4" borderId="0" xfId="0" applyNumberFormat="1" applyFont="1" applyFill="1" applyAlignment="1">
      <alignment horizontal="center" vertical="center"/>
    </xf>
    <xf numFmtId="4" fontId="27" fillId="4" borderId="18" xfId="0" applyNumberFormat="1" applyFont="1" applyFill="1" applyBorder="1" applyAlignment="1">
      <alignment horizontal="left" vertical="center"/>
    </xf>
    <xf numFmtId="4" fontId="27" fillId="4" borderId="19" xfId="0" applyNumberFormat="1" applyFont="1" applyFill="1" applyBorder="1" applyAlignment="1">
      <alignment horizontal="left" vertical="center"/>
    </xf>
    <xf numFmtId="4" fontId="27" fillId="4" borderId="13" xfId="0" applyNumberFormat="1" applyFont="1" applyFill="1" applyBorder="1" applyAlignment="1">
      <alignment horizontal="left" vertical="center"/>
    </xf>
    <xf numFmtId="4" fontId="27" fillId="4" borderId="0" xfId="0" applyNumberFormat="1" applyFont="1" applyFill="1" applyAlignment="1">
      <alignment horizontal="left" vertical="center"/>
    </xf>
    <xf numFmtId="4" fontId="23" fillId="0" borderId="20" xfId="0" applyNumberFormat="1" applyFont="1" applyBorder="1" applyAlignment="1">
      <alignment horizontal="left" vertical="top" wrapText="1"/>
    </xf>
    <xf numFmtId="4" fontId="23" fillId="0" borderId="24" xfId="0" applyNumberFormat="1" applyFont="1" applyBorder="1" applyAlignment="1">
      <alignment horizontal="left" vertical="top" wrapText="1"/>
    </xf>
    <xf numFmtId="4" fontId="23" fillId="0" borderId="13" xfId="0" applyNumberFormat="1" applyFont="1" applyBorder="1" applyAlignment="1">
      <alignment horizontal="left" vertical="top" wrapText="1"/>
    </xf>
    <xf numFmtId="4" fontId="23" fillId="0" borderId="14" xfId="0" applyNumberFormat="1" applyFont="1" applyBorder="1" applyAlignment="1">
      <alignment horizontal="left" vertical="top" wrapText="1"/>
    </xf>
    <xf numFmtId="4" fontId="23" fillId="0" borderId="53" xfId="0" applyNumberFormat="1" applyFont="1" applyBorder="1" applyAlignment="1">
      <alignment horizontal="left" vertical="top" wrapText="1"/>
    </xf>
    <xf numFmtId="4" fontId="23" fillId="0" borderId="55" xfId="0" applyNumberFormat="1" applyFont="1" applyBorder="1" applyAlignment="1">
      <alignment horizontal="left" vertical="top" wrapText="1"/>
    </xf>
    <xf numFmtId="0" fontId="115" fillId="0" borderId="18" xfId="0" applyFont="1" applyBorder="1" applyAlignment="1">
      <alignment horizontal="center" vertical="center"/>
    </xf>
    <xf numFmtId="0" fontId="115" fillId="0" borderId="19" xfId="0" applyFont="1" applyBorder="1" applyAlignment="1">
      <alignment horizontal="center" vertical="center"/>
    </xf>
    <xf numFmtId="186" fontId="23" fillId="0" borderId="13" xfId="9" applyNumberFormat="1" applyFont="1" applyBorder="1" applyAlignment="1">
      <alignment horizontal="right" vertical="center"/>
    </xf>
    <xf numFmtId="186" fontId="23" fillId="0" borderId="25" xfId="9" applyNumberFormat="1" applyFont="1" applyBorder="1" applyAlignment="1">
      <alignment horizontal="right" vertical="center"/>
    </xf>
    <xf numFmtId="4" fontId="23" fillId="5" borderId="27" xfId="0" applyNumberFormat="1" applyFont="1" applyFill="1" applyBorder="1" applyAlignment="1">
      <alignment horizontal="center" vertical="center"/>
    </xf>
    <xf numFmtId="4" fontId="23" fillId="5" borderId="40" xfId="0" applyNumberFormat="1" applyFont="1" applyFill="1" applyBorder="1" applyAlignment="1">
      <alignment horizontal="center" vertical="center"/>
    </xf>
    <xf numFmtId="49" fontId="23" fillId="3" borderId="26" xfId="0" applyNumberFormat="1" applyFont="1" applyFill="1" applyBorder="1" applyAlignment="1" applyProtection="1">
      <alignment horizontal="left" vertical="center" wrapText="1"/>
      <protection locked="0"/>
    </xf>
    <xf numFmtId="4" fontId="27" fillId="4" borderId="20" xfId="0" applyNumberFormat="1" applyFont="1" applyFill="1" applyBorder="1" applyAlignment="1">
      <alignment horizontal="left" vertical="top" wrapText="1"/>
    </xf>
    <xf numFmtId="4" fontId="27" fillId="4" borderId="24" xfId="0" applyNumberFormat="1" applyFont="1" applyFill="1" applyBorder="1" applyAlignment="1">
      <alignment horizontal="left" vertical="top" wrapText="1"/>
    </xf>
    <xf numFmtId="4" fontId="27" fillId="4" borderId="21" xfId="0" applyNumberFormat="1" applyFont="1" applyFill="1" applyBorder="1" applyAlignment="1">
      <alignment horizontal="left" vertical="top" wrapText="1"/>
    </xf>
    <xf numFmtId="4" fontId="27" fillId="4" borderId="23" xfId="0" applyNumberFormat="1" applyFont="1" applyFill="1" applyBorder="1" applyAlignment="1">
      <alignment horizontal="left" vertical="top" wrapText="1"/>
    </xf>
    <xf numFmtId="4" fontId="27" fillId="4" borderId="26" xfId="0" applyNumberFormat="1" applyFont="1" applyFill="1" applyBorder="1" applyAlignment="1">
      <alignment horizontal="left" vertical="center" wrapText="1"/>
    </xf>
    <xf numFmtId="49" fontId="129" fillId="0" borderId="18" xfId="0" applyNumberFormat="1" applyFont="1" applyBorder="1" applyAlignment="1" applyProtection="1">
      <alignment horizontal="center"/>
      <protection locked="0"/>
    </xf>
    <xf numFmtId="49" fontId="129" fillId="0" borderId="19" xfId="0" applyNumberFormat="1" applyFont="1" applyBorder="1" applyAlignment="1" applyProtection="1">
      <alignment horizontal="center"/>
      <protection locked="0"/>
    </xf>
    <xf numFmtId="49" fontId="16" fillId="0" borderId="13" xfId="0" applyNumberFormat="1" applyFont="1" applyBorder="1" applyAlignment="1" applyProtection="1">
      <alignment horizontal="center" vertical="center"/>
      <protection locked="0"/>
    </xf>
    <xf numFmtId="49" fontId="16" fillId="0" borderId="0" xfId="0" applyNumberFormat="1" applyFont="1" applyAlignment="1" applyProtection="1">
      <alignment horizontal="center" vertical="center"/>
      <protection locked="0"/>
    </xf>
    <xf numFmtId="49" fontId="130" fillId="0" borderId="18" xfId="0" applyNumberFormat="1" applyFont="1" applyBorder="1" applyAlignment="1" applyProtection="1">
      <alignment horizontal="center" vertical="center"/>
      <protection locked="0"/>
    </xf>
    <xf numFmtId="49" fontId="130" fillId="0" borderId="19" xfId="0" applyNumberFormat="1" applyFont="1" applyBorder="1" applyAlignment="1" applyProtection="1">
      <alignment horizontal="center" vertical="center"/>
      <protection locked="0"/>
    </xf>
    <xf numFmtId="4" fontId="14" fillId="0" borderId="26" xfId="0" applyNumberFormat="1" applyFont="1" applyBorder="1" applyAlignment="1">
      <alignment horizontal="center" vertical="center" wrapText="1"/>
    </xf>
    <xf numFmtId="0" fontId="43" fillId="0" borderId="0" xfId="0" applyFont="1" applyAlignment="1" applyProtection="1">
      <alignment horizontal="left" vertical="top" wrapText="1"/>
      <protection hidden="1"/>
    </xf>
    <xf numFmtId="0" fontId="43" fillId="0" borderId="14" xfId="0" applyFont="1" applyBorder="1" applyAlignment="1" applyProtection="1">
      <alignment horizontal="left" vertical="top" wrapText="1"/>
      <protection hidden="1"/>
    </xf>
    <xf numFmtId="0" fontId="99" fillId="0" borderId="0" xfId="0" applyFont="1" applyAlignment="1" applyProtection="1">
      <alignment horizontal="left" wrapText="1"/>
      <protection hidden="1"/>
    </xf>
    <xf numFmtId="0" fontId="99" fillId="0" borderId="14" xfId="0" applyFont="1" applyBorder="1" applyAlignment="1" applyProtection="1">
      <alignment horizontal="left" wrapText="1"/>
      <protection hidden="1"/>
    </xf>
    <xf numFmtId="4" fontId="23" fillId="0" borderId="25" xfId="0" applyNumberFormat="1" applyFont="1" applyBorder="1" applyAlignment="1">
      <alignment horizontal="left" vertical="center"/>
    </xf>
    <xf numFmtId="4" fontId="23" fillId="0" borderId="9" xfId="0" applyNumberFormat="1" applyFont="1" applyBorder="1" applyAlignment="1">
      <alignment horizontal="left" vertical="center"/>
    </xf>
    <xf numFmtId="0" fontId="43" fillId="0" borderId="0" xfId="0" applyFont="1" applyAlignment="1">
      <alignment vertical="center" wrapText="1"/>
    </xf>
    <xf numFmtId="0" fontId="43" fillId="0" borderId="14" xfId="0" applyFont="1" applyBorder="1" applyAlignment="1">
      <alignment horizontal="center" vertical="top" wrapText="1"/>
    </xf>
    <xf numFmtId="0" fontId="27" fillId="0" borderId="20" xfId="0" applyFont="1" applyBorder="1" applyAlignment="1">
      <alignment horizontal="left" vertical="top" wrapText="1"/>
    </xf>
    <xf numFmtId="0" fontId="23" fillId="0" borderId="13" xfId="0" applyFont="1" applyBorder="1" applyAlignment="1">
      <alignment horizontal="left" vertical="top"/>
    </xf>
    <xf numFmtId="0" fontId="52" fillId="0" borderId="13" xfId="0" applyFont="1" applyBorder="1" applyAlignment="1">
      <alignment horizontal="center" vertical="center"/>
    </xf>
    <xf numFmtId="0" fontId="52" fillId="0" borderId="0" xfId="0" applyFont="1" applyAlignment="1">
      <alignment horizontal="center" vertical="center"/>
    </xf>
    <xf numFmtId="0" fontId="34" fillId="4" borderId="13" xfId="0" applyFont="1" applyFill="1" applyBorder="1" applyAlignment="1">
      <alignment horizontal="left" vertical="center" wrapText="1"/>
    </xf>
    <xf numFmtId="0" fontId="34" fillId="4" borderId="0" xfId="0" applyFont="1" applyFill="1" applyAlignment="1">
      <alignment horizontal="left" vertical="center" wrapText="1"/>
    </xf>
    <xf numFmtId="0" fontId="27" fillId="4" borderId="13" xfId="0" applyFont="1" applyFill="1" applyBorder="1" applyAlignment="1">
      <alignment horizontal="center" vertical="center"/>
    </xf>
    <xf numFmtId="0" fontId="27" fillId="4" borderId="0" xfId="0" applyFont="1" applyFill="1" applyAlignment="1">
      <alignment horizontal="center" vertical="center"/>
    </xf>
    <xf numFmtId="49" fontId="23" fillId="3" borderId="13" xfId="0" applyNumberFormat="1" applyFont="1" applyFill="1" applyBorder="1" applyAlignment="1" applyProtection="1">
      <alignment horizontal="left" vertical="top"/>
      <protection locked="0"/>
    </xf>
    <xf numFmtId="49" fontId="23" fillId="3" borderId="0" xfId="0" applyNumberFormat="1" applyFont="1" applyFill="1" applyAlignment="1" applyProtection="1">
      <alignment horizontal="left" vertical="top"/>
      <protection locked="0"/>
    </xf>
    <xf numFmtId="49" fontId="23" fillId="3" borderId="21" xfId="0" applyNumberFormat="1" applyFont="1" applyFill="1" applyBorder="1" applyAlignment="1" applyProtection="1">
      <alignment horizontal="left" vertical="top"/>
      <protection locked="0"/>
    </xf>
    <xf numFmtId="49" fontId="23" fillId="3" borderId="17" xfId="0" applyNumberFormat="1" applyFont="1" applyFill="1" applyBorder="1" applyAlignment="1" applyProtection="1">
      <alignment horizontal="left" vertical="top"/>
      <protection locked="0"/>
    </xf>
    <xf numFmtId="0" fontId="14" fillId="0" borderId="72" xfId="0" applyFont="1" applyBorder="1" applyAlignment="1">
      <alignment horizontal="center" vertical="center"/>
    </xf>
    <xf numFmtId="0" fontId="14" fillId="0" borderId="2" xfId="0" applyFont="1" applyBorder="1" applyAlignment="1">
      <alignment horizontal="center" vertical="center"/>
    </xf>
    <xf numFmtId="49" fontId="27" fillId="3" borderId="18" xfId="0" applyNumberFormat="1" applyFont="1" applyFill="1" applyBorder="1" applyAlignment="1" applyProtection="1">
      <alignment horizontal="left" vertical="center"/>
      <protection locked="0"/>
    </xf>
    <xf numFmtId="49" fontId="27" fillId="3" borderId="19" xfId="0" applyNumberFormat="1" applyFont="1" applyFill="1" applyBorder="1" applyAlignment="1" applyProtection="1">
      <alignment horizontal="left" vertical="center"/>
      <protection locked="0"/>
    </xf>
    <xf numFmtId="0" fontId="27" fillId="4" borderId="18" xfId="0" applyFont="1" applyFill="1" applyBorder="1" applyAlignment="1">
      <alignment horizontal="left" vertical="center" wrapText="1"/>
    </xf>
    <xf numFmtId="0" fontId="27" fillId="4" borderId="19" xfId="0" applyFont="1" applyFill="1" applyBorder="1" applyAlignment="1">
      <alignment horizontal="left" vertical="center" wrapText="1"/>
    </xf>
    <xf numFmtId="0" fontId="27" fillId="4" borderId="22" xfId="0" applyFont="1" applyFill="1" applyBorder="1" applyAlignment="1">
      <alignment horizontal="left" vertical="center" wrapText="1"/>
    </xf>
    <xf numFmtId="49" fontId="23" fillId="3" borderId="0" xfId="0" applyNumberFormat="1" applyFont="1" applyFill="1" applyAlignment="1" applyProtection="1">
      <alignment horizontal="left" vertical="top" wrapText="1"/>
      <protection locked="0"/>
    </xf>
    <xf numFmtId="0" fontId="56" fillId="0" borderId="17" xfId="20" applyFont="1" applyBorder="1" applyAlignment="1" applyProtection="1">
      <alignment horizontal="center" vertical="center"/>
      <protection locked="0" hidden="1"/>
    </xf>
    <xf numFmtId="0" fontId="56" fillId="0" borderId="23" xfId="20" applyFont="1" applyBorder="1" applyAlignment="1" applyProtection="1">
      <alignment horizontal="center" vertical="center"/>
      <protection locked="0" hidden="1"/>
    </xf>
    <xf numFmtId="0" fontId="23" fillId="0" borderId="20"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17" xfId="0" applyFont="1" applyBorder="1" applyAlignment="1">
      <alignment horizontal="center" vertical="center" wrapText="1"/>
    </xf>
    <xf numFmtId="14" fontId="23" fillId="3" borderId="11" xfId="0" applyNumberFormat="1" applyFont="1" applyFill="1" applyBorder="1" applyAlignment="1" applyProtection="1">
      <alignment horizontal="center" vertical="center"/>
      <protection locked="0"/>
    </xf>
    <xf numFmtId="14" fontId="23" fillId="3" borderId="17" xfId="0" applyNumberFormat="1" applyFont="1" applyFill="1" applyBorder="1" applyAlignment="1" applyProtection="1">
      <alignment horizontal="center" vertical="center"/>
      <protection locked="0"/>
    </xf>
    <xf numFmtId="0" fontId="27" fillId="4" borderId="13" xfId="0" applyFont="1" applyFill="1" applyBorder="1" applyAlignment="1">
      <alignment horizontal="left" vertical="center" wrapText="1"/>
    </xf>
    <xf numFmtId="0" fontId="27" fillId="4" borderId="0" xfId="0" applyFont="1" applyFill="1" applyAlignment="1">
      <alignment horizontal="left" vertical="center" wrapText="1"/>
    </xf>
    <xf numFmtId="0" fontId="23" fillId="0" borderId="13" xfId="0" applyFont="1" applyBorder="1" applyAlignment="1">
      <alignment horizontal="center" vertical="top" wrapText="1"/>
    </xf>
    <xf numFmtId="0" fontId="23" fillId="0" borderId="21" xfId="0" applyFont="1" applyBorder="1" applyAlignment="1">
      <alignment horizontal="center" vertical="top" wrapText="1"/>
    </xf>
    <xf numFmtId="0" fontId="23" fillId="0" borderId="17" xfId="0" applyFont="1" applyBorder="1" applyAlignment="1">
      <alignment horizontal="center" vertical="top" wrapText="1"/>
    </xf>
    <xf numFmtId="0" fontId="27" fillId="4" borderId="37" xfId="0" applyFont="1" applyFill="1" applyBorder="1" applyAlignment="1">
      <alignment horizontal="left" vertical="center"/>
    </xf>
    <xf numFmtId="0" fontId="27" fillId="4" borderId="38" xfId="0" applyFont="1" applyFill="1" applyBorder="1" applyAlignment="1">
      <alignment horizontal="left" vertical="center"/>
    </xf>
    <xf numFmtId="0" fontId="99" fillId="0" borderId="20" xfId="0" applyFont="1" applyBorder="1" applyAlignment="1">
      <alignment horizontal="center" vertical="top" wrapText="1"/>
    </xf>
    <xf numFmtId="0" fontId="99" fillId="0" borderId="11" xfId="0" applyFont="1" applyBorder="1" applyAlignment="1">
      <alignment horizontal="center" vertical="top" wrapText="1"/>
    </xf>
    <xf numFmtId="0" fontId="99" fillId="0" borderId="13" xfId="0" applyFont="1" applyBorder="1" applyAlignment="1">
      <alignment horizontal="center" vertical="top" wrapText="1"/>
    </xf>
    <xf numFmtId="0" fontId="99" fillId="0" borderId="0" xfId="0" applyFont="1" applyAlignment="1">
      <alignment horizontal="center" vertical="top" wrapText="1"/>
    </xf>
    <xf numFmtId="0" fontId="99" fillId="0" borderId="25" xfId="0" applyFont="1" applyBorder="1" applyAlignment="1">
      <alignment horizontal="center" vertical="top" wrapText="1"/>
    </xf>
    <xf numFmtId="0" fontId="99" fillId="0" borderId="9" xfId="0" applyFont="1" applyBorder="1" applyAlignment="1">
      <alignment horizontal="center" vertical="top" wrapText="1"/>
    </xf>
    <xf numFmtId="0" fontId="14" fillId="0" borderId="53" xfId="0" applyFont="1" applyBorder="1" applyAlignment="1">
      <alignment horizontal="left" vertical="center" wrapText="1"/>
    </xf>
    <xf numFmtId="0" fontId="14" fillId="0" borderId="54" xfId="0" applyFont="1" applyBorder="1" applyAlignment="1">
      <alignment horizontal="left" vertical="center" wrapText="1"/>
    </xf>
    <xf numFmtId="0" fontId="14" fillId="0" borderId="55" xfId="0" applyFont="1" applyBorder="1" applyAlignment="1">
      <alignment horizontal="left" vertical="center" wrapText="1"/>
    </xf>
    <xf numFmtId="0" fontId="85" fillId="0" borderId="11" xfId="0" applyFont="1" applyBorder="1" applyAlignment="1">
      <alignment horizontal="left" vertical="top" wrapText="1"/>
    </xf>
    <xf numFmtId="0" fontId="85" fillId="0" borderId="0" xfId="0" applyFont="1" applyAlignment="1">
      <alignment horizontal="left" vertical="top" wrapText="1"/>
    </xf>
    <xf numFmtId="49" fontId="71" fillId="3" borderId="22" xfId="0" applyNumberFormat="1" applyFont="1" applyFill="1" applyBorder="1" applyAlignment="1" applyProtection="1">
      <alignment horizontal="center" vertical="center"/>
      <protection locked="0"/>
    </xf>
    <xf numFmtId="0" fontId="27" fillId="4" borderId="21" xfId="0" applyFont="1" applyFill="1" applyBorder="1" applyAlignment="1">
      <alignment horizontal="left" vertical="center" wrapText="1"/>
    </xf>
    <xf numFmtId="0" fontId="27" fillId="4" borderId="17" xfId="0" applyFont="1" applyFill="1" applyBorder="1" applyAlignment="1">
      <alignment horizontal="left" vertical="center" wrapText="1"/>
    </xf>
    <xf numFmtId="0" fontId="27" fillId="4" borderId="23" xfId="0" applyFont="1" applyFill="1" applyBorder="1" applyAlignment="1">
      <alignment horizontal="left" vertical="center" wrapText="1"/>
    </xf>
    <xf numFmtId="0" fontId="82" fillId="0" borderId="18" xfId="0" applyFont="1" applyBorder="1" applyAlignment="1">
      <alignment horizontal="center" vertical="center"/>
    </xf>
    <xf numFmtId="0" fontId="82" fillId="0" borderId="19" xfId="0" applyFont="1" applyBorder="1" applyAlignment="1">
      <alignment horizontal="center" vertical="center"/>
    </xf>
    <xf numFmtId="0" fontId="82" fillId="0" borderId="22" xfId="0" applyFont="1" applyBorder="1" applyAlignment="1">
      <alignment horizontal="center" vertical="center"/>
    </xf>
    <xf numFmtId="0" fontId="23" fillId="0" borderId="20" xfId="0" applyFont="1" applyBorder="1" applyAlignment="1">
      <alignment horizontal="left" vertical="top"/>
    </xf>
    <xf numFmtId="181" fontId="11" fillId="4" borderId="11" xfId="0" applyNumberFormat="1" applyFont="1" applyFill="1" applyBorder="1" applyAlignment="1">
      <alignment horizontal="center" vertical="center"/>
    </xf>
    <xf numFmtId="49" fontId="14" fillId="3" borderId="19" xfId="0" applyNumberFormat="1" applyFont="1" applyFill="1" applyBorder="1" applyAlignment="1" applyProtection="1">
      <alignment horizontal="left" vertical="center"/>
      <protection locked="0"/>
    </xf>
    <xf numFmtId="49" fontId="14" fillId="3" borderId="22" xfId="0" applyNumberFormat="1" applyFont="1" applyFill="1" applyBorder="1" applyAlignment="1" applyProtection="1">
      <alignment horizontal="left" vertical="center"/>
      <protection locked="0"/>
    </xf>
    <xf numFmtId="49" fontId="14" fillId="3" borderId="17" xfId="0" applyNumberFormat="1" applyFont="1" applyFill="1" applyBorder="1" applyAlignment="1" applyProtection="1">
      <alignment horizontal="left" vertical="center"/>
      <protection locked="0"/>
    </xf>
    <xf numFmtId="49" fontId="14" fillId="3" borderId="23" xfId="0" applyNumberFormat="1" applyFont="1" applyFill="1" applyBorder="1" applyAlignment="1" applyProtection="1">
      <alignment horizontal="left" vertical="center"/>
      <protection locked="0"/>
    </xf>
    <xf numFmtId="0" fontId="27" fillId="0" borderId="20" xfId="0" applyFont="1" applyBorder="1" applyAlignment="1">
      <alignment vertical="top" wrapText="1"/>
    </xf>
    <xf numFmtId="0" fontId="23" fillId="0" borderId="11" xfId="0" applyFont="1" applyBorder="1" applyAlignment="1">
      <alignment vertical="top"/>
    </xf>
    <xf numFmtId="0" fontId="23" fillId="0" borderId="21" xfId="0" applyFont="1" applyBorder="1" applyAlignment="1">
      <alignment vertical="top"/>
    </xf>
    <xf numFmtId="0" fontId="23" fillId="0" borderId="17" xfId="0" applyFont="1" applyBorder="1" applyAlignment="1">
      <alignment vertical="top"/>
    </xf>
    <xf numFmtId="0" fontId="14" fillId="4" borderId="0" xfId="0" applyFont="1" applyFill="1" applyAlignment="1">
      <alignment horizontal="center" vertical="top" wrapText="1"/>
    </xf>
    <xf numFmtId="0" fontId="34" fillId="0" borderId="18" xfId="0" applyFont="1" applyBorder="1" applyAlignment="1">
      <alignment horizontal="right" vertical="center"/>
    </xf>
    <xf numFmtId="0" fontId="34" fillId="0" borderId="19" xfId="0" applyFont="1" applyBorder="1" applyAlignment="1">
      <alignment horizontal="right" vertical="center"/>
    </xf>
    <xf numFmtId="0" fontId="23" fillId="0" borderId="13" xfId="0" applyFont="1" applyBorder="1" applyAlignment="1">
      <alignment horizontal="center"/>
    </xf>
    <xf numFmtId="0" fontId="23" fillId="0" borderId="0" xfId="0" applyFont="1" applyAlignment="1">
      <alignment horizontal="center"/>
    </xf>
    <xf numFmtId="9" fontId="23" fillId="0" borderId="21" xfId="9" applyNumberFormat="1" applyFont="1" applyBorder="1" applyAlignment="1">
      <alignment horizontal="left" vertical="center"/>
    </xf>
    <xf numFmtId="9" fontId="23" fillId="0" borderId="17" xfId="9" applyNumberFormat="1" applyFont="1" applyBorder="1" applyAlignment="1">
      <alignment horizontal="left" vertical="center"/>
    </xf>
    <xf numFmtId="4" fontId="23" fillId="0" borderId="31" xfId="0" applyNumberFormat="1" applyFont="1" applyBorder="1" applyAlignment="1">
      <alignment horizontal="left" vertical="center"/>
    </xf>
    <xf numFmtId="4" fontId="23" fillId="0" borderId="42" xfId="0" applyNumberFormat="1" applyFont="1" applyBorder="1" applyAlignment="1">
      <alignment horizontal="left" vertical="center"/>
    </xf>
    <xf numFmtId="44" fontId="23" fillId="0" borderId="92" xfId="15" applyFont="1" applyFill="1" applyBorder="1" applyAlignment="1" applyProtection="1">
      <alignment horizontal="right" vertical="center"/>
    </xf>
    <xf numFmtId="44" fontId="23" fillId="0" borderId="93" xfId="15" applyFont="1" applyFill="1" applyBorder="1" applyAlignment="1" applyProtection="1">
      <alignment horizontal="right" vertical="center"/>
    </xf>
    <xf numFmtId="0" fontId="27" fillId="0" borderId="13" xfId="0" applyFont="1" applyBorder="1" applyAlignment="1">
      <alignment horizontal="center" vertical="top" wrapText="1"/>
    </xf>
    <xf numFmtId="0" fontId="23" fillId="29" borderId="87" xfId="0" applyFont="1" applyFill="1" applyBorder="1" applyAlignment="1">
      <alignment horizontal="left" vertical="center"/>
    </xf>
    <xf numFmtId="0" fontId="23" fillId="29" borderId="88" xfId="0" applyFont="1" applyFill="1" applyBorder="1" applyAlignment="1">
      <alignment horizontal="left" vertical="center"/>
    </xf>
    <xf numFmtId="0" fontId="27" fillId="0" borderId="13" xfId="0" applyFont="1" applyBorder="1" applyAlignment="1">
      <alignment horizontal="left" vertical="center"/>
    </xf>
    <xf numFmtId="0" fontId="27" fillId="0" borderId="0" xfId="0" applyFont="1" applyAlignment="1">
      <alignment horizontal="left" vertical="center"/>
    </xf>
    <xf numFmtId="0" fontId="99" fillId="0" borderId="21" xfId="0" applyFont="1" applyBorder="1" applyAlignment="1">
      <alignment horizontal="left" vertical="center"/>
    </xf>
    <xf numFmtId="0" fontId="99" fillId="0" borderId="17" xfId="0" applyFont="1" applyBorder="1" applyAlignment="1">
      <alignment horizontal="left" vertical="center"/>
    </xf>
    <xf numFmtId="0" fontId="99" fillId="0" borderId="23" xfId="0" applyFont="1" applyBorder="1" applyAlignment="1">
      <alignment horizontal="left" vertical="center"/>
    </xf>
    <xf numFmtId="0" fontId="43" fillId="0" borderId="14" xfId="0" applyFont="1" applyBorder="1" applyAlignment="1">
      <alignment horizontal="center" vertical="center" wrapText="1"/>
    </xf>
    <xf numFmtId="0" fontId="72" fillId="0" borderId="26" xfId="0" applyFont="1" applyBorder="1" applyAlignment="1">
      <alignment horizontal="left" vertical="center"/>
    </xf>
    <xf numFmtId="0" fontId="27" fillId="4" borderId="14" xfId="0" applyFont="1" applyFill="1" applyBorder="1" applyAlignment="1">
      <alignment horizontal="left" vertical="center"/>
    </xf>
    <xf numFmtId="4" fontId="39" fillId="0" borderId="26" xfId="0" applyNumberFormat="1" applyFont="1" applyBorder="1" applyAlignment="1">
      <alignment horizontal="left" vertical="center"/>
    </xf>
    <xf numFmtId="4" fontId="23" fillId="0" borderId="26" xfId="0" applyNumberFormat="1" applyFont="1" applyBorder="1" applyAlignment="1">
      <alignment horizontal="left" vertical="center"/>
    </xf>
    <xf numFmtId="0" fontId="23" fillId="0" borderId="11" xfId="0" applyFont="1" applyBorder="1" applyAlignment="1">
      <alignment horizontal="center" vertical="center"/>
    </xf>
    <xf numFmtId="0" fontId="14" fillId="0" borderId="29"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56" xfId="0" applyFont="1" applyBorder="1" applyAlignment="1">
      <alignment horizontal="center" vertical="center" wrapText="1"/>
    </xf>
    <xf numFmtId="0" fontId="52" fillId="0" borderId="27" xfId="0" applyFont="1" applyBorder="1" applyAlignment="1">
      <alignment horizontal="center" vertical="center" wrapText="1"/>
    </xf>
    <xf numFmtId="0" fontId="52" fillId="0" borderId="56" xfId="0" applyFont="1" applyBorder="1" applyAlignment="1">
      <alignment horizontal="center" vertical="center" wrapText="1"/>
    </xf>
    <xf numFmtId="4" fontId="23" fillId="0" borderId="32" xfId="0" applyNumberFormat="1" applyFont="1" applyBorder="1" applyAlignment="1">
      <alignment horizontal="left" vertical="center"/>
    </xf>
    <xf numFmtId="0" fontId="14" fillId="0" borderId="0" xfId="0" applyFont="1" applyAlignment="1">
      <alignment horizontal="left" wrapText="1"/>
    </xf>
    <xf numFmtId="0" fontId="14" fillId="0" borderId="14" xfId="0" applyFont="1" applyBorder="1" applyAlignment="1">
      <alignment horizontal="left" wrapText="1"/>
    </xf>
    <xf numFmtId="4" fontId="27" fillId="0" borderId="13" xfId="0" applyNumberFormat="1" applyFont="1" applyBorder="1" applyAlignment="1">
      <alignment horizontal="left" vertical="top" wrapText="1"/>
    </xf>
    <xf numFmtId="4" fontId="27" fillId="0" borderId="0" xfId="0" applyNumberFormat="1" applyFont="1" applyAlignment="1">
      <alignment horizontal="left" vertical="top" wrapText="1"/>
    </xf>
    <xf numFmtId="0" fontId="99" fillId="0" borderId="20" xfId="0" applyFont="1" applyBorder="1" applyAlignment="1">
      <alignment horizontal="left" vertical="center"/>
    </xf>
    <xf numFmtId="0" fontId="99" fillId="0" borderId="11" xfId="0" applyFont="1" applyBorder="1" applyAlignment="1">
      <alignment horizontal="left" vertical="center"/>
    </xf>
    <xf numFmtId="0" fontId="99" fillId="0" borderId="24" xfId="0" applyFont="1" applyBorder="1" applyAlignment="1">
      <alignment horizontal="left" vertical="center"/>
    </xf>
    <xf numFmtId="0" fontId="23" fillId="0" borderId="20" xfId="0" applyFont="1" applyBorder="1" applyAlignment="1">
      <alignment horizontal="left" vertical="center"/>
    </xf>
    <xf numFmtId="0" fontId="23" fillId="0" borderId="11" xfId="0" applyFont="1" applyBorder="1" applyAlignment="1">
      <alignment horizontal="left" vertical="center"/>
    </xf>
    <xf numFmtId="0" fontId="23" fillId="0" borderId="24" xfId="0" applyFont="1" applyBorder="1" applyAlignment="1">
      <alignment horizontal="left" vertical="center"/>
    </xf>
    <xf numFmtId="173" fontId="34" fillId="0" borderId="0" xfId="0" applyNumberFormat="1" applyFont="1" applyAlignment="1">
      <alignment horizontal="right" vertical="center"/>
    </xf>
    <xf numFmtId="4" fontId="39" fillId="0" borderId="18" xfId="0" applyNumberFormat="1" applyFont="1" applyBorder="1" applyAlignment="1">
      <alignment horizontal="right" vertical="center"/>
    </xf>
    <xf numFmtId="4" fontId="39" fillId="0" borderId="17" xfId="0" applyNumberFormat="1" applyFont="1" applyBorder="1" applyAlignment="1">
      <alignment horizontal="right" vertical="center"/>
    </xf>
    <xf numFmtId="4" fontId="27" fillId="0" borderId="31" xfId="0" applyNumberFormat="1" applyFont="1" applyBorder="1" applyAlignment="1">
      <alignment horizontal="left" vertical="center"/>
    </xf>
    <xf numFmtId="4" fontId="27" fillId="0" borderId="42" xfId="0" applyNumberFormat="1" applyFont="1" applyBorder="1" applyAlignment="1">
      <alignment horizontal="left" vertical="center"/>
    </xf>
    <xf numFmtId="4" fontId="27" fillId="0" borderId="32" xfId="0" applyNumberFormat="1" applyFont="1" applyBorder="1" applyAlignment="1">
      <alignment horizontal="left" vertical="center"/>
    </xf>
    <xf numFmtId="4" fontId="14" fillId="0" borderId="13" xfId="0" applyNumberFormat="1" applyFont="1" applyBorder="1" applyAlignment="1">
      <alignment horizontal="center" vertical="center" wrapText="1"/>
    </xf>
    <xf numFmtId="4" fontId="14" fillId="0" borderId="14" xfId="0" applyNumberFormat="1" applyFont="1" applyBorder="1" applyAlignment="1">
      <alignment horizontal="center" vertical="center" wrapText="1"/>
    </xf>
    <xf numFmtId="4" fontId="52" fillId="0" borderId="29" xfId="0" applyNumberFormat="1" applyFont="1" applyBorder="1" applyAlignment="1">
      <alignment horizontal="center" vertical="center" wrapText="1"/>
    </xf>
    <xf numFmtId="4" fontId="52" fillId="0" borderId="28" xfId="0" applyNumberFormat="1" applyFont="1" applyBorder="1" applyAlignment="1">
      <alignment horizontal="center" vertical="center" wrapText="1"/>
    </xf>
    <xf numFmtId="0" fontId="23" fillId="0" borderId="0" xfId="0" applyFont="1" applyAlignment="1">
      <alignment horizontal="right" vertical="center"/>
    </xf>
    <xf numFmtId="49" fontId="129" fillId="0" borderId="20" xfId="0" applyNumberFormat="1" applyFont="1" applyBorder="1" applyAlignment="1" applyProtection="1">
      <alignment horizontal="center"/>
      <protection locked="0"/>
    </xf>
    <xf numFmtId="49" fontId="129" fillId="0" borderId="11" xfId="0" applyNumberFormat="1" applyFont="1" applyBorder="1" applyAlignment="1" applyProtection="1">
      <alignment horizontal="center"/>
      <protection locked="0"/>
    </xf>
    <xf numFmtId="0" fontId="34" fillId="0" borderId="21" xfId="0" applyFont="1" applyBorder="1" applyAlignment="1">
      <alignment horizontal="left" vertical="center"/>
    </xf>
    <xf numFmtId="0" fontId="34" fillId="0" borderId="17" xfId="0" applyFont="1" applyBorder="1" applyAlignment="1">
      <alignment horizontal="left" vertical="center"/>
    </xf>
    <xf numFmtId="0" fontId="15" fillId="29" borderId="20" xfId="0" applyFont="1" applyFill="1" applyBorder="1" applyAlignment="1">
      <alignment horizontal="center" vertical="center" wrapText="1"/>
    </xf>
    <xf numFmtId="0" fontId="15" fillId="29" borderId="11" xfId="0" applyFont="1" applyFill="1" applyBorder="1" applyAlignment="1">
      <alignment horizontal="center" vertical="center" wrapText="1"/>
    </xf>
    <xf numFmtId="0" fontId="15" fillId="29" borderId="13" xfId="0" applyFont="1" applyFill="1" applyBorder="1" applyAlignment="1">
      <alignment horizontal="center" vertical="center" wrapText="1"/>
    </xf>
    <xf numFmtId="0" fontId="15" fillId="29" borderId="0" xfId="0" applyFont="1" applyFill="1" applyAlignment="1">
      <alignment horizontal="center" vertical="center" wrapText="1"/>
    </xf>
    <xf numFmtId="0" fontId="15" fillId="29" borderId="21" xfId="0" applyFont="1" applyFill="1" applyBorder="1" applyAlignment="1">
      <alignment horizontal="center" vertical="center" wrapText="1"/>
    </xf>
    <xf numFmtId="0" fontId="15" fillId="29" borderId="17" xfId="0" applyFont="1" applyFill="1" applyBorder="1" applyAlignment="1">
      <alignment horizontal="center" vertical="center" wrapText="1"/>
    </xf>
    <xf numFmtId="0" fontId="23" fillId="0" borderId="31" xfId="0" applyFont="1" applyBorder="1" applyAlignment="1">
      <alignment horizontal="left" vertical="center"/>
    </xf>
    <xf numFmtId="0" fontId="23" fillId="0" borderId="42" xfId="0" applyFont="1" applyBorder="1" applyAlignment="1">
      <alignment horizontal="left" vertical="center"/>
    </xf>
    <xf numFmtId="0" fontId="23" fillId="0" borderId="32" xfId="0" applyFont="1" applyBorder="1" applyAlignment="1">
      <alignment horizontal="left" vertical="center"/>
    </xf>
    <xf numFmtId="0" fontId="23" fillId="29" borderId="20" xfId="0" applyFont="1" applyFill="1" applyBorder="1" applyAlignment="1">
      <alignment horizontal="left" vertical="center"/>
    </xf>
    <xf numFmtId="0" fontId="23" fillId="29" borderId="11" xfId="0" applyFont="1" applyFill="1" applyBorder="1" applyAlignment="1">
      <alignment horizontal="left" vertical="center"/>
    </xf>
    <xf numFmtId="0" fontId="23" fillId="29" borderId="24" xfId="0" applyFont="1" applyFill="1" applyBorder="1" applyAlignment="1">
      <alignment horizontal="left" vertical="center"/>
    </xf>
    <xf numFmtId="4" fontId="27" fillId="4" borderId="21" xfId="0" applyNumberFormat="1" applyFont="1" applyFill="1" applyBorder="1" applyAlignment="1">
      <alignment horizontal="left" vertical="center"/>
    </xf>
    <xf numFmtId="4" fontId="27" fillId="4" borderId="17" xfId="0" applyNumberFormat="1" applyFont="1" applyFill="1" applyBorder="1" applyAlignment="1">
      <alignment horizontal="left" vertical="center"/>
    </xf>
    <xf numFmtId="4" fontId="27" fillId="4" borderId="23" xfId="0" applyNumberFormat="1" applyFont="1" applyFill="1" applyBorder="1" applyAlignment="1">
      <alignment horizontal="left" vertical="center"/>
    </xf>
    <xf numFmtId="49" fontId="23" fillId="3" borderId="24" xfId="0" applyNumberFormat="1" applyFont="1" applyFill="1" applyBorder="1" applyAlignment="1" applyProtection="1">
      <alignment horizontal="left" vertical="center"/>
      <protection locked="0"/>
    </xf>
    <xf numFmtId="0" fontId="27" fillId="4" borderId="20" xfId="0" applyFont="1" applyFill="1" applyBorder="1" applyAlignment="1">
      <alignment horizontal="left" vertical="center"/>
    </xf>
    <xf numFmtId="0" fontId="27" fillId="4" borderId="11" xfId="0" applyFont="1" applyFill="1" applyBorder="1" applyAlignment="1">
      <alignment horizontal="left" vertical="center"/>
    </xf>
    <xf numFmtId="49" fontId="23" fillId="3" borderId="91" xfId="15" applyNumberFormat="1" applyFont="1" applyFill="1" applyBorder="1" applyAlignment="1" applyProtection="1">
      <alignment horizontal="left" vertical="center"/>
      <protection locked="0"/>
    </xf>
    <xf numFmtId="49" fontId="23" fillId="3" borderId="92" xfId="15" applyNumberFormat="1" applyFont="1" applyFill="1" applyBorder="1" applyAlignment="1" applyProtection="1">
      <alignment horizontal="left" vertical="center"/>
      <protection locked="0"/>
    </xf>
    <xf numFmtId="0" fontId="27" fillId="0" borderId="37" xfId="0" applyFont="1" applyBorder="1" applyAlignment="1">
      <alignment horizontal="left" vertical="center"/>
    </xf>
    <xf numFmtId="0" fontId="27" fillId="0" borderId="38" xfId="0" applyFont="1" applyBorder="1" applyAlignment="1">
      <alignment horizontal="left" vertical="center"/>
    </xf>
    <xf numFmtId="49" fontId="23" fillId="3" borderId="31" xfId="0" applyNumberFormat="1" applyFont="1" applyFill="1" applyBorder="1" applyAlignment="1" applyProtection="1">
      <alignment vertical="center"/>
      <protection locked="0"/>
    </xf>
    <xf numFmtId="49" fontId="23" fillId="3" borderId="42" xfId="0" applyNumberFormat="1" applyFont="1" applyFill="1" applyBorder="1" applyAlignment="1" applyProtection="1">
      <alignment vertical="center"/>
      <protection locked="0"/>
    </xf>
    <xf numFmtId="49" fontId="23" fillId="3" borderId="32" xfId="0" applyNumberFormat="1" applyFont="1" applyFill="1" applyBorder="1" applyAlignment="1" applyProtection="1">
      <alignment vertical="center"/>
      <protection locked="0"/>
    </xf>
    <xf numFmtId="49" fontId="23" fillId="3" borderId="28" xfId="0" applyNumberFormat="1" applyFont="1" applyFill="1" applyBorder="1" applyAlignment="1" applyProtection="1">
      <alignment vertical="center"/>
      <protection locked="0"/>
    </xf>
    <xf numFmtId="165" fontId="14" fillId="0" borderId="20" xfId="9" applyNumberFormat="1" applyFont="1" applyBorder="1" applyAlignment="1" applyProtection="1">
      <alignment horizontal="center" vertical="center"/>
    </xf>
    <xf numFmtId="165" fontId="14" fillId="0" borderId="13" xfId="9" applyNumberFormat="1" applyFont="1" applyBorder="1" applyAlignment="1" applyProtection="1">
      <alignment horizontal="center" vertical="center"/>
    </xf>
    <xf numFmtId="165" fontId="14" fillId="0" borderId="53" xfId="9" applyNumberFormat="1" applyFont="1" applyBorder="1" applyAlignment="1" applyProtection="1">
      <alignment horizontal="center" vertical="center"/>
    </xf>
    <xf numFmtId="186" fontId="99" fillId="0" borderId="0" xfId="0" applyNumberFormat="1" applyFont="1" applyAlignment="1">
      <alignment vertical="top" wrapText="1"/>
    </xf>
    <xf numFmtId="186" fontId="99" fillId="0" borderId="14" xfId="0" applyNumberFormat="1" applyFont="1" applyBorder="1" applyAlignment="1">
      <alignment vertical="top" wrapText="1"/>
    </xf>
    <xf numFmtId="0" fontId="100" fillId="0" borderId="0" xfId="0" applyFont="1" applyAlignment="1">
      <alignment horizontal="left" vertical="center" wrapText="1"/>
    </xf>
    <xf numFmtId="0" fontId="100" fillId="0" borderId="14" xfId="0" applyFont="1" applyBorder="1" applyAlignment="1">
      <alignment horizontal="left" vertical="center" wrapText="1"/>
    </xf>
    <xf numFmtId="0" fontId="14" fillId="0" borderId="26" xfId="0" applyFont="1" applyBorder="1" applyAlignment="1">
      <alignment horizontal="center" wrapText="1"/>
    </xf>
    <xf numFmtId="0" fontId="122" fillId="0" borderId="57" xfId="0" applyFont="1" applyBorder="1" applyAlignment="1">
      <alignment horizontal="center" vertical="center" wrapText="1"/>
    </xf>
    <xf numFmtId="0" fontId="122" fillId="0" borderId="79" xfId="0" applyFont="1" applyBorder="1" applyAlignment="1">
      <alignment horizontal="center" vertical="center" wrapText="1"/>
    </xf>
    <xf numFmtId="4" fontId="14" fillId="0" borderId="29" xfId="0" applyNumberFormat="1" applyFont="1" applyBorder="1" applyAlignment="1">
      <alignment horizontal="center" vertical="top" wrapText="1"/>
    </xf>
    <xf numFmtId="49" fontId="23" fillId="3" borderId="17" xfId="0" applyNumberFormat="1" applyFont="1" applyFill="1" applyBorder="1" applyAlignment="1" applyProtection="1">
      <alignment horizontal="left" vertical="center" wrapText="1"/>
      <protection locked="0"/>
    </xf>
    <xf numFmtId="0" fontId="27" fillId="0" borderId="20" xfId="0" applyFont="1" applyBorder="1" applyAlignment="1">
      <alignment horizontal="center"/>
    </xf>
    <xf numFmtId="0" fontId="27" fillId="0" borderId="11" xfId="0" applyFont="1" applyBorder="1" applyAlignment="1">
      <alignment horizontal="center"/>
    </xf>
    <xf numFmtId="0" fontId="14" fillId="0" borderId="18" xfId="0" applyFont="1" applyBorder="1" applyAlignment="1">
      <alignment horizontal="left" vertical="center"/>
    </xf>
    <xf numFmtId="0" fontId="14" fillId="0" borderId="19" xfId="0" applyFont="1" applyBorder="1" applyAlignment="1">
      <alignment horizontal="left" vertical="center"/>
    </xf>
    <xf numFmtId="0" fontId="14" fillId="0" borderId="22" xfId="0" applyFont="1" applyBorder="1" applyAlignment="1">
      <alignment horizontal="left" vertical="center"/>
    </xf>
    <xf numFmtId="0" fontId="23" fillId="0" borderId="25" xfId="0" applyFont="1" applyBorder="1" applyAlignment="1">
      <alignment horizontal="left" vertical="center"/>
    </xf>
    <xf numFmtId="0" fontId="23" fillId="0" borderId="9" xfId="0" applyFont="1" applyBorder="1" applyAlignment="1">
      <alignment horizontal="left" vertical="center"/>
    </xf>
    <xf numFmtId="0" fontId="23" fillId="0" borderId="15" xfId="0" applyFont="1" applyBorder="1" applyAlignment="1">
      <alignment horizontal="left" vertical="center"/>
    </xf>
    <xf numFmtId="0" fontId="34" fillId="0" borderId="17" xfId="0" applyFont="1" applyBorder="1" applyAlignment="1">
      <alignment horizontal="right" vertical="center"/>
    </xf>
    <xf numFmtId="4" fontId="14" fillId="0" borderId="53" xfId="0" applyNumberFormat="1" applyFont="1" applyBorder="1" applyAlignment="1">
      <alignment horizontal="center" vertical="center"/>
    </xf>
    <xf numFmtId="4" fontId="14" fillId="0" borderId="55" xfId="0" applyNumberFormat="1" applyFont="1" applyBorder="1" applyAlignment="1">
      <alignment horizontal="center" vertical="center"/>
    </xf>
    <xf numFmtId="4" fontId="23" fillId="0" borderId="22" xfId="0" applyNumberFormat="1" applyFont="1" applyBorder="1" applyAlignment="1">
      <alignment horizontal="left" vertical="center"/>
    </xf>
    <xf numFmtId="49" fontId="27" fillId="3" borderId="22" xfId="0" applyNumberFormat="1" applyFont="1" applyFill="1" applyBorder="1" applyAlignment="1" applyProtection="1">
      <alignment horizontal="left" vertical="center"/>
      <protection locked="0"/>
    </xf>
    <xf numFmtId="0" fontId="15" fillId="4" borderId="20" xfId="0" applyFont="1" applyFill="1" applyBorder="1" applyAlignment="1">
      <alignment horizontal="center" vertical="center"/>
    </xf>
    <xf numFmtId="0" fontId="15" fillId="4" borderId="11" xfId="0" applyFont="1" applyFill="1" applyBorder="1" applyAlignment="1">
      <alignment horizontal="center" vertical="center"/>
    </xf>
    <xf numFmtId="0" fontId="78" fillId="29" borderId="26" xfId="0" applyFont="1" applyFill="1" applyBorder="1" applyAlignment="1">
      <alignment horizontal="center" vertical="top" wrapText="1"/>
    </xf>
    <xf numFmtId="0" fontId="78" fillId="29" borderId="18" xfId="0" applyFont="1" applyFill="1" applyBorder="1" applyAlignment="1">
      <alignment horizontal="center" vertical="top" wrapText="1"/>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27" fillId="0" borderId="18" xfId="0" applyFont="1" applyBorder="1" applyAlignment="1">
      <alignment horizontal="center" vertical="center"/>
    </xf>
    <xf numFmtId="0" fontId="27" fillId="0" borderId="19" xfId="0" applyFont="1" applyBorder="1" applyAlignment="1">
      <alignment horizontal="center" vertical="center"/>
    </xf>
    <xf numFmtId="5" fontId="23" fillId="3" borderId="18" xfId="0" applyNumberFormat="1" applyFont="1" applyFill="1" applyBorder="1" applyAlignment="1" applyProtection="1">
      <alignment vertical="center"/>
      <protection locked="0"/>
    </xf>
    <xf numFmtId="5" fontId="23" fillId="3" borderId="22" xfId="0" applyNumberFormat="1" applyFont="1" applyFill="1" applyBorder="1" applyAlignment="1" applyProtection="1">
      <alignment vertical="center"/>
      <protection locked="0"/>
    </xf>
    <xf numFmtId="0" fontId="132" fillId="0" borderId="20" xfId="0" applyFont="1" applyBorder="1" applyAlignment="1">
      <alignment horizontal="center" vertical="top" wrapText="1"/>
    </xf>
    <xf numFmtId="0" fontId="132" fillId="0" borderId="11" xfId="0" applyFont="1" applyBorder="1" applyAlignment="1">
      <alignment horizontal="center" vertical="top" wrapText="1"/>
    </xf>
    <xf numFmtId="0" fontId="132" fillId="0" borderId="13" xfId="0" applyFont="1" applyBorder="1" applyAlignment="1">
      <alignment horizontal="center" vertical="top" wrapText="1"/>
    </xf>
    <xf numFmtId="0" fontId="132" fillId="0" borderId="0" xfId="0" applyFont="1" applyAlignment="1">
      <alignment horizontal="center" vertical="top" wrapText="1"/>
    </xf>
    <xf numFmtId="0" fontId="132" fillId="0" borderId="21" xfId="0" applyFont="1" applyBorder="1" applyAlignment="1">
      <alignment horizontal="center" vertical="top" wrapText="1"/>
    </xf>
    <xf numFmtId="0" fontId="132" fillId="0" borderId="17" xfId="0" applyFont="1" applyBorder="1" applyAlignment="1">
      <alignment horizontal="center" vertical="top" wrapText="1"/>
    </xf>
    <xf numFmtId="0" fontId="27" fillId="4" borderId="24" xfId="0" applyFont="1" applyFill="1" applyBorder="1" applyAlignment="1">
      <alignment horizontal="left" vertical="center"/>
    </xf>
    <xf numFmtId="0" fontId="23" fillId="29" borderId="31" xfId="0" applyFont="1" applyFill="1" applyBorder="1" applyAlignment="1">
      <alignment horizontal="left" vertical="center"/>
    </xf>
    <xf numFmtId="0" fontId="23" fillId="29" borderId="42" xfId="0" applyFont="1" applyFill="1" applyBorder="1" applyAlignment="1">
      <alignment horizontal="left" vertical="center"/>
    </xf>
    <xf numFmtId="0" fontId="23" fillId="29" borderId="32" xfId="0" applyFont="1" applyFill="1" applyBorder="1" applyAlignment="1">
      <alignment horizontal="left" vertical="center"/>
    </xf>
    <xf numFmtId="0" fontId="23" fillId="30" borderId="21" xfId="0" applyFont="1" applyFill="1" applyBorder="1" applyAlignment="1">
      <alignment horizontal="left" vertical="center"/>
    </xf>
    <xf numFmtId="0" fontId="23" fillId="30" borderId="17" xfId="0" applyFont="1" applyFill="1" applyBorder="1" applyAlignment="1">
      <alignment horizontal="left" vertical="center"/>
    </xf>
    <xf numFmtId="173" fontId="99" fillId="0" borderId="13" xfId="0" applyNumberFormat="1" applyFont="1" applyBorder="1" applyAlignment="1">
      <alignment horizontal="left" vertical="center"/>
    </xf>
    <xf numFmtId="4" fontId="23" fillId="0" borderId="23" xfId="0" applyNumberFormat="1" applyFont="1" applyBorder="1" applyAlignment="1">
      <alignment horizontal="right" vertical="center"/>
    </xf>
    <xf numFmtId="178" fontId="23" fillId="0" borderId="25" xfId="0" applyNumberFormat="1" applyFont="1" applyBorder="1" applyAlignment="1">
      <alignment horizontal="right" vertical="center"/>
    </xf>
    <xf numFmtId="178" fontId="23" fillId="0" borderId="9" xfId="0" applyNumberFormat="1" applyFont="1" applyBorder="1" applyAlignment="1">
      <alignment horizontal="right" vertical="center"/>
    </xf>
    <xf numFmtId="178" fontId="23" fillId="0" borderId="15" xfId="0" applyNumberFormat="1" applyFont="1" applyBorder="1" applyAlignment="1">
      <alignment horizontal="right" vertical="center"/>
    </xf>
    <xf numFmtId="4" fontId="23" fillId="5" borderId="14" xfId="0" applyNumberFormat="1" applyFont="1" applyFill="1" applyBorder="1" applyAlignment="1">
      <alignment horizontal="center" vertical="center"/>
    </xf>
    <xf numFmtId="0" fontId="34" fillId="0" borderId="11" xfId="0" applyFont="1" applyBorder="1" applyAlignment="1">
      <alignment horizontal="right" vertical="center"/>
    </xf>
    <xf numFmtId="0" fontId="34" fillId="0" borderId="24" xfId="0" applyFont="1" applyBorder="1" applyAlignment="1">
      <alignment horizontal="right" vertical="center"/>
    </xf>
    <xf numFmtId="0" fontId="151" fillId="6" borderId="0" xfId="20" applyFont="1" applyFill="1" applyBorder="1" applyAlignment="1" applyProtection="1">
      <alignment horizontal="center" vertical="center"/>
      <protection hidden="1"/>
    </xf>
    <xf numFmtId="0" fontId="14" fillId="0" borderId="13" xfId="0" applyFont="1" applyBorder="1" applyAlignment="1">
      <alignment horizontal="center" vertical="center" wrapText="1"/>
    </xf>
    <xf numFmtId="0" fontId="14" fillId="0" borderId="0" xfId="0" applyFont="1" applyAlignment="1">
      <alignment horizontal="center" vertical="center" wrapText="1"/>
    </xf>
    <xf numFmtId="0" fontId="49" fillId="6" borderId="0" xfId="0" applyFont="1" applyFill="1" applyAlignment="1">
      <alignment horizontal="left" vertical="center"/>
    </xf>
    <xf numFmtId="0" fontId="23" fillId="0" borderId="18" xfId="0" applyFont="1" applyBorder="1" applyAlignment="1">
      <alignment horizontal="center" vertical="center"/>
    </xf>
    <xf numFmtId="0" fontId="23" fillId="0" borderId="19" xfId="0" applyFont="1" applyBorder="1" applyAlignment="1">
      <alignment horizontal="center" vertical="center"/>
    </xf>
    <xf numFmtId="0" fontId="23" fillId="0" borderId="22" xfId="0" applyFont="1" applyBorder="1" applyAlignment="1">
      <alignment horizontal="center" vertical="center"/>
    </xf>
    <xf numFmtId="49" fontId="129" fillId="0" borderId="18" xfId="0" applyNumberFormat="1" applyFont="1" applyBorder="1" applyAlignment="1" applyProtection="1">
      <alignment horizontal="center" vertical="center"/>
      <protection locked="0"/>
    </xf>
    <xf numFmtId="49" fontId="129" fillId="0" borderId="19" xfId="0" applyNumberFormat="1" applyFont="1" applyBorder="1" applyAlignment="1" applyProtection="1">
      <alignment horizontal="center" vertical="center"/>
      <protection locked="0"/>
    </xf>
    <xf numFmtId="0" fontId="23" fillId="0" borderId="21" xfId="0" applyFont="1" applyBorder="1" applyAlignment="1">
      <alignment horizontal="right" vertical="center"/>
    </xf>
    <xf numFmtId="0" fontId="23" fillId="0" borderId="17" xfId="0" applyFont="1" applyBorder="1" applyAlignment="1">
      <alignment horizontal="right" vertical="center"/>
    </xf>
    <xf numFmtId="0" fontId="23" fillId="0" borderId="23" xfId="0" applyFont="1" applyBorder="1" applyAlignment="1">
      <alignment horizontal="right" vertical="center"/>
    </xf>
    <xf numFmtId="186" fontId="99" fillId="0" borderId="0" xfId="0" applyNumberFormat="1" applyFont="1" applyAlignment="1">
      <alignment horizontal="left" wrapText="1"/>
    </xf>
    <xf numFmtId="186" fontId="99" fillId="0" borderId="14" xfId="0" applyNumberFormat="1" applyFont="1" applyBorder="1" applyAlignment="1">
      <alignment horizontal="left" wrapText="1"/>
    </xf>
    <xf numFmtId="186" fontId="99" fillId="0" borderId="0" xfId="0" applyNumberFormat="1" applyFont="1" applyAlignment="1">
      <alignment horizontal="left" vertical="top" wrapText="1"/>
    </xf>
    <xf numFmtId="186" fontId="99" fillId="0" borderId="14" xfId="0" applyNumberFormat="1" applyFont="1" applyBorder="1" applyAlignment="1">
      <alignment horizontal="left" vertical="top" wrapText="1"/>
    </xf>
    <xf numFmtId="0" fontId="27" fillId="30" borderId="20" xfId="0" applyFont="1" applyFill="1" applyBorder="1" applyAlignment="1">
      <alignment vertical="center"/>
    </xf>
    <xf numFmtId="0" fontId="27" fillId="30" borderId="11" xfId="0" applyFont="1" applyFill="1" applyBorder="1" applyAlignment="1">
      <alignment vertical="center"/>
    </xf>
    <xf numFmtId="0" fontId="23" fillId="4" borderId="18" xfId="0" applyFont="1" applyFill="1" applyBorder="1" applyAlignment="1">
      <alignment horizontal="left" vertical="center"/>
    </xf>
    <xf numFmtId="0" fontId="23" fillId="4" borderId="19" xfId="0" applyFont="1" applyFill="1" applyBorder="1" applyAlignment="1">
      <alignment horizontal="left" vertical="center"/>
    </xf>
    <xf numFmtId="0" fontId="23" fillId="4" borderId="22" xfId="0" applyFont="1" applyFill="1" applyBorder="1" applyAlignment="1">
      <alignment horizontal="left" vertical="center"/>
    </xf>
    <xf numFmtId="186" fontId="23" fillId="0" borderId="0" xfId="0" applyNumberFormat="1" applyFont="1" applyAlignment="1" applyProtection="1">
      <alignment horizontal="left" vertical="center"/>
      <protection hidden="1"/>
    </xf>
    <xf numFmtId="0" fontId="52" fillId="0" borderId="17" xfId="0" applyFont="1" applyBorder="1" applyAlignment="1">
      <alignment horizontal="center" vertical="center" wrapText="1"/>
    </xf>
    <xf numFmtId="4" fontId="14" fillId="0" borderId="72" xfId="0" applyNumberFormat="1" applyFont="1" applyBorder="1" applyAlignment="1">
      <alignment horizontal="left" vertical="center"/>
    </xf>
    <xf numFmtId="4" fontId="14" fillId="0" borderId="2" xfId="0" applyNumberFormat="1" applyFont="1" applyBorder="1" applyAlignment="1">
      <alignment horizontal="left" vertical="center"/>
    </xf>
    <xf numFmtId="4" fontId="14" fillId="0" borderId="70" xfId="0" applyNumberFormat="1" applyFont="1" applyBorder="1" applyAlignment="1">
      <alignment horizontal="left" vertical="center"/>
    </xf>
    <xf numFmtId="49" fontId="131" fillId="0" borderId="13" xfId="0" applyNumberFormat="1" applyFont="1" applyBorder="1" applyAlignment="1" applyProtection="1">
      <alignment horizontal="center" vertical="center"/>
      <protection locked="0"/>
    </xf>
    <xf numFmtId="49" fontId="131" fillId="0" borderId="0" xfId="0" applyNumberFormat="1" applyFont="1" applyAlignment="1" applyProtection="1">
      <alignment horizontal="center" vertical="center"/>
      <protection locked="0"/>
    </xf>
    <xf numFmtId="0" fontId="27" fillId="4" borderId="72" xfId="0" applyFont="1" applyFill="1" applyBorder="1" applyAlignment="1">
      <alignment horizontal="left" vertical="center"/>
    </xf>
    <xf numFmtId="0" fontId="27" fillId="4" borderId="2" xfId="0" applyFont="1" applyFill="1" applyBorder="1" applyAlignment="1">
      <alignment horizontal="left" vertical="center"/>
    </xf>
    <xf numFmtId="0" fontId="27" fillId="4" borderId="70" xfId="0" applyFont="1" applyFill="1" applyBorder="1" applyAlignment="1">
      <alignment horizontal="left" vertical="center"/>
    </xf>
    <xf numFmtId="0" fontId="27" fillId="0" borderId="56" xfId="0" applyFont="1" applyBorder="1" applyAlignment="1">
      <alignment horizontal="left" vertical="center"/>
    </xf>
    <xf numFmtId="4" fontId="27" fillId="0" borderId="21" xfId="0" applyNumberFormat="1" applyFont="1" applyBorder="1" applyAlignment="1">
      <alignment horizontal="left" vertical="center"/>
    </xf>
    <xf numFmtId="4" fontId="27" fillId="0" borderId="17" xfId="0" applyNumberFormat="1" applyFont="1" applyBorder="1" applyAlignment="1">
      <alignment horizontal="left" vertical="center"/>
    </xf>
    <xf numFmtId="0" fontId="79" fillId="0" borderId="18" xfId="0" applyFont="1" applyBorder="1" applyAlignment="1">
      <alignment horizontal="center" vertical="center"/>
    </xf>
    <xf numFmtId="0" fontId="79" fillId="0" borderId="19" xfId="0" applyFont="1" applyBorder="1" applyAlignment="1">
      <alignment horizontal="center" vertical="center"/>
    </xf>
    <xf numFmtId="0" fontId="52" fillId="0" borderId="18" xfId="0" applyFont="1" applyBorder="1" applyAlignment="1">
      <alignment horizontal="center" vertical="center"/>
    </xf>
    <xf numFmtId="0" fontId="52" fillId="0" borderId="19" xfId="0" applyFont="1" applyBorder="1" applyAlignment="1">
      <alignment horizontal="center" vertical="center"/>
    </xf>
    <xf numFmtId="0" fontId="23" fillId="0" borderId="0" xfId="0" applyFont="1" applyAlignment="1">
      <alignment horizontal="center" vertical="center" wrapText="1"/>
    </xf>
    <xf numFmtId="0" fontId="67" fillId="4" borderId="13" xfId="0" applyFont="1" applyFill="1" applyBorder="1" applyAlignment="1">
      <alignment horizontal="center" vertical="center"/>
    </xf>
    <xf numFmtId="0" fontId="67" fillId="4" borderId="0" xfId="0" applyFont="1" applyFill="1" applyAlignment="1">
      <alignment horizontal="center" vertical="center"/>
    </xf>
    <xf numFmtId="0" fontId="67" fillId="0" borderId="11" xfId="0" applyFont="1" applyBorder="1" applyAlignment="1">
      <alignment horizontal="center"/>
    </xf>
    <xf numFmtId="0" fontId="23" fillId="0" borderId="14" xfId="0" applyFont="1" applyBorder="1" applyAlignment="1">
      <alignment horizontal="center" vertical="top" wrapText="1"/>
    </xf>
    <xf numFmtId="0" fontId="23" fillId="0" borderId="23" xfId="0" applyFont="1" applyBorder="1" applyAlignment="1">
      <alignment horizontal="center" vertical="top" wrapText="1"/>
    </xf>
    <xf numFmtId="0" fontId="27" fillId="0" borderId="11" xfId="0" applyFont="1" applyBorder="1" applyAlignment="1">
      <alignment horizontal="right" vertical="top" wrapText="1"/>
    </xf>
    <xf numFmtId="0" fontId="27" fillId="29" borderId="22" xfId="0" applyFont="1" applyFill="1" applyBorder="1" applyAlignment="1">
      <alignment horizontal="center" vertical="center" wrapText="1"/>
    </xf>
    <xf numFmtId="0" fontId="23" fillId="0" borderId="18" xfId="0" applyFont="1" applyBorder="1" applyAlignment="1">
      <alignment horizontal="center"/>
    </xf>
    <xf numFmtId="0" fontId="23" fillId="0" borderId="19" xfId="0" applyFont="1" applyBorder="1" applyAlignment="1">
      <alignment horizontal="center"/>
    </xf>
    <xf numFmtId="0" fontId="14" fillId="0" borderId="29" xfId="0" applyFont="1" applyBorder="1" applyAlignment="1">
      <alignment horizontal="center" vertical="center"/>
    </xf>
    <xf numFmtId="0" fontId="14" fillId="0" borderId="56" xfId="0" applyFont="1" applyBorder="1" applyAlignment="1">
      <alignment horizontal="center" vertical="center"/>
    </xf>
    <xf numFmtId="4" fontId="27" fillId="4" borderId="20" xfId="0" applyNumberFormat="1" applyFont="1" applyFill="1" applyBorder="1" applyAlignment="1">
      <alignment horizontal="left" vertical="top"/>
    </xf>
    <xf numFmtId="4" fontId="27" fillId="4" borderId="24" xfId="0" applyNumberFormat="1" applyFont="1" applyFill="1" applyBorder="1" applyAlignment="1">
      <alignment horizontal="left" vertical="top"/>
    </xf>
    <xf numFmtId="4" fontId="27" fillId="4" borderId="13" xfId="0" applyNumberFormat="1" applyFont="1" applyFill="1" applyBorder="1" applyAlignment="1">
      <alignment horizontal="left" vertical="top"/>
    </xf>
    <xf numFmtId="4" fontId="27" fillId="4" borderId="14" xfId="0" applyNumberFormat="1" applyFont="1" applyFill="1" applyBorder="1" applyAlignment="1">
      <alignment horizontal="left" vertical="top"/>
    </xf>
    <xf numFmtId="4" fontId="14" fillId="0" borderId="71" xfId="0" applyNumberFormat="1" applyFont="1" applyBorder="1" applyAlignment="1">
      <alignment horizontal="center" vertical="center" wrapText="1"/>
    </xf>
    <xf numFmtId="0" fontId="23" fillId="0" borderId="20" xfId="0" applyFont="1" applyBorder="1" applyAlignment="1">
      <alignment horizontal="center"/>
    </xf>
    <xf numFmtId="0" fontId="23" fillId="0" borderId="11" xfId="0" applyFont="1" applyBorder="1" applyAlignment="1">
      <alignment horizontal="center"/>
    </xf>
    <xf numFmtId="0" fontId="34" fillId="0" borderId="18" xfId="0" applyFont="1" applyBorder="1" applyAlignment="1">
      <alignment horizontal="center" vertical="center"/>
    </xf>
    <xf numFmtId="0" fontId="49" fillId="0" borderId="46" xfId="0" applyFont="1" applyBorder="1" applyAlignment="1">
      <alignment horizontal="center" vertical="top" wrapText="1"/>
    </xf>
    <xf numFmtId="0" fontId="49" fillId="0" borderId="56" xfId="0" applyFont="1" applyBorder="1" applyAlignment="1">
      <alignment horizontal="center" vertical="top" wrapText="1"/>
    </xf>
    <xf numFmtId="49" fontId="147" fillId="0" borderId="0" xfId="0" applyNumberFormat="1" applyFont="1" applyAlignment="1" applyProtection="1">
      <alignment horizontal="center"/>
      <protection locked="0"/>
    </xf>
    <xf numFmtId="0" fontId="23" fillId="6" borderId="13" xfId="0" applyFont="1" applyFill="1" applyBorder="1" applyAlignment="1">
      <alignment horizontal="center" vertical="top" wrapText="1"/>
    </xf>
    <xf numFmtId="0" fontId="23" fillId="6" borderId="0" xfId="0" applyFont="1" applyFill="1" applyAlignment="1">
      <alignment horizontal="center" vertical="top" wrapText="1"/>
    </xf>
    <xf numFmtId="0" fontId="27" fillId="0" borderId="17" xfId="0" applyFont="1" applyBorder="1" applyAlignment="1">
      <alignment horizontal="center" vertical="center"/>
    </xf>
    <xf numFmtId="0" fontId="27" fillId="0" borderId="23" xfId="0" applyFont="1" applyBorder="1" applyAlignment="1">
      <alignment horizontal="center" vertical="center"/>
    </xf>
    <xf numFmtId="0" fontId="27" fillId="0" borderId="21" xfId="0" applyFont="1" applyBorder="1" applyAlignment="1">
      <alignment horizontal="center" vertical="center"/>
    </xf>
    <xf numFmtId="0" fontId="52" fillId="0" borderId="20" xfId="0" applyFont="1" applyBorder="1" applyAlignment="1">
      <alignment vertical="top" wrapText="1"/>
    </xf>
    <xf numFmtId="0" fontId="27" fillId="0" borderId="11" xfId="0" applyFont="1" applyBorder="1" applyAlignment="1">
      <alignment vertical="top" wrapText="1"/>
    </xf>
    <xf numFmtId="0" fontId="27" fillId="0" borderId="24" xfId="0" applyFont="1" applyBorder="1" applyAlignment="1">
      <alignment vertical="top" wrapText="1"/>
    </xf>
    <xf numFmtId="0" fontId="27" fillId="0" borderId="13" xfId="0" applyFont="1" applyBorder="1" applyAlignment="1">
      <alignment vertical="top" wrapText="1"/>
    </xf>
    <xf numFmtId="0" fontId="27" fillId="0" borderId="0" xfId="0" applyFont="1" applyAlignment="1">
      <alignment vertical="top" wrapText="1"/>
    </xf>
    <xf numFmtId="0" fontId="27" fillId="0" borderId="14" xfId="0" applyFont="1" applyBorder="1" applyAlignment="1">
      <alignment vertical="top" wrapText="1"/>
    </xf>
    <xf numFmtId="0" fontId="27" fillId="0" borderId="53" xfId="0" applyFont="1" applyBorder="1" applyAlignment="1">
      <alignment vertical="top" wrapText="1"/>
    </xf>
    <xf numFmtId="0" fontId="27" fillId="0" borderId="54" xfId="0" applyFont="1" applyBorder="1" applyAlignment="1">
      <alignment vertical="top" wrapText="1"/>
    </xf>
    <xf numFmtId="0" fontId="27" fillId="0" borderId="55" xfId="0" applyFont="1" applyBorder="1" applyAlignment="1">
      <alignment vertical="top" wrapText="1"/>
    </xf>
    <xf numFmtId="0" fontId="49" fillId="24" borderId="0" xfId="0" applyFont="1" applyFill="1" applyAlignment="1">
      <alignment horizontal="left" vertical="center"/>
    </xf>
    <xf numFmtId="0" fontId="49" fillId="20" borderId="0" xfId="0" applyFont="1" applyFill="1" applyAlignment="1">
      <alignment horizontal="left" vertical="center"/>
    </xf>
    <xf numFmtId="49" fontId="14" fillId="0" borderId="18" xfId="0" applyNumberFormat="1" applyFont="1" applyBorder="1" applyAlignment="1" applyProtection="1">
      <alignment horizontal="center"/>
      <protection locked="0"/>
    </xf>
    <xf numFmtId="49" fontId="14" fillId="0" borderId="19" xfId="0" applyNumberFormat="1" applyFont="1" applyBorder="1" applyAlignment="1" applyProtection="1">
      <alignment horizontal="center"/>
      <protection locked="0"/>
    </xf>
    <xf numFmtId="0" fontId="23" fillId="0" borderId="33" xfId="0" applyFont="1" applyBorder="1" applyAlignment="1">
      <alignment horizontal="center"/>
    </xf>
    <xf numFmtId="0" fontId="23" fillId="0" borderId="8" xfId="0" applyFont="1" applyBorder="1" applyAlignment="1">
      <alignment horizontal="center"/>
    </xf>
    <xf numFmtId="49" fontId="23" fillId="0" borderId="33" xfId="0" applyNumberFormat="1" applyFont="1" applyBorder="1" applyAlignment="1" applyProtection="1">
      <alignment horizontal="center"/>
      <protection locked="0"/>
    </xf>
    <xf numFmtId="49" fontId="23" fillId="0" borderId="8" xfId="0" applyNumberFormat="1" applyFont="1" applyBorder="1" applyAlignment="1" applyProtection="1">
      <alignment horizontal="center"/>
      <protection locked="0"/>
    </xf>
    <xf numFmtId="0" fontId="23" fillId="0" borderId="19" xfId="0" applyFont="1" applyBorder="1" applyAlignment="1">
      <alignment horizontal="center" vertical="top" wrapText="1"/>
    </xf>
    <xf numFmtId="0" fontId="96" fillId="8" borderId="16" xfId="0" applyFont="1" applyFill="1" applyBorder="1" applyAlignment="1">
      <alignment horizontal="left" vertical="center"/>
    </xf>
    <xf numFmtId="0" fontId="96" fillId="8" borderId="5" xfId="0" applyFont="1" applyFill="1" applyBorder="1" applyAlignment="1">
      <alignment horizontal="left" vertical="center"/>
    </xf>
    <xf numFmtId="0" fontId="67" fillId="15" borderId="13" xfId="0" applyFont="1" applyFill="1" applyBorder="1" applyAlignment="1">
      <alignment horizontal="center" vertical="center"/>
    </xf>
    <xf numFmtId="0" fontId="67" fillId="15" borderId="0" xfId="0" applyFont="1" applyFill="1" applyAlignment="1">
      <alignment horizontal="center" vertical="center"/>
    </xf>
    <xf numFmtId="49" fontId="23" fillId="3" borderId="13" xfId="0" applyNumberFormat="1" applyFont="1" applyFill="1" applyBorder="1" applyAlignment="1" applyProtection="1">
      <alignment horizontal="left" vertical="top" wrapText="1"/>
      <protection locked="0"/>
    </xf>
    <xf numFmtId="0" fontId="64" fillId="20" borderId="13" xfId="0" applyFont="1" applyFill="1" applyBorder="1" applyAlignment="1">
      <alignment horizontal="center" vertical="center"/>
    </xf>
    <xf numFmtId="0" fontId="64" fillId="20" borderId="0" xfId="0" applyFont="1" applyFill="1" applyAlignment="1">
      <alignment horizontal="center" vertical="center"/>
    </xf>
    <xf numFmtId="193" fontId="90" fillId="0" borderId="13" xfId="0" applyNumberFormat="1" applyFont="1" applyBorder="1" applyAlignment="1" applyProtection="1">
      <alignment horizontal="left" vertical="top" wrapText="1"/>
      <protection hidden="1"/>
    </xf>
    <xf numFmtId="193" fontId="90" fillId="0" borderId="0" xfId="0" applyNumberFormat="1" applyFont="1" applyAlignment="1" applyProtection="1">
      <alignment horizontal="left" vertical="top" wrapText="1"/>
      <protection hidden="1"/>
    </xf>
    <xf numFmtId="0" fontId="99" fillId="0" borderId="0" xfId="0" applyFont="1" applyAlignment="1">
      <alignment vertical="top" wrapText="1"/>
    </xf>
    <xf numFmtId="0" fontId="99" fillId="0" borderId="14" xfId="0" applyFont="1" applyBorder="1" applyAlignment="1">
      <alignment vertical="top" wrapText="1"/>
    </xf>
    <xf numFmtId="0" fontId="105" fillId="0" borderId="0" xfId="0" applyFont="1" applyAlignment="1">
      <alignment horizontal="left" vertical="center"/>
    </xf>
    <xf numFmtId="0" fontId="105" fillId="0" borderId="14" xfId="0" applyFont="1" applyBorder="1" applyAlignment="1">
      <alignment horizontal="left" vertical="center"/>
    </xf>
    <xf numFmtId="49" fontId="27" fillId="3" borderId="42" xfId="0" applyNumberFormat="1" applyFont="1" applyFill="1" applyBorder="1" applyAlignment="1" applyProtection="1">
      <alignment horizontal="left" vertical="center"/>
      <protection locked="0"/>
    </xf>
    <xf numFmtId="49" fontId="27" fillId="3" borderId="32" xfId="0" applyNumberFormat="1" applyFont="1" applyFill="1" applyBorder="1" applyAlignment="1" applyProtection="1">
      <alignment horizontal="left" vertical="center"/>
      <protection locked="0"/>
    </xf>
    <xf numFmtId="189" fontId="23" fillId="3" borderId="21" xfId="0" applyNumberFormat="1" applyFont="1" applyFill="1" applyBorder="1" applyAlignment="1" applyProtection="1">
      <alignment horizontal="left" vertical="center"/>
      <protection locked="0"/>
    </xf>
    <xf numFmtId="189" fontId="23" fillId="3" borderId="23" xfId="0" applyNumberFormat="1" applyFont="1" applyFill="1" applyBorder="1" applyAlignment="1" applyProtection="1">
      <alignment horizontal="left" vertical="center"/>
      <protection locked="0"/>
    </xf>
    <xf numFmtId="0" fontId="95" fillId="17" borderId="13" xfId="0" applyFont="1" applyFill="1" applyBorder="1" applyAlignment="1">
      <alignment horizontal="left" vertical="center"/>
    </xf>
    <xf numFmtId="0" fontId="95" fillId="17" borderId="0" xfId="0" applyFont="1" applyFill="1" applyAlignment="1">
      <alignment horizontal="left" vertical="center"/>
    </xf>
    <xf numFmtId="0" fontId="95" fillId="8" borderId="13" xfId="0" applyFont="1" applyFill="1" applyBorder="1" applyAlignment="1">
      <alignment horizontal="left" vertical="center"/>
    </xf>
    <xf numFmtId="0" fontId="95" fillId="8" borderId="0" xfId="0" applyFont="1" applyFill="1" applyAlignment="1">
      <alignment horizontal="left" vertical="center"/>
    </xf>
    <xf numFmtId="49" fontId="27" fillId="3" borderId="18" xfId="0" applyNumberFormat="1" applyFont="1" applyFill="1" applyBorder="1" applyAlignment="1" applyProtection="1">
      <alignment horizontal="center" vertical="center" wrapText="1"/>
      <protection locked="0"/>
    </xf>
    <xf numFmtId="49" fontId="27" fillId="3" borderId="22" xfId="0" applyNumberFormat="1" applyFont="1" applyFill="1" applyBorder="1" applyAlignment="1" applyProtection="1">
      <alignment horizontal="center" vertical="center" wrapText="1"/>
      <protection locked="0"/>
    </xf>
    <xf numFmtId="0" fontId="64" fillId="0" borderId="21" xfId="0" applyFont="1" applyBorder="1" applyAlignment="1" applyProtection="1">
      <alignment horizontal="left"/>
      <protection hidden="1"/>
    </xf>
    <xf numFmtId="0" fontId="64" fillId="0" borderId="23" xfId="0" applyFont="1" applyBorder="1" applyAlignment="1" applyProtection="1">
      <alignment horizontal="left"/>
      <protection hidden="1"/>
    </xf>
    <xf numFmtId="4" fontId="23" fillId="0" borderId="18" xfId="0" applyNumberFormat="1" applyFont="1" applyBorder="1" applyAlignment="1">
      <alignment horizontal="right" vertical="center"/>
    </xf>
    <xf numFmtId="4" fontId="23" fillId="0" borderId="19" xfId="0" applyNumberFormat="1" applyFont="1" applyBorder="1" applyAlignment="1">
      <alignment horizontal="right" vertical="center"/>
    </xf>
    <xf numFmtId="49" fontId="129" fillId="0" borderId="20" xfId="0" applyNumberFormat="1" applyFont="1" applyBorder="1" applyAlignment="1" applyProtection="1">
      <alignment horizontal="center" vertical="center"/>
      <protection locked="0"/>
    </xf>
    <xf numFmtId="49" fontId="129" fillId="0" borderId="11" xfId="0" applyNumberFormat="1" applyFont="1" applyBorder="1" applyAlignment="1" applyProtection="1">
      <alignment horizontal="center" vertical="center"/>
      <protection locked="0"/>
    </xf>
    <xf numFmtId="49" fontId="129" fillId="0" borderId="21" xfId="0" applyNumberFormat="1" applyFont="1" applyBorder="1" applyAlignment="1">
      <alignment horizontal="center" vertical="center"/>
    </xf>
    <xf numFmtId="49" fontId="129" fillId="0" borderId="17" xfId="0" applyNumberFormat="1" applyFont="1" applyBorder="1" applyAlignment="1">
      <alignment horizontal="center" vertical="center"/>
    </xf>
    <xf numFmtId="0" fontId="140" fillId="0" borderId="0" xfId="0" applyFont="1" applyAlignment="1" applyProtection="1">
      <alignment horizontal="left" vertical="top" wrapText="1"/>
      <protection hidden="1"/>
    </xf>
    <xf numFmtId="0" fontId="52" fillId="0" borderId="13" xfId="0" applyFont="1" applyBorder="1" applyAlignment="1">
      <alignment horizontal="center" vertical="center" wrapText="1"/>
    </xf>
    <xf numFmtId="0" fontId="52" fillId="0" borderId="53" xfId="0" applyFont="1" applyBorder="1" applyAlignment="1">
      <alignment horizontal="center" vertical="center" wrapText="1"/>
    </xf>
    <xf numFmtId="0" fontId="105" fillId="0" borderId="0" xfId="0" applyFont="1" applyAlignment="1">
      <alignment vertical="center"/>
    </xf>
    <xf numFmtId="0" fontId="105" fillId="0" borderId="14" xfId="0" applyFont="1" applyBorder="1" applyAlignment="1">
      <alignment vertical="center"/>
    </xf>
    <xf numFmtId="0" fontId="49" fillId="0" borderId="16" xfId="0" applyFont="1" applyBorder="1" applyAlignment="1">
      <alignment horizontal="center" vertical="top" wrapText="1"/>
    </xf>
    <xf numFmtId="0" fontId="49" fillId="0" borderId="53" xfId="0" applyFont="1" applyBorder="1" applyAlignment="1">
      <alignment horizontal="center" vertical="top" wrapText="1"/>
    </xf>
    <xf numFmtId="0" fontId="126" fillId="0" borderId="13" xfId="0" applyFont="1" applyBorder="1" applyAlignment="1">
      <alignment horizontal="right" vertical="center"/>
    </xf>
    <xf numFmtId="0" fontId="126" fillId="0" borderId="14" xfId="0" applyFont="1" applyBorder="1" applyAlignment="1">
      <alignment horizontal="right" vertical="center"/>
    </xf>
    <xf numFmtId="4" fontId="27" fillId="0" borderId="26" xfId="0" applyNumberFormat="1" applyFont="1" applyBorder="1" applyAlignment="1">
      <alignment horizontal="left" vertical="center"/>
    </xf>
    <xf numFmtId="180" fontId="23" fillId="3" borderId="18" xfId="5" applyNumberFormat="1" applyFont="1" applyFill="1" applyBorder="1" applyAlignment="1" applyProtection="1">
      <alignment vertical="center"/>
      <protection locked="0"/>
    </xf>
    <xf numFmtId="180" fontId="23" fillId="3" borderId="22" xfId="5" applyNumberFormat="1" applyFont="1" applyFill="1" applyBorder="1" applyAlignment="1" applyProtection="1">
      <alignment vertical="center"/>
      <protection locked="0"/>
    </xf>
    <xf numFmtId="49" fontId="23" fillId="3" borderId="29" xfId="0" applyNumberFormat="1" applyFont="1" applyFill="1" applyBorder="1" applyAlignment="1" applyProtection="1">
      <alignment vertical="center"/>
      <protection locked="0"/>
    </xf>
    <xf numFmtId="49" fontId="14" fillId="0" borderId="19" xfId="0" applyNumberFormat="1" applyFont="1" applyBorder="1" applyAlignment="1">
      <alignment horizontal="center" vertical="top" wrapText="1"/>
    </xf>
    <xf numFmtId="49" fontId="23" fillId="0" borderId="11" xfId="0" applyNumberFormat="1" applyFont="1" applyBorder="1" applyAlignment="1" applyProtection="1">
      <alignment horizontal="center"/>
      <protection locked="0"/>
    </xf>
    <xf numFmtId="0" fontId="23" fillId="0" borderId="20" xfId="0" applyFont="1" applyBorder="1" applyAlignment="1">
      <alignment horizontal="right" vertical="center"/>
    </xf>
    <xf numFmtId="0" fontId="23" fillId="0" borderId="11" xfId="0" applyFont="1" applyBorder="1" applyAlignment="1">
      <alignment horizontal="right" vertical="center"/>
    </xf>
    <xf numFmtId="0" fontId="43" fillId="0" borderId="0" xfId="0" applyFont="1" applyAlignment="1">
      <alignment horizontal="left" vertical="top"/>
    </xf>
    <xf numFmtId="0" fontId="43" fillId="0" borderId="14" xfId="0" applyFont="1" applyBorder="1" applyAlignment="1">
      <alignment horizontal="left" vertical="top"/>
    </xf>
    <xf numFmtId="0" fontId="115" fillId="0" borderId="19" xfId="0" applyFont="1" applyBorder="1" applyAlignment="1">
      <alignment horizontal="right" vertical="center"/>
    </xf>
    <xf numFmtId="0" fontId="115" fillId="0" borderId="22" xfId="0" applyFont="1" applyBorder="1" applyAlignment="1">
      <alignment horizontal="right" vertical="center"/>
    </xf>
    <xf numFmtId="0" fontId="78" fillId="29" borderId="11" xfId="0" applyFont="1" applyFill="1" applyBorder="1" applyAlignment="1">
      <alignment horizontal="center" vertical="top" wrapText="1"/>
    </xf>
    <xf numFmtId="0" fontId="78" fillId="29" borderId="17" xfId="0" applyFont="1" applyFill="1" applyBorder="1" applyAlignment="1">
      <alignment horizontal="center" vertical="top" wrapText="1"/>
    </xf>
    <xf numFmtId="0" fontId="70" fillId="22" borderId="0" xfId="0" applyFont="1" applyFill="1" applyAlignment="1" applyProtection="1">
      <alignment horizontal="left"/>
      <protection hidden="1"/>
    </xf>
    <xf numFmtId="0" fontId="55" fillId="0" borderId="9" xfId="20" applyFill="1" applyBorder="1" applyAlignment="1" applyProtection="1">
      <alignment vertical="center"/>
      <protection hidden="1"/>
    </xf>
    <xf numFmtId="0" fontId="7" fillId="0" borderId="9" xfId="0" applyFont="1" applyBorder="1" applyAlignment="1" applyProtection="1">
      <alignment vertical="center"/>
      <protection hidden="1"/>
    </xf>
    <xf numFmtId="0" fontId="7" fillId="0" borderId="4" xfId="0" applyFont="1" applyBorder="1" applyAlignment="1" applyProtection="1">
      <alignment vertical="center"/>
      <protection hidden="1"/>
    </xf>
    <xf numFmtId="0" fontId="93" fillId="0" borderId="0" xfId="0" applyFont="1" applyAlignment="1">
      <alignment horizontal="center" vertical="top" wrapText="1"/>
    </xf>
    <xf numFmtId="185" fontId="25" fillId="0" borderId="0" xfId="0" applyNumberFormat="1" applyFont="1" applyAlignment="1" applyProtection="1">
      <alignment horizontal="left" vertical="center"/>
      <protection hidden="1"/>
    </xf>
    <xf numFmtId="0" fontId="25" fillId="0" borderId="7" xfId="0" applyFont="1" applyBorder="1" applyAlignment="1" applyProtection="1">
      <alignment horizontal="left" vertical="center"/>
      <protection hidden="1"/>
    </xf>
    <xf numFmtId="0" fontId="25" fillId="0" borderId="8" xfId="0" applyFont="1" applyBorder="1" applyAlignment="1" applyProtection="1">
      <alignment horizontal="left" vertical="center"/>
      <protection hidden="1"/>
    </xf>
    <xf numFmtId="0" fontId="25" fillId="0" borderId="44" xfId="0" applyFont="1" applyBorder="1" applyAlignment="1" applyProtection="1">
      <alignment horizontal="left" vertical="center"/>
      <protection hidden="1"/>
    </xf>
    <xf numFmtId="49" fontId="20" fillId="2" borderId="18" xfId="0" applyNumberFormat="1" applyFont="1" applyFill="1" applyBorder="1" applyAlignment="1" applyProtection="1">
      <alignment horizontal="left" vertical="center"/>
      <protection locked="0"/>
    </xf>
    <xf numFmtId="49" fontId="20" fillId="2" borderId="19" xfId="0" applyNumberFormat="1" applyFont="1" applyFill="1" applyBorder="1" applyAlignment="1" applyProtection="1">
      <alignment horizontal="left" vertical="center"/>
      <protection locked="0"/>
    </xf>
    <xf numFmtId="49" fontId="20" fillId="2" borderId="22" xfId="0" applyNumberFormat="1" applyFont="1" applyFill="1" applyBorder="1" applyAlignment="1" applyProtection="1">
      <alignment horizontal="left" vertical="center"/>
      <protection locked="0"/>
    </xf>
    <xf numFmtId="0" fontId="62" fillId="0" borderId="18" xfId="0" applyFont="1" applyBorder="1" applyAlignment="1" applyProtection="1">
      <alignment horizontal="center" vertical="center" wrapText="1"/>
      <protection hidden="1"/>
    </xf>
    <xf numFmtId="0" fontId="62" fillId="0" borderId="19" xfId="0" applyFont="1" applyBorder="1" applyAlignment="1" applyProtection="1">
      <alignment horizontal="center" vertical="center" wrapText="1"/>
      <protection hidden="1"/>
    </xf>
    <xf numFmtId="0" fontId="62" fillId="0" borderId="22" xfId="0" applyFont="1" applyBorder="1" applyAlignment="1" applyProtection="1">
      <alignment horizontal="center" vertical="center" wrapText="1"/>
      <protection hidden="1"/>
    </xf>
    <xf numFmtId="0" fontId="20" fillId="0" borderId="20" xfId="0" applyFont="1" applyBorder="1" applyAlignment="1" applyProtection="1">
      <alignment horizontal="left"/>
      <protection hidden="1"/>
    </xf>
    <xf numFmtId="0" fontId="20" fillId="0" borderId="11" xfId="0" applyFont="1" applyBorder="1" applyAlignment="1" applyProtection="1">
      <alignment horizontal="left"/>
      <protection hidden="1"/>
    </xf>
    <xf numFmtId="0" fontId="20" fillId="0" borderId="24" xfId="0" applyFont="1" applyBorder="1" applyAlignment="1" applyProtection="1">
      <alignment horizontal="left"/>
      <protection hidden="1"/>
    </xf>
    <xf numFmtId="49" fontId="20" fillId="2" borderId="0" xfId="0" applyNumberFormat="1" applyFont="1" applyFill="1" applyAlignment="1" applyProtection="1">
      <alignment horizontal="left" vertical="center"/>
      <protection locked="0"/>
    </xf>
    <xf numFmtId="0" fontId="55" fillId="0" borderId="19" xfId="20" applyBorder="1" applyAlignment="1" applyProtection="1">
      <alignment horizontal="center" vertical="center" wrapText="1"/>
    </xf>
    <xf numFmtId="0" fontId="55" fillId="0" borderId="22" xfId="20" applyBorder="1" applyAlignment="1" applyProtection="1">
      <alignment horizontal="center" vertical="center" wrapText="1"/>
    </xf>
    <xf numFmtId="0" fontId="23" fillId="13" borderId="11" xfId="0" applyFont="1" applyFill="1" applyBorder="1" applyAlignment="1">
      <alignment horizontal="left" vertical="top"/>
    </xf>
    <xf numFmtId="0" fontId="20" fillId="0" borderId="20" xfId="0" applyFont="1" applyBorder="1" applyAlignment="1">
      <alignment horizontal="left" vertical="top" wrapText="1"/>
    </xf>
    <xf numFmtId="0" fontId="20" fillId="0" borderId="11" xfId="0" applyFont="1" applyBorder="1" applyAlignment="1">
      <alignment horizontal="left" vertical="top" wrapText="1"/>
    </xf>
    <xf numFmtId="0" fontId="20" fillId="0" borderId="24" xfId="0" applyFont="1" applyBorder="1" applyAlignment="1">
      <alignment horizontal="left" vertical="top" wrapText="1"/>
    </xf>
    <xf numFmtId="0" fontId="20" fillId="0" borderId="13" xfId="0" applyFont="1" applyBorder="1" applyAlignment="1">
      <alignment horizontal="left" vertical="top" wrapText="1"/>
    </xf>
    <xf numFmtId="0" fontId="20" fillId="0" borderId="0" xfId="0" applyFont="1" applyAlignment="1">
      <alignment horizontal="left" vertical="top" wrapText="1"/>
    </xf>
    <xf numFmtId="0" fontId="20" fillId="0" borderId="14" xfId="0" applyFont="1" applyBorder="1" applyAlignment="1">
      <alignment horizontal="left" vertical="top" wrapText="1"/>
    </xf>
    <xf numFmtId="0" fontId="20" fillId="0" borderId="21" xfId="0" applyFont="1" applyBorder="1" applyAlignment="1">
      <alignment horizontal="left" vertical="top" wrapText="1"/>
    </xf>
    <xf numFmtId="0" fontId="20" fillId="0" borderId="17" xfId="0" applyFont="1" applyBorder="1" applyAlignment="1">
      <alignment horizontal="left" vertical="top" wrapText="1"/>
    </xf>
    <xf numFmtId="0" fontId="20" fillId="0" borderId="23" xfId="0" applyFont="1" applyBorder="1" applyAlignment="1">
      <alignment horizontal="left" vertical="top" wrapText="1"/>
    </xf>
    <xf numFmtId="0" fontId="25" fillId="0" borderId="20" xfId="0" applyFont="1" applyBorder="1" applyAlignment="1">
      <alignment horizontal="left" vertical="top" wrapText="1"/>
    </xf>
    <xf numFmtId="0" fontId="64" fillId="22" borderId="0" xfId="0" applyFont="1" applyFill="1" applyAlignment="1" applyProtection="1">
      <alignment horizontal="center" wrapText="1"/>
      <protection hidden="1"/>
    </xf>
    <xf numFmtId="0" fontId="136" fillId="0" borderId="0" xfId="0" applyFont="1" applyAlignment="1">
      <alignment horizontal="center" vertical="top" wrapText="1"/>
    </xf>
    <xf numFmtId="0" fontId="26" fillId="0" borderId="0" xfId="0" applyFont="1" applyAlignment="1">
      <alignment horizontal="left" vertical="top" wrapText="1"/>
    </xf>
    <xf numFmtId="49" fontId="58" fillId="0" borderId="18" xfId="0" applyNumberFormat="1" applyFont="1" applyBorder="1" applyAlignment="1" applyProtection="1">
      <alignment horizontal="center" vertical="center"/>
      <protection locked="0"/>
    </xf>
    <xf numFmtId="49" fontId="58" fillId="0" borderId="22" xfId="0" applyNumberFormat="1" applyFont="1" applyBorder="1" applyAlignment="1" applyProtection="1">
      <alignment horizontal="center" vertical="center"/>
      <protection locked="0"/>
    </xf>
    <xf numFmtId="0" fontId="70" fillId="22" borderId="13" xfId="0" applyFont="1" applyFill="1" applyBorder="1" applyAlignment="1" applyProtection="1">
      <alignment horizontal="center"/>
      <protection hidden="1"/>
    </xf>
    <xf numFmtId="0" fontId="70" fillId="22" borderId="0" xfId="0" applyFont="1" applyFill="1" applyAlignment="1" applyProtection="1">
      <alignment horizontal="center"/>
      <protection hidden="1"/>
    </xf>
    <xf numFmtId="0" fontId="62" fillId="0" borderId="11" xfId="0" applyFont="1" applyBorder="1" applyAlignment="1" applyProtection="1">
      <alignment horizontal="center" vertical="center" wrapText="1"/>
      <protection hidden="1"/>
    </xf>
    <xf numFmtId="0" fontId="62" fillId="0" borderId="24" xfId="0" applyFont="1" applyBorder="1" applyAlignment="1" applyProtection="1">
      <alignment horizontal="center" vertical="center" wrapText="1"/>
      <protection hidden="1"/>
    </xf>
    <xf numFmtId="0" fontId="62" fillId="0" borderId="17" xfId="0" applyFont="1" applyBorder="1" applyAlignment="1" applyProtection="1">
      <alignment horizontal="center" vertical="center" wrapText="1"/>
      <protection hidden="1"/>
    </xf>
    <xf numFmtId="0" fontId="62" fillId="0" borderId="23" xfId="0" applyFont="1" applyBorder="1" applyAlignment="1" applyProtection="1">
      <alignment horizontal="center" vertical="center" wrapText="1"/>
      <protection hidden="1"/>
    </xf>
    <xf numFmtId="0" fontId="23" fillId="13" borderId="0" xfId="0" applyFont="1" applyFill="1" applyAlignment="1">
      <alignment horizontal="left" vertical="top"/>
    </xf>
    <xf numFmtId="0" fontId="23" fillId="13" borderId="19" xfId="0" applyFont="1" applyFill="1" applyBorder="1" applyAlignment="1">
      <alignment horizontal="center" vertical="top" wrapText="1"/>
    </xf>
    <xf numFmtId="0" fontId="62" fillId="0" borderId="18" xfId="0" applyFont="1" applyBorder="1" applyAlignment="1">
      <alignment horizontal="center"/>
    </xf>
    <xf numFmtId="0" fontId="62" fillId="0" borderId="19" xfId="0" applyFont="1" applyBorder="1" applyAlignment="1">
      <alignment horizontal="center"/>
    </xf>
    <xf numFmtId="0" fontId="62" fillId="0" borderId="17" xfId="0" applyFont="1" applyBorder="1" applyAlignment="1">
      <alignment horizontal="center"/>
    </xf>
    <xf numFmtId="0" fontId="62" fillId="0" borderId="23" xfId="0" applyFont="1" applyBorder="1" applyAlignment="1">
      <alignment horizontal="center"/>
    </xf>
    <xf numFmtId="14" fontId="25" fillId="0" borderId="11" xfId="0" applyNumberFormat="1" applyFont="1" applyBorder="1" applyAlignment="1" applyProtection="1">
      <alignment horizontal="left" vertical="center"/>
      <protection hidden="1"/>
    </xf>
    <xf numFmtId="181" fontId="20" fillId="0" borderId="17" xfId="0" applyNumberFormat="1" applyFont="1" applyBorder="1" applyAlignment="1" applyProtection="1">
      <alignment horizontal="center" vertical="center"/>
      <protection hidden="1"/>
    </xf>
    <xf numFmtId="0" fontId="25" fillId="0" borderId="43" xfId="0" applyFont="1" applyBorder="1" applyAlignment="1">
      <alignment horizontal="center" vertical="top" wrapText="1"/>
    </xf>
    <xf numFmtId="0" fontId="25" fillId="0" borderId="5" xfId="0" applyFont="1" applyBorder="1" applyAlignment="1">
      <alignment horizontal="center" vertical="top" wrapText="1"/>
    </xf>
    <xf numFmtId="0" fontId="25" fillId="0" borderId="6" xfId="0" applyFont="1" applyBorder="1" applyAlignment="1">
      <alignment horizontal="center" vertical="top" wrapText="1"/>
    </xf>
    <xf numFmtId="0" fontId="25" fillId="0" borderId="45" xfId="0" applyFont="1" applyBorder="1" applyAlignment="1">
      <alignment horizontal="center" vertical="top" wrapText="1"/>
    </xf>
    <xf numFmtId="0" fontId="25" fillId="0" borderId="0" xfId="0" applyFont="1" applyAlignment="1">
      <alignment horizontal="center" vertical="top" wrapText="1"/>
    </xf>
    <xf numFmtId="0" fontId="25" fillId="0" borderId="3" xfId="0" applyFont="1" applyBorder="1" applyAlignment="1">
      <alignment horizontal="center" vertical="top"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49" fontId="20" fillId="2" borderId="66" xfId="0" applyNumberFormat="1" applyFont="1" applyFill="1" applyBorder="1" applyAlignment="1" applyProtection="1">
      <alignment horizontal="left" vertical="center"/>
      <protection locked="0"/>
    </xf>
    <xf numFmtId="0" fontId="20" fillId="0" borderId="19" xfId="0" applyFont="1" applyBorder="1" applyAlignment="1" applyProtection="1">
      <alignment horizontal="right"/>
      <protection hidden="1"/>
    </xf>
    <xf numFmtId="0" fontId="20" fillId="0" borderId="22" xfId="0" applyFont="1" applyBorder="1" applyAlignment="1" applyProtection="1">
      <alignment horizontal="right"/>
      <protection hidden="1"/>
    </xf>
    <xf numFmtId="0" fontId="20" fillId="0" borderId="43" xfId="0" applyFont="1" applyBorder="1" applyAlignment="1" applyProtection="1">
      <alignment horizontal="left" vertical="center"/>
      <protection hidden="1"/>
    </xf>
    <xf numFmtId="0" fontId="20" fillId="0" borderId="5" xfId="0" applyFont="1" applyBorder="1" applyAlignment="1" applyProtection="1">
      <alignment horizontal="left" vertical="center"/>
      <protection hidden="1"/>
    </xf>
    <xf numFmtId="0" fontId="20" fillId="0" borderId="6" xfId="0" applyFont="1" applyBorder="1" applyAlignment="1" applyProtection="1">
      <alignment horizontal="left" vertical="center"/>
      <protection hidden="1"/>
    </xf>
    <xf numFmtId="185" fontId="74" fillId="0" borderId="19" xfId="0" applyNumberFormat="1" applyFont="1" applyBorder="1" applyAlignment="1" applyProtection="1">
      <alignment horizontal="left"/>
      <protection hidden="1"/>
    </xf>
    <xf numFmtId="185" fontId="74" fillId="0" borderId="22" xfId="0" applyNumberFormat="1" applyFont="1" applyBorder="1" applyAlignment="1" applyProtection="1">
      <alignment horizontal="left"/>
      <protection hidden="1"/>
    </xf>
    <xf numFmtId="0" fontId="20" fillId="0" borderId="18" xfId="0" applyFont="1" applyBorder="1" applyAlignment="1">
      <alignment horizontal="left" vertical="center"/>
    </xf>
    <xf numFmtId="0" fontId="20" fillId="0" borderId="19" xfId="0" applyFont="1" applyBorder="1" applyAlignment="1">
      <alignment horizontal="left" vertical="center"/>
    </xf>
    <xf numFmtId="0" fontId="20" fillId="0" borderId="22" xfId="0" applyFont="1" applyBorder="1" applyAlignment="1">
      <alignment horizontal="left" vertical="center"/>
    </xf>
    <xf numFmtId="0" fontId="20" fillId="0" borderId="20" xfId="0" applyFont="1" applyBorder="1" applyAlignment="1">
      <alignment horizontal="left" wrapText="1"/>
    </xf>
    <xf numFmtId="0" fontId="20" fillId="0" borderId="11" xfId="0" applyFont="1" applyBorder="1" applyAlignment="1">
      <alignment horizontal="left" wrapText="1"/>
    </xf>
    <xf numFmtId="0" fontId="20" fillId="0" borderId="24" xfId="0" applyFont="1" applyBorder="1" applyAlignment="1">
      <alignment horizontal="left" wrapText="1"/>
    </xf>
    <xf numFmtId="0" fontId="20" fillId="0" borderId="13" xfId="0" applyFont="1" applyBorder="1" applyAlignment="1">
      <alignment horizontal="left" wrapText="1"/>
    </xf>
    <xf numFmtId="0" fontId="20" fillId="0" borderId="0" xfId="0" applyFont="1" applyAlignment="1">
      <alignment horizontal="left" wrapText="1"/>
    </xf>
    <xf numFmtId="0" fontId="20" fillId="0" borderId="14" xfId="0" applyFont="1" applyBorder="1" applyAlignment="1">
      <alignment horizontal="left" wrapText="1"/>
    </xf>
    <xf numFmtId="0" fontId="20" fillId="0" borderId="21" xfId="0" applyFont="1" applyBorder="1" applyAlignment="1">
      <alignment horizontal="left" wrapText="1"/>
    </xf>
    <xf numFmtId="0" fontId="20" fillId="0" borderId="17" xfId="0" applyFont="1" applyBorder="1" applyAlignment="1">
      <alignment horizontal="left" wrapText="1"/>
    </xf>
    <xf numFmtId="0" fontId="20" fillId="0" borderId="23" xfId="0" applyFont="1" applyBorder="1" applyAlignment="1">
      <alignment horizontal="left" wrapText="1"/>
    </xf>
    <xf numFmtId="0" fontId="62" fillId="0" borderId="22" xfId="0" applyFont="1" applyBorder="1" applyAlignment="1">
      <alignment horizontal="center"/>
    </xf>
    <xf numFmtId="0" fontId="65" fillId="0" borderId="64" xfId="0" applyFont="1" applyBorder="1" applyAlignment="1" applyProtection="1">
      <alignment horizontal="center"/>
      <protection hidden="1"/>
    </xf>
    <xf numFmtId="0" fontId="65" fillId="0" borderId="62" xfId="0" applyFont="1" applyBorder="1" applyAlignment="1" applyProtection="1">
      <alignment horizontal="center"/>
      <protection hidden="1"/>
    </xf>
    <xf numFmtId="0" fontId="65" fillId="0" borderId="63" xfId="0" applyFont="1" applyBorder="1" applyAlignment="1" applyProtection="1">
      <alignment horizontal="center"/>
      <protection hidden="1"/>
    </xf>
    <xf numFmtId="1" fontId="55" fillId="0" borderId="19" xfId="20" applyNumberFormat="1" applyBorder="1" applyAlignment="1" applyProtection="1">
      <alignment horizontal="center"/>
      <protection hidden="1"/>
    </xf>
    <xf numFmtId="49" fontId="25" fillId="0" borderId="19" xfId="0" applyNumberFormat="1" applyFont="1" applyBorder="1" applyAlignment="1" applyProtection="1">
      <alignment horizontal="left"/>
      <protection hidden="1"/>
    </xf>
    <xf numFmtId="0" fontId="70" fillId="0" borderId="52" xfId="10" applyFont="1" applyBorder="1" applyAlignment="1" applyProtection="1">
      <alignment horizontal="left"/>
      <protection hidden="1"/>
    </xf>
    <xf numFmtId="0" fontId="70" fillId="0" borderId="38" xfId="10" applyFont="1" applyBorder="1" applyAlignment="1" applyProtection="1">
      <alignment horizontal="left"/>
      <protection hidden="1"/>
    </xf>
    <xf numFmtId="0" fontId="70" fillId="0" borderId="39" xfId="10" applyFont="1" applyBorder="1" applyAlignment="1" applyProtection="1">
      <alignment horizontal="left"/>
      <protection hidden="1"/>
    </xf>
    <xf numFmtId="0" fontId="70" fillId="0" borderId="65" xfId="10" applyFont="1" applyBorder="1" applyAlignment="1" applyProtection="1">
      <alignment horizontal="left"/>
      <protection hidden="1"/>
    </xf>
    <xf numFmtId="0" fontId="70" fillId="0" borderId="19" xfId="10" applyFont="1" applyBorder="1" applyAlignment="1" applyProtection="1">
      <alignment horizontal="left"/>
      <protection hidden="1"/>
    </xf>
    <xf numFmtId="0" fontId="70" fillId="0" borderId="22" xfId="10" applyFont="1" applyBorder="1" applyAlignment="1" applyProtection="1">
      <alignment horizontal="left"/>
      <protection hidden="1"/>
    </xf>
    <xf numFmtId="0" fontId="43" fillId="0" borderId="29" xfId="0" applyFont="1" applyBorder="1" applyAlignment="1">
      <alignment horizontal="center" vertical="center" wrapText="1"/>
    </xf>
    <xf numFmtId="0" fontId="43" fillId="0" borderId="27" xfId="0" applyFont="1" applyBorder="1" applyAlignment="1">
      <alignment horizontal="center" vertical="center" wrapText="1"/>
    </xf>
    <xf numFmtId="0" fontId="43" fillId="0" borderId="28" xfId="0" applyFont="1" applyBorder="1" applyAlignment="1">
      <alignment horizontal="center" vertical="center" wrapText="1"/>
    </xf>
    <xf numFmtId="0" fontId="23" fillId="0" borderId="20" xfId="0" applyFont="1" applyBorder="1" applyAlignment="1">
      <alignment horizontal="center" vertical="top" wrapText="1"/>
    </xf>
    <xf numFmtId="0" fontId="23" fillId="0" borderId="24" xfId="0" applyFont="1" applyBorder="1" applyAlignment="1">
      <alignment horizontal="center" vertical="top" wrapText="1"/>
    </xf>
    <xf numFmtId="10" fontId="23" fillId="0" borderId="29" xfId="0" applyNumberFormat="1" applyFont="1" applyBorder="1" applyAlignment="1">
      <alignment horizontal="center" vertical="center" wrapText="1"/>
    </xf>
    <xf numFmtId="10" fontId="23" fillId="0" borderId="27" xfId="0" applyNumberFormat="1" applyFont="1" applyBorder="1" applyAlignment="1">
      <alignment horizontal="center" vertical="center" wrapText="1"/>
    </xf>
    <xf numFmtId="0" fontId="25" fillId="0" borderId="29"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29" xfId="0" applyFont="1" applyBorder="1" applyAlignment="1">
      <alignment vertical="center"/>
    </xf>
    <xf numFmtId="0" fontId="25" fillId="0" borderId="28" xfId="0" applyFont="1" applyBorder="1" applyAlignment="1">
      <alignment vertical="center"/>
    </xf>
    <xf numFmtId="0" fontId="25" fillId="14" borderId="29" xfId="0" applyFont="1" applyFill="1" applyBorder="1" applyAlignment="1">
      <alignment horizontal="center" vertical="center" wrapText="1"/>
    </xf>
    <xf numFmtId="0" fontId="25" fillId="14" borderId="28" xfId="0" applyFont="1" applyFill="1" applyBorder="1" applyAlignment="1">
      <alignment horizontal="center" vertical="center" wrapText="1"/>
    </xf>
    <xf numFmtId="0" fontId="20" fillId="0" borderId="29" xfId="0" applyFont="1" applyBorder="1" applyAlignment="1">
      <alignment horizontal="center" vertical="center" wrapText="1"/>
    </xf>
    <xf numFmtId="0" fontId="20" fillId="0" borderId="28" xfId="0" applyFont="1" applyBorder="1" applyAlignment="1">
      <alignment horizontal="center" vertical="center" wrapText="1"/>
    </xf>
    <xf numFmtId="0" fontId="25" fillId="14" borderId="18" xfId="0" applyFont="1" applyFill="1" applyBorder="1" applyAlignment="1">
      <alignment horizontal="left"/>
    </xf>
    <xf numFmtId="0" fontId="25" fillId="14" borderId="19" xfId="0" applyFont="1" applyFill="1" applyBorder="1" applyAlignment="1">
      <alignment horizontal="left"/>
    </xf>
    <xf numFmtId="0" fontId="25" fillId="14" borderId="22" xfId="0" applyFont="1" applyFill="1" applyBorder="1" applyAlignment="1">
      <alignment horizontal="left"/>
    </xf>
    <xf numFmtId="0" fontId="25" fillId="0" borderId="18" xfId="0" applyFont="1" applyBorder="1" applyAlignment="1">
      <alignment horizontal="center"/>
    </xf>
    <xf numFmtId="0" fontId="25" fillId="0" borderId="19" xfId="0" applyFont="1" applyBorder="1" applyAlignment="1">
      <alignment horizontal="center"/>
    </xf>
    <xf numFmtId="0" fontId="25" fillId="0" borderId="22" xfId="0" applyFont="1" applyBorder="1" applyAlignment="1">
      <alignment horizontal="center"/>
    </xf>
    <xf numFmtId="0" fontId="20" fillId="0" borderId="20" xfId="0" applyFont="1" applyBorder="1" applyAlignment="1" applyProtection="1">
      <alignment horizontal="center"/>
      <protection locked="0"/>
    </xf>
    <xf numFmtId="0" fontId="20" fillId="0" borderId="11" xfId="0" applyFont="1" applyBorder="1" applyAlignment="1" applyProtection="1">
      <alignment horizontal="center"/>
      <protection locked="0"/>
    </xf>
    <xf numFmtId="0" fontId="20" fillId="0" borderId="24" xfId="0" applyFont="1" applyBorder="1" applyAlignment="1" applyProtection="1">
      <alignment horizontal="center"/>
      <protection locked="0"/>
    </xf>
    <xf numFmtId="0" fontId="23" fillId="0" borderId="20" xfId="0" applyFont="1" applyBorder="1" applyAlignment="1" applyProtection="1">
      <alignment horizontal="center"/>
      <protection locked="0"/>
    </xf>
    <xf numFmtId="0" fontId="23" fillId="0" borderId="11" xfId="0" applyFont="1" applyBorder="1" applyAlignment="1" applyProtection="1">
      <alignment horizontal="center"/>
      <protection locked="0"/>
    </xf>
    <xf numFmtId="0" fontId="23" fillId="0" borderId="21" xfId="0" applyFont="1" applyBorder="1" applyAlignment="1" applyProtection="1">
      <alignment horizontal="center"/>
      <protection locked="0"/>
    </xf>
    <xf numFmtId="0" fontId="23" fillId="0" borderId="17" xfId="0" applyFont="1" applyBorder="1" applyAlignment="1" applyProtection="1">
      <alignment horizontal="center"/>
      <protection locked="0"/>
    </xf>
    <xf numFmtId="0" fontId="27" fillId="0" borderId="19" xfId="0" applyFont="1" applyBorder="1" applyAlignment="1" applyProtection="1">
      <alignment horizontal="center"/>
      <protection locked="0"/>
    </xf>
    <xf numFmtId="0" fontId="23" fillId="0" borderId="31" xfId="19" applyFont="1" applyBorder="1" applyAlignment="1">
      <alignment horizontal="left" vertical="center"/>
    </xf>
    <xf numFmtId="0" fontId="23" fillId="0" borderId="32" xfId="19" applyFont="1" applyBorder="1" applyAlignment="1">
      <alignment horizontal="left" vertical="center"/>
    </xf>
    <xf numFmtId="167" fontId="25" fillId="14" borderId="18" xfId="0" applyNumberFormat="1" applyFont="1" applyFill="1" applyBorder="1" applyAlignment="1">
      <alignment horizontal="left"/>
    </xf>
    <xf numFmtId="167" fontId="25" fillId="14" borderId="19" xfId="0" applyNumberFormat="1" applyFont="1" applyFill="1" applyBorder="1" applyAlignment="1">
      <alignment horizontal="left"/>
    </xf>
    <xf numFmtId="167" fontId="25" fillId="14" borderId="22" xfId="0" applyNumberFormat="1" applyFont="1" applyFill="1" applyBorder="1" applyAlignment="1">
      <alignment horizontal="left"/>
    </xf>
    <xf numFmtId="0" fontId="29" fillId="14" borderId="18" xfId="0" applyFont="1" applyFill="1" applyBorder="1" applyAlignment="1">
      <alignment horizontal="center"/>
    </xf>
    <xf numFmtId="0" fontId="29" fillId="14" borderId="19" xfId="0" applyFont="1" applyFill="1" applyBorder="1" applyAlignment="1">
      <alignment horizontal="center"/>
    </xf>
    <xf numFmtId="0" fontId="29" fillId="14" borderId="22" xfId="0" applyFont="1" applyFill="1" applyBorder="1" applyAlignment="1">
      <alignment horizontal="center"/>
    </xf>
    <xf numFmtId="0" fontId="23" fillId="0" borderId="29"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18" xfId="19" applyFont="1" applyBorder="1" applyAlignment="1">
      <alignment horizontal="left" vertical="center"/>
    </xf>
    <xf numFmtId="0" fontId="23" fillId="0" borderId="22" xfId="19" applyFont="1" applyBorder="1" applyAlignment="1">
      <alignment horizontal="left" vertical="center"/>
    </xf>
    <xf numFmtId="0" fontId="23" fillId="0" borderId="21" xfId="19" applyFont="1" applyBorder="1" applyAlignment="1">
      <alignment horizontal="left" vertical="center"/>
    </xf>
    <xf numFmtId="0" fontId="23" fillId="0" borderId="23" xfId="19" applyFont="1" applyBorder="1" applyAlignment="1">
      <alignment horizontal="left" vertical="center"/>
    </xf>
    <xf numFmtId="0" fontId="14" fillId="6" borderId="29" xfId="0" applyFont="1" applyFill="1" applyBorder="1" applyAlignment="1">
      <alignment horizontal="center" vertical="top" wrapText="1"/>
    </xf>
    <xf numFmtId="0" fontId="14" fillId="6" borderId="27" xfId="0" applyFont="1" applyFill="1" applyBorder="1" applyAlignment="1">
      <alignment horizontal="center" vertical="top" wrapText="1"/>
    </xf>
    <xf numFmtId="0" fontId="14" fillId="6" borderId="28" xfId="0" applyFont="1" applyFill="1" applyBorder="1" applyAlignment="1">
      <alignment horizontal="center" vertical="top" wrapText="1"/>
    </xf>
    <xf numFmtId="0" fontId="14" fillId="0" borderId="20" xfId="21" applyFont="1" applyBorder="1" applyAlignment="1">
      <alignment horizontal="center" vertical="top" wrapText="1"/>
    </xf>
    <xf numFmtId="0" fontId="14" fillId="0" borderId="24" xfId="21" applyFont="1" applyBorder="1" applyAlignment="1">
      <alignment horizontal="center" vertical="top" wrapText="1"/>
    </xf>
    <xf numFmtId="0" fontId="14" fillId="0" borderId="13" xfId="21" applyFont="1" applyBorder="1" applyAlignment="1">
      <alignment horizontal="center" vertical="top" wrapText="1"/>
    </xf>
    <xf numFmtId="0" fontId="14" fillId="0" borderId="14" xfId="21" applyFont="1" applyBorder="1" applyAlignment="1">
      <alignment horizontal="center" vertical="top" wrapText="1"/>
    </xf>
    <xf numFmtId="0" fontId="14" fillId="0" borderId="21" xfId="21" applyFont="1" applyBorder="1" applyAlignment="1">
      <alignment horizontal="center" vertical="top" wrapText="1"/>
    </xf>
    <xf numFmtId="0" fontId="14" fillId="0" borderId="23" xfId="21" applyFont="1" applyBorder="1" applyAlignment="1">
      <alignment horizontal="center" vertical="top" wrapText="1"/>
    </xf>
    <xf numFmtId="0" fontId="43" fillId="0" borderId="29" xfId="0" applyFont="1" applyBorder="1" applyAlignment="1">
      <alignment horizontal="center" vertical="top" wrapText="1"/>
    </xf>
    <xf numFmtId="0" fontId="43" fillId="0" borderId="27" xfId="0" applyFont="1" applyBorder="1" applyAlignment="1">
      <alignment horizontal="center" vertical="top" wrapText="1"/>
    </xf>
    <xf numFmtId="182" fontId="20" fillId="0" borderId="0" xfId="0" applyNumberFormat="1" applyFont="1" applyAlignment="1">
      <alignment horizontal="left"/>
    </xf>
    <xf numFmtId="0" fontId="62" fillId="0" borderId="13" xfId="0" applyFont="1" applyBorder="1" applyAlignment="1">
      <alignment horizontal="center" vertical="top" wrapText="1"/>
    </xf>
    <xf numFmtId="0" fontId="20" fillId="0" borderId="0" xfId="0" applyFont="1" applyAlignment="1">
      <alignment horizontal="left" vertical="center"/>
    </xf>
    <xf numFmtId="0" fontId="20" fillId="0" borderId="0" xfId="0" applyFont="1" applyAlignment="1" applyProtection="1">
      <alignment horizontal="center"/>
      <protection locked="0"/>
    </xf>
    <xf numFmtId="0" fontId="20" fillId="0" borderId="17" xfId="0" applyFont="1" applyBorder="1" applyAlignment="1" applyProtection="1">
      <alignment horizontal="center"/>
      <protection locked="0"/>
    </xf>
    <xf numFmtId="0" fontId="62" fillId="0" borderId="0" xfId="0" applyFont="1" applyAlignment="1">
      <alignment horizontal="left" vertical="top" wrapText="1"/>
    </xf>
    <xf numFmtId="0" fontId="29" fillId="14" borderId="18" xfId="0" applyFont="1" applyFill="1" applyBorder="1" applyAlignment="1">
      <alignment horizontal="center" vertical="center"/>
    </xf>
    <xf numFmtId="0" fontId="29" fillId="14" borderId="19" xfId="0" applyFont="1" applyFill="1" applyBorder="1" applyAlignment="1">
      <alignment horizontal="center" vertical="center"/>
    </xf>
    <xf numFmtId="0" fontId="29" fillId="14" borderId="22" xfId="0" applyFont="1" applyFill="1" applyBorder="1" applyAlignment="1">
      <alignment horizontal="center" vertical="center"/>
    </xf>
    <xf numFmtId="0" fontId="22" fillId="0" borderId="19" xfId="0" applyFont="1" applyBorder="1" applyAlignment="1">
      <alignment horizontal="center" vertical="center"/>
    </xf>
    <xf numFmtId="0" fontId="22" fillId="0" borderId="22" xfId="0" applyFont="1" applyBorder="1" applyAlignment="1">
      <alignment horizontal="center" vertical="center"/>
    </xf>
    <xf numFmtId="167" fontId="25" fillId="0" borderId="18" xfId="0" applyNumberFormat="1" applyFont="1" applyBorder="1" applyAlignment="1">
      <alignment horizontal="left" vertical="center" wrapText="1"/>
    </xf>
    <xf numFmtId="167" fontId="25" fillId="0" borderId="19" xfId="0" applyNumberFormat="1" applyFont="1" applyBorder="1" applyAlignment="1">
      <alignment horizontal="left" vertical="center" wrapText="1"/>
    </xf>
    <xf numFmtId="167" fontId="25" fillId="0" borderId="22" xfId="0" applyNumberFormat="1" applyFont="1" applyBorder="1" applyAlignment="1">
      <alignment horizontal="left" vertical="center" wrapText="1"/>
    </xf>
    <xf numFmtId="0" fontId="20" fillId="0" borderId="21" xfId="0" applyFont="1" applyBorder="1" applyAlignment="1" applyProtection="1">
      <alignment horizontal="center"/>
      <protection locked="0"/>
    </xf>
    <xf numFmtId="182" fontId="20" fillId="14" borderId="18" xfId="0" applyNumberFormat="1" applyFont="1" applyFill="1" applyBorder="1" applyAlignment="1">
      <alignment horizontal="center" vertical="center" wrapText="1"/>
    </xf>
    <xf numFmtId="182" fontId="20" fillId="14" borderId="19" xfId="0" applyNumberFormat="1" applyFont="1" applyFill="1" applyBorder="1" applyAlignment="1">
      <alignment horizontal="center" vertical="center" wrapText="1"/>
    </xf>
    <xf numFmtId="182" fontId="20" fillId="14" borderId="22" xfId="0" applyNumberFormat="1" applyFont="1" applyFill="1" applyBorder="1" applyAlignment="1">
      <alignment horizontal="center" vertical="center" wrapText="1"/>
    </xf>
    <xf numFmtId="0" fontId="20" fillId="4" borderId="11" xfId="0" applyFont="1" applyFill="1" applyBorder="1" applyAlignment="1" applyProtection="1">
      <alignment horizontal="left" vertical="top" wrapText="1"/>
      <protection hidden="1"/>
    </xf>
    <xf numFmtId="0" fontId="20" fillId="4" borderId="0" xfId="0" applyFont="1" applyFill="1" applyAlignment="1" applyProtection="1">
      <alignment horizontal="left" vertical="top" wrapText="1"/>
      <protection hidden="1"/>
    </xf>
    <xf numFmtId="0" fontId="20" fillId="4" borderId="20" xfId="0" applyFont="1" applyFill="1" applyBorder="1" applyAlignment="1" applyProtection="1">
      <alignment horizontal="left" vertical="top" wrapText="1"/>
      <protection hidden="1"/>
    </xf>
    <xf numFmtId="0" fontId="20" fillId="4" borderId="24" xfId="0" applyFont="1" applyFill="1" applyBorder="1" applyAlignment="1" applyProtection="1">
      <alignment horizontal="left" vertical="top" wrapText="1"/>
      <protection hidden="1"/>
    </xf>
    <xf numFmtId="0" fontId="20" fillId="4" borderId="21" xfId="0" applyFont="1" applyFill="1" applyBorder="1" applyAlignment="1" applyProtection="1">
      <alignment horizontal="left" vertical="top" wrapText="1"/>
      <protection hidden="1"/>
    </xf>
    <xf numFmtId="0" fontId="20" fillId="4" borderId="17" xfId="0" applyFont="1" applyFill="1" applyBorder="1" applyAlignment="1" applyProtection="1">
      <alignment horizontal="left" vertical="top" wrapText="1"/>
      <protection hidden="1"/>
    </xf>
    <xf numFmtId="0" fontId="20" fillId="4" borderId="23" xfId="0" applyFont="1" applyFill="1" applyBorder="1" applyAlignment="1" applyProtection="1">
      <alignment horizontal="left" vertical="top" wrapText="1"/>
      <protection hidden="1"/>
    </xf>
    <xf numFmtId="0" fontId="23" fillId="0" borderId="20" xfId="0" applyFont="1" applyBorder="1" applyAlignment="1" applyProtection="1">
      <alignment horizontal="left" vertical="top" wrapText="1"/>
      <protection hidden="1"/>
    </xf>
    <xf numFmtId="0" fontId="23" fillId="0" borderId="11" xfId="0" applyFont="1" applyBorder="1" applyAlignment="1" applyProtection="1">
      <alignment horizontal="left" vertical="top" wrapText="1"/>
      <protection hidden="1"/>
    </xf>
    <xf numFmtId="0" fontId="23" fillId="0" borderId="24" xfId="0" applyFont="1" applyBorder="1" applyAlignment="1" applyProtection="1">
      <alignment horizontal="left" vertical="top" wrapText="1"/>
      <protection hidden="1"/>
    </xf>
    <xf numFmtId="0" fontId="23" fillId="0" borderId="13" xfId="0" applyFont="1" applyBorder="1" applyAlignment="1" applyProtection="1">
      <alignment horizontal="left" vertical="top" wrapText="1"/>
      <protection hidden="1"/>
    </xf>
    <xf numFmtId="0" fontId="23" fillId="0" borderId="0" xfId="0" applyFont="1" applyAlignment="1" applyProtection="1">
      <alignment horizontal="left" vertical="top" wrapText="1"/>
      <protection hidden="1"/>
    </xf>
    <xf numFmtId="0" fontId="23" fillId="0" borderId="14" xfId="0" applyFont="1" applyBorder="1" applyAlignment="1" applyProtection="1">
      <alignment horizontal="left" vertical="top" wrapText="1"/>
      <protection hidden="1"/>
    </xf>
    <xf numFmtId="0" fontId="23" fillId="0" borderId="21" xfId="0" applyFont="1" applyBorder="1" applyAlignment="1" applyProtection="1">
      <alignment horizontal="left" vertical="top" wrapText="1"/>
      <protection hidden="1"/>
    </xf>
    <xf numFmtId="0" fontId="23" fillId="0" borderId="17" xfId="0" applyFont="1" applyBorder="1" applyAlignment="1" applyProtection="1">
      <alignment horizontal="left" vertical="top" wrapText="1"/>
      <protection hidden="1"/>
    </xf>
    <xf numFmtId="0" fontId="23" fillId="0" borderId="23" xfId="0" applyFont="1" applyBorder="1" applyAlignment="1" applyProtection="1">
      <alignment horizontal="left" vertical="top" wrapText="1"/>
      <protection hidden="1"/>
    </xf>
    <xf numFmtId="0" fontId="23" fillId="4" borderId="13" xfId="0" applyFont="1" applyFill="1" applyBorder="1" applyAlignment="1" applyProtection="1">
      <alignment horizontal="left" vertical="top" wrapText="1"/>
      <protection hidden="1"/>
    </xf>
    <xf numFmtId="0" fontId="23" fillId="4" borderId="0" xfId="0" applyFont="1" applyFill="1" applyAlignment="1" applyProtection="1">
      <alignment horizontal="left" vertical="top" wrapText="1"/>
      <protection hidden="1"/>
    </xf>
    <xf numFmtId="0" fontId="23" fillId="4" borderId="14" xfId="0" applyFont="1" applyFill="1" applyBorder="1" applyAlignment="1" applyProtection="1">
      <alignment horizontal="left" vertical="top" wrapText="1"/>
      <protection hidden="1"/>
    </xf>
    <xf numFmtId="0" fontId="74" fillId="23" borderId="19" xfId="0" applyFont="1" applyFill="1" applyBorder="1" applyAlignment="1" applyProtection="1">
      <alignment horizontal="center" vertical="center"/>
      <protection hidden="1"/>
    </xf>
    <xf numFmtId="0" fontId="25" fillId="23" borderId="18" xfId="0" applyFont="1" applyFill="1" applyBorder="1" applyAlignment="1" applyProtection="1">
      <alignment horizontal="left" vertical="center"/>
      <protection hidden="1"/>
    </xf>
    <xf numFmtId="0" fontId="25" fillId="23" borderId="19" xfId="0" applyFont="1" applyFill="1" applyBorder="1" applyAlignment="1" applyProtection="1">
      <alignment horizontal="left" vertical="center"/>
      <protection hidden="1"/>
    </xf>
    <xf numFmtId="0" fontId="25" fillId="23" borderId="22" xfId="0" applyFont="1" applyFill="1" applyBorder="1" applyAlignment="1" applyProtection="1">
      <alignment horizontal="left" vertical="center"/>
      <protection hidden="1"/>
    </xf>
    <xf numFmtId="0" fontId="25" fillId="23" borderId="18" xfId="0" applyFont="1" applyFill="1" applyBorder="1" applyAlignment="1" applyProtection="1">
      <alignment horizontal="left"/>
      <protection hidden="1"/>
    </xf>
    <xf numFmtId="0" fontId="25" fillId="23" borderId="19" xfId="0" applyFont="1" applyFill="1" applyBorder="1" applyAlignment="1" applyProtection="1">
      <alignment horizontal="left"/>
      <protection hidden="1"/>
    </xf>
    <xf numFmtId="0" fontId="25" fillId="23" borderId="22" xfId="0" applyFont="1" applyFill="1" applyBorder="1" applyAlignment="1" applyProtection="1">
      <alignment horizontal="left"/>
      <protection hidden="1"/>
    </xf>
    <xf numFmtId="0" fontId="25" fillId="0" borderId="20" xfId="0" applyFont="1" applyBorder="1" applyAlignment="1" applyProtection="1">
      <alignment horizontal="center" vertical="center" wrapText="1"/>
      <protection hidden="1"/>
    </xf>
    <xf numFmtId="0" fontId="25" fillId="0" borderId="11" xfId="0" applyFont="1" applyBorder="1" applyAlignment="1" applyProtection="1">
      <alignment horizontal="center" vertical="center" wrapText="1"/>
      <protection hidden="1"/>
    </xf>
    <xf numFmtId="0" fontId="25" fillId="0" borderId="24" xfId="0" applyFont="1" applyBorder="1" applyAlignment="1" applyProtection="1">
      <alignment horizontal="center" vertical="center" wrapText="1"/>
      <protection hidden="1"/>
    </xf>
    <xf numFmtId="0" fontId="25" fillId="0" borderId="21" xfId="0" applyFont="1" applyBorder="1" applyAlignment="1" applyProtection="1">
      <alignment horizontal="center" vertical="center" wrapText="1"/>
      <protection hidden="1"/>
    </xf>
    <xf numFmtId="0" fontId="25" fillId="0" borderId="17" xfId="0" applyFont="1" applyBorder="1" applyAlignment="1" applyProtection="1">
      <alignment horizontal="center" vertical="center" wrapText="1"/>
      <protection hidden="1"/>
    </xf>
    <xf numFmtId="0" fontId="25" fillId="0" borderId="23" xfId="0" applyFont="1" applyBorder="1" applyAlignment="1" applyProtection="1">
      <alignment horizontal="center" vertical="center" wrapText="1"/>
      <protection hidden="1"/>
    </xf>
    <xf numFmtId="0" fontId="23" fillId="4" borderId="20" xfId="0" applyFont="1" applyFill="1" applyBorder="1" applyAlignment="1" applyProtection="1">
      <alignment horizontal="left" vertical="top" wrapText="1"/>
      <protection hidden="1"/>
    </xf>
    <xf numFmtId="0" fontId="23" fillId="4" borderId="11" xfId="0" applyFont="1" applyFill="1" applyBorder="1" applyAlignment="1" applyProtection="1">
      <alignment horizontal="left" vertical="top" wrapText="1"/>
      <protection hidden="1"/>
    </xf>
    <xf numFmtId="0" fontId="23" fillId="4" borderId="24" xfId="0" applyFont="1" applyFill="1" applyBorder="1" applyAlignment="1" applyProtection="1">
      <alignment horizontal="left" vertical="top" wrapText="1"/>
      <protection hidden="1"/>
    </xf>
    <xf numFmtId="0" fontId="23" fillId="4" borderId="21" xfId="0" applyFont="1" applyFill="1" applyBorder="1" applyAlignment="1" applyProtection="1">
      <alignment horizontal="left" vertical="top" wrapText="1"/>
      <protection hidden="1"/>
    </xf>
    <xf numFmtId="0" fontId="23" fillId="4" borderId="17" xfId="0" applyFont="1" applyFill="1" applyBorder="1" applyAlignment="1" applyProtection="1">
      <alignment horizontal="left" vertical="top" wrapText="1"/>
      <protection hidden="1"/>
    </xf>
    <xf numFmtId="0" fontId="23" fillId="4" borderId="23" xfId="0" applyFont="1" applyFill="1" applyBorder="1" applyAlignment="1" applyProtection="1">
      <alignment horizontal="left" vertical="top" wrapText="1"/>
      <protection hidden="1"/>
    </xf>
    <xf numFmtId="0" fontId="20" fillId="29" borderId="0" xfId="0" applyFont="1" applyFill="1" applyAlignment="1" applyProtection="1">
      <alignment horizontal="left" vertical="top" wrapText="1"/>
      <protection hidden="1"/>
    </xf>
    <xf numFmtId="0" fontId="20" fillId="4" borderId="13" xfId="0" applyFont="1" applyFill="1" applyBorder="1" applyAlignment="1" applyProtection="1">
      <alignment horizontal="left" vertical="top" wrapText="1"/>
      <protection hidden="1"/>
    </xf>
    <xf numFmtId="0" fontId="20" fillId="4" borderId="14" xfId="0" applyFont="1" applyFill="1" applyBorder="1" applyAlignment="1" applyProtection="1">
      <alignment horizontal="left" vertical="top" wrapText="1"/>
      <protection hidden="1"/>
    </xf>
    <xf numFmtId="0" fontId="20" fillId="29" borderId="13" xfId="0" applyFont="1" applyFill="1" applyBorder="1" applyAlignment="1" applyProtection="1">
      <alignment horizontal="left" vertical="top" wrapText="1"/>
      <protection hidden="1"/>
    </xf>
    <xf numFmtId="0" fontId="16" fillId="21" borderId="13" xfId="0" applyFont="1" applyFill="1" applyBorder="1" applyAlignment="1" applyProtection="1">
      <alignment horizontal="left" vertical="top" wrapText="1"/>
      <protection hidden="1"/>
    </xf>
    <xf numFmtId="0" fontId="16" fillId="21" borderId="0" xfId="0" applyFont="1" applyFill="1" applyAlignment="1" applyProtection="1">
      <alignment horizontal="left" vertical="top" wrapText="1"/>
      <protection hidden="1"/>
    </xf>
    <xf numFmtId="0" fontId="16" fillId="21" borderId="14" xfId="0" applyFont="1" applyFill="1" applyBorder="1" applyAlignment="1" applyProtection="1">
      <alignment horizontal="left" vertical="top" wrapText="1"/>
      <protection hidden="1"/>
    </xf>
    <xf numFmtId="0" fontId="25" fillId="23" borderId="20" xfId="0" applyFont="1" applyFill="1" applyBorder="1" applyAlignment="1" applyProtection="1">
      <alignment horizontal="center" vertical="center" wrapText="1"/>
      <protection hidden="1"/>
    </xf>
    <xf numFmtId="0" fontId="25" fillId="23" borderId="11" xfId="0" applyFont="1" applyFill="1" applyBorder="1" applyAlignment="1" applyProtection="1">
      <alignment horizontal="center" vertical="center" wrapText="1"/>
      <protection hidden="1"/>
    </xf>
    <xf numFmtId="0" fontId="25" fillId="23" borderId="24" xfId="0" applyFont="1" applyFill="1" applyBorder="1" applyAlignment="1" applyProtection="1">
      <alignment horizontal="center" vertical="center" wrapText="1"/>
      <protection hidden="1"/>
    </xf>
    <xf numFmtId="0" fontId="25" fillId="23" borderId="21" xfId="0" applyFont="1" applyFill="1" applyBorder="1" applyAlignment="1" applyProtection="1">
      <alignment horizontal="center" vertical="center" wrapText="1"/>
      <protection hidden="1"/>
    </xf>
    <xf numFmtId="0" fontId="25" fillId="23" borderId="17" xfId="0" applyFont="1" applyFill="1" applyBorder="1" applyAlignment="1" applyProtection="1">
      <alignment horizontal="center" vertical="center" wrapText="1"/>
      <protection hidden="1"/>
    </xf>
    <xf numFmtId="0" fontId="25" fillId="23" borderId="23" xfId="0" applyFont="1" applyFill="1" applyBorder="1" applyAlignment="1" applyProtection="1">
      <alignment horizontal="center" vertical="center" wrapText="1"/>
      <protection hidden="1"/>
    </xf>
    <xf numFmtId="44" fontId="52" fillId="0" borderId="19" xfId="15" applyFont="1" applyBorder="1" applyAlignment="1" applyProtection="1">
      <alignment horizontal="center" vertical="center"/>
      <protection hidden="1"/>
    </xf>
    <xf numFmtId="44" fontId="23" fillId="0" borderId="29" xfId="0" applyNumberFormat="1" applyFont="1" applyBorder="1" applyAlignment="1" applyProtection="1">
      <alignment horizontal="center" vertical="top" wrapText="1"/>
      <protection hidden="1"/>
    </xf>
    <xf numFmtId="44" fontId="23" fillId="0" borderId="27" xfId="0" applyNumberFormat="1" applyFont="1" applyBorder="1" applyAlignment="1" applyProtection="1">
      <alignment horizontal="center" vertical="top" wrapText="1"/>
      <protection hidden="1"/>
    </xf>
    <xf numFmtId="44" fontId="23" fillId="0" borderId="24" xfId="0" applyNumberFormat="1" applyFont="1" applyBorder="1" applyAlignment="1" applyProtection="1">
      <alignment horizontal="center" vertical="top" wrapText="1"/>
      <protection hidden="1"/>
    </xf>
    <xf numFmtId="44" fontId="23" fillId="0" borderId="14" xfId="0" applyNumberFormat="1" applyFont="1" applyBorder="1" applyAlignment="1" applyProtection="1">
      <alignment horizontal="center" vertical="top" wrapText="1"/>
      <protection hidden="1"/>
    </xf>
    <xf numFmtId="0" fontId="25" fillId="0" borderId="13" xfId="0" applyFont="1" applyBorder="1" applyAlignment="1" applyProtection="1">
      <alignment horizontal="center" vertical="center" wrapText="1"/>
      <protection hidden="1"/>
    </xf>
    <xf numFmtId="0" fontId="25" fillId="0" borderId="0" xfId="0" applyFont="1" applyAlignment="1" applyProtection="1">
      <alignment horizontal="center" vertical="center" wrapText="1"/>
      <protection hidden="1"/>
    </xf>
    <xf numFmtId="0" fontId="25" fillId="0" borderId="14" xfId="0" applyFont="1" applyBorder="1" applyAlignment="1" applyProtection="1">
      <alignment horizontal="center" vertical="center" wrapText="1"/>
      <protection hidden="1"/>
    </xf>
    <xf numFmtId="0" fontId="143" fillId="18" borderId="18" xfId="0" applyFont="1" applyFill="1" applyBorder="1" applyAlignment="1" applyProtection="1">
      <alignment horizontal="center" vertical="top" wrapText="1"/>
      <protection hidden="1"/>
    </xf>
    <xf numFmtId="0" fontId="143" fillId="18" borderId="22" xfId="0" applyFont="1" applyFill="1" applyBorder="1" applyAlignment="1" applyProtection="1">
      <alignment horizontal="center" vertical="top" wrapText="1"/>
      <protection hidden="1"/>
    </xf>
    <xf numFmtId="0" fontId="23" fillId="0" borderId="21" xfId="0" applyFont="1" applyBorder="1" applyAlignment="1" applyProtection="1">
      <alignment horizontal="left" vertical="center"/>
      <protection hidden="1"/>
    </xf>
    <xf numFmtId="0" fontId="23" fillId="0" borderId="17" xfId="0" applyFont="1" applyBorder="1" applyAlignment="1" applyProtection="1">
      <alignment horizontal="left" vertical="center"/>
      <protection hidden="1"/>
    </xf>
    <xf numFmtId="0" fontId="23" fillId="0" borderId="23" xfId="0" applyFont="1" applyBorder="1" applyAlignment="1" applyProtection="1">
      <alignment horizontal="left" vertical="center"/>
      <protection hidden="1"/>
    </xf>
    <xf numFmtId="0" fontId="27" fillId="0" borderId="13" xfId="0" applyFont="1" applyBorder="1" applyAlignment="1" applyProtection="1">
      <alignment horizontal="left" vertical="top"/>
      <protection hidden="1"/>
    </xf>
    <xf numFmtId="0" fontId="27" fillId="0" borderId="0" xfId="0" applyFont="1" applyAlignment="1" applyProtection="1">
      <alignment horizontal="left" vertical="top"/>
      <protection hidden="1"/>
    </xf>
    <xf numFmtId="0" fontId="27" fillId="0" borderId="21" xfId="0" applyFont="1" applyBorder="1" applyAlignment="1" applyProtection="1">
      <alignment horizontal="left" vertical="top"/>
      <protection hidden="1"/>
    </xf>
    <xf numFmtId="0" fontId="27" fillId="0" borderId="17" xfId="0" applyFont="1" applyBorder="1" applyAlignment="1" applyProtection="1">
      <alignment horizontal="left" vertical="top"/>
      <protection hidden="1"/>
    </xf>
    <xf numFmtId="0" fontId="23" fillId="0" borderId="18" xfId="0" applyFont="1" applyBorder="1" applyAlignment="1" applyProtection="1">
      <alignment horizontal="center" vertical="center"/>
      <protection hidden="1"/>
    </xf>
    <xf numFmtId="0" fontId="23" fillId="0" borderId="22" xfId="0" applyFont="1" applyBorder="1" applyAlignment="1" applyProtection="1">
      <alignment horizontal="center" vertical="center"/>
      <protection hidden="1"/>
    </xf>
    <xf numFmtId="0" fontId="23" fillId="0" borderId="29" xfId="0" applyFont="1" applyBorder="1" applyAlignment="1" applyProtection="1">
      <alignment horizontal="center" vertical="center" wrapText="1"/>
      <protection hidden="1"/>
    </xf>
    <xf numFmtId="0" fontId="23" fillId="0" borderId="28" xfId="0" applyFont="1" applyBorder="1" applyAlignment="1" applyProtection="1">
      <alignment horizontal="center" vertical="center" wrapText="1"/>
      <protection hidden="1"/>
    </xf>
    <xf numFmtId="0" fontId="104" fillId="0" borderId="29" xfId="0" applyFont="1" applyBorder="1" applyAlignment="1" applyProtection="1">
      <alignment horizontal="center" vertical="center" wrapText="1"/>
      <protection hidden="1"/>
    </xf>
    <xf numFmtId="0" fontId="104" fillId="0" borderId="28" xfId="0" applyFont="1" applyBorder="1" applyAlignment="1" applyProtection="1">
      <alignment horizontal="center" vertical="center" wrapText="1"/>
      <protection hidden="1"/>
    </xf>
    <xf numFmtId="0" fontId="104" fillId="0" borderId="20" xfId="0" applyFont="1" applyBorder="1" applyAlignment="1" applyProtection="1">
      <alignment horizontal="center" vertical="center" wrapText="1"/>
      <protection hidden="1"/>
    </xf>
    <xf numFmtId="0" fontId="104" fillId="0" borderId="11" xfId="0" applyFont="1" applyBorder="1" applyAlignment="1" applyProtection="1">
      <alignment horizontal="center" vertical="center" wrapText="1"/>
      <protection hidden="1"/>
    </xf>
    <xf numFmtId="0" fontId="104" fillId="0" borderId="24" xfId="0" applyFont="1" applyBorder="1" applyAlignment="1" applyProtection="1">
      <alignment horizontal="center" vertical="center" wrapText="1"/>
      <protection hidden="1"/>
    </xf>
    <xf numFmtId="0" fontId="104" fillId="0" borderId="21" xfId="0" applyFont="1" applyBorder="1" applyAlignment="1" applyProtection="1">
      <alignment horizontal="center" vertical="center" wrapText="1"/>
      <protection hidden="1"/>
    </xf>
    <xf numFmtId="0" fontId="104" fillId="0" borderId="17" xfId="0" applyFont="1" applyBorder="1" applyAlignment="1" applyProtection="1">
      <alignment horizontal="center" vertical="center" wrapText="1"/>
      <protection hidden="1"/>
    </xf>
    <xf numFmtId="0" fontId="104" fillId="0" borderId="23" xfId="0" applyFont="1" applyBorder="1" applyAlignment="1" applyProtection="1">
      <alignment horizontal="center" vertical="center" wrapText="1"/>
      <protection hidden="1"/>
    </xf>
    <xf numFmtId="0" fontId="14" fillId="0" borderId="20" xfId="0" applyFont="1" applyBorder="1" applyAlignment="1" applyProtection="1">
      <alignment horizontal="left" vertical="top" wrapText="1"/>
      <protection hidden="1"/>
    </xf>
    <xf numFmtId="0" fontId="14" fillId="0" borderId="11" xfId="0" applyFont="1" applyBorder="1" applyAlignment="1" applyProtection="1">
      <alignment horizontal="left" vertical="top" wrapText="1"/>
      <protection hidden="1"/>
    </xf>
    <xf numFmtId="0" fontId="14" fillId="0" borderId="24" xfId="0" applyFont="1" applyBorder="1" applyAlignment="1" applyProtection="1">
      <alignment horizontal="left" vertical="top" wrapText="1"/>
      <protection hidden="1"/>
    </xf>
    <xf numFmtId="0" fontId="14" fillId="0" borderId="13" xfId="0" applyFont="1" applyBorder="1" applyAlignment="1" applyProtection="1">
      <alignment horizontal="left" vertical="top" wrapText="1"/>
      <protection hidden="1"/>
    </xf>
    <xf numFmtId="0" fontId="14" fillId="0" borderId="0" xfId="0" applyFont="1" applyAlignment="1" applyProtection="1">
      <alignment horizontal="left" vertical="top" wrapText="1"/>
      <protection hidden="1"/>
    </xf>
    <xf numFmtId="0" fontId="14" fillId="0" borderId="14" xfId="0" applyFont="1" applyBorder="1" applyAlignment="1" applyProtection="1">
      <alignment horizontal="left" vertical="top" wrapText="1"/>
      <protection hidden="1"/>
    </xf>
    <xf numFmtId="0" fontId="14" fillId="0" borderId="21" xfId="0" applyFont="1" applyBorder="1" applyAlignment="1" applyProtection="1">
      <alignment horizontal="left" vertical="top" wrapText="1"/>
      <protection hidden="1"/>
    </xf>
    <xf numFmtId="0" fontId="14" fillId="0" borderId="17" xfId="0" applyFont="1" applyBorder="1" applyAlignment="1" applyProtection="1">
      <alignment horizontal="left" vertical="top" wrapText="1"/>
      <protection hidden="1"/>
    </xf>
    <xf numFmtId="0" fontId="14" fillId="0" borderId="23" xfId="0" applyFont="1" applyBorder="1" applyAlignment="1" applyProtection="1">
      <alignment horizontal="left" vertical="top" wrapText="1"/>
      <protection hidden="1"/>
    </xf>
    <xf numFmtId="44" fontId="23" fillId="0" borderId="27" xfId="0" applyNumberFormat="1" applyFont="1" applyBorder="1" applyAlignment="1" applyProtection="1">
      <alignment horizontal="center" vertical="center"/>
      <protection hidden="1"/>
    </xf>
    <xf numFmtId="44" fontId="143" fillId="0" borderId="27" xfId="0" applyNumberFormat="1" applyFont="1" applyBorder="1" applyAlignment="1" applyProtection="1">
      <alignment horizontal="center" vertical="center"/>
      <protection hidden="1"/>
    </xf>
    <xf numFmtId="44" fontId="23" fillId="0" borderId="28" xfId="0" applyNumberFormat="1" applyFont="1" applyBorder="1" applyAlignment="1" applyProtection="1">
      <alignment horizontal="center" vertical="center"/>
      <protection hidden="1"/>
    </xf>
    <xf numFmtId="0" fontId="143" fillId="6" borderId="18" xfId="0" applyFont="1" applyFill="1" applyBorder="1" applyAlignment="1" applyProtection="1">
      <alignment horizontal="center" vertical="top" wrapText="1"/>
      <protection hidden="1"/>
    </xf>
    <xf numFmtId="0" fontId="143" fillId="6" borderId="22" xfId="0" applyFont="1" applyFill="1" applyBorder="1" applyAlignment="1" applyProtection="1">
      <alignment horizontal="center" vertical="top" wrapText="1"/>
      <protection hidden="1"/>
    </xf>
    <xf numFmtId="0" fontId="23" fillId="0" borderId="20" xfId="0" applyFont="1" applyBorder="1" applyAlignment="1" applyProtection="1">
      <alignment horizontal="left" vertical="center" wrapText="1"/>
      <protection hidden="1"/>
    </xf>
    <xf numFmtId="0" fontId="23" fillId="0" borderId="11" xfId="0" applyFont="1" applyBorder="1" applyAlignment="1" applyProtection="1">
      <alignment horizontal="left" vertical="center" wrapText="1"/>
      <protection hidden="1"/>
    </xf>
    <xf numFmtId="0" fontId="23" fillId="0" borderId="24" xfId="0" applyFont="1" applyBorder="1" applyAlignment="1" applyProtection="1">
      <alignment horizontal="left" vertical="center" wrapText="1"/>
      <protection hidden="1"/>
    </xf>
    <xf numFmtId="0" fontId="23" fillId="0" borderId="13" xfId="0" applyFont="1" applyBorder="1" applyAlignment="1" applyProtection="1">
      <alignment horizontal="left" vertical="center" wrapText="1"/>
      <protection hidden="1"/>
    </xf>
    <xf numFmtId="0" fontId="23" fillId="0" borderId="0" xfId="0" applyFont="1" applyAlignment="1" applyProtection="1">
      <alignment horizontal="left" vertical="center" wrapText="1"/>
      <protection hidden="1"/>
    </xf>
    <xf numFmtId="0" fontId="23" fillId="0" borderId="14" xfId="0" applyFont="1" applyBorder="1" applyAlignment="1" applyProtection="1">
      <alignment horizontal="left" vertical="center" wrapText="1"/>
      <protection hidden="1"/>
    </xf>
    <xf numFmtId="0" fontId="23" fillId="0" borderId="13" xfId="0" applyFont="1" applyBorder="1" applyAlignment="1" applyProtection="1">
      <alignment horizontal="left" vertical="center"/>
      <protection hidden="1"/>
    </xf>
    <xf numFmtId="0" fontId="23" fillId="0" borderId="14" xfId="0" applyFont="1" applyBorder="1" applyAlignment="1" applyProtection="1">
      <alignment horizontal="left" vertical="center"/>
      <protection hidden="1"/>
    </xf>
    <xf numFmtId="0" fontId="20" fillId="29" borderId="20" xfId="0" applyFont="1" applyFill="1" applyBorder="1" applyAlignment="1" applyProtection="1">
      <alignment horizontal="left" vertical="top" wrapText="1"/>
      <protection hidden="1"/>
    </xf>
    <xf numFmtId="0" fontId="20" fillId="29" borderId="11" xfId="0" applyFont="1" applyFill="1" applyBorder="1" applyAlignment="1" applyProtection="1">
      <alignment horizontal="left" vertical="top" wrapText="1"/>
      <protection hidden="1"/>
    </xf>
    <xf numFmtId="0" fontId="20" fillId="29" borderId="24" xfId="0" applyFont="1" applyFill="1" applyBorder="1" applyAlignment="1" applyProtection="1">
      <alignment horizontal="left" vertical="top" wrapText="1"/>
      <protection hidden="1"/>
    </xf>
    <xf numFmtId="0" fontId="20" fillId="29" borderId="21" xfId="0" applyFont="1" applyFill="1" applyBorder="1" applyAlignment="1" applyProtection="1">
      <alignment horizontal="left" vertical="top" wrapText="1"/>
      <protection hidden="1"/>
    </xf>
    <xf numFmtId="0" fontId="20" fillId="29" borderId="17" xfId="0" applyFont="1" applyFill="1" applyBorder="1" applyAlignment="1" applyProtection="1">
      <alignment horizontal="left" vertical="top" wrapText="1"/>
      <protection hidden="1"/>
    </xf>
    <xf numFmtId="0" fontId="20" fillId="29" borderId="23" xfId="0" applyFont="1" applyFill="1" applyBorder="1" applyAlignment="1" applyProtection="1">
      <alignment horizontal="left" vertical="top" wrapText="1"/>
      <protection hidden="1"/>
    </xf>
    <xf numFmtId="0" fontId="23" fillId="21" borderId="0" xfId="0" applyFont="1" applyFill="1" applyAlignment="1" applyProtection="1">
      <alignment horizontal="left" vertical="top" wrapText="1"/>
      <protection hidden="1"/>
    </xf>
    <xf numFmtId="0" fontId="23" fillId="21" borderId="14" xfId="0" applyFont="1" applyFill="1" applyBorder="1" applyAlignment="1" applyProtection="1">
      <alignment horizontal="left" vertical="top" wrapText="1"/>
      <protection hidden="1"/>
    </xf>
    <xf numFmtId="0" fontId="25" fillId="23" borderId="18" xfId="0" applyFont="1" applyFill="1" applyBorder="1" applyAlignment="1" applyProtection="1">
      <alignment horizontal="left" vertical="top"/>
      <protection hidden="1"/>
    </xf>
    <xf numFmtId="0" fontId="25" fillId="23" borderId="19" xfId="0" applyFont="1" applyFill="1" applyBorder="1" applyAlignment="1" applyProtection="1">
      <alignment horizontal="left" vertical="top"/>
      <protection hidden="1"/>
    </xf>
    <xf numFmtId="0" fontId="25" fillId="23" borderId="22" xfId="0" applyFont="1" applyFill="1" applyBorder="1" applyAlignment="1" applyProtection="1">
      <alignment horizontal="left" vertical="top"/>
      <protection hidden="1"/>
    </xf>
    <xf numFmtId="0" fontId="23" fillId="21" borderId="20" xfId="0" applyFont="1" applyFill="1" applyBorder="1" applyAlignment="1" applyProtection="1">
      <alignment vertical="top" wrapText="1"/>
      <protection hidden="1"/>
    </xf>
    <xf numFmtId="0" fontId="23" fillId="21" borderId="11" xfId="0" applyFont="1" applyFill="1" applyBorder="1" applyAlignment="1" applyProtection="1">
      <alignment vertical="top" wrapText="1"/>
      <protection hidden="1"/>
    </xf>
    <xf numFmtId="0" fontId="23" fillId="21" borderId="24" xfId="0" applyFont="1" applyFill="1" applyBorder="1" applyAlignment="1" applyProtection="1">
      <alignment vertical="top" wrapText="1"/>
      <protection hidden="1"/>
    </xf>
    <xf numFmtId="0" fontId="23" fillId="21" borderId="21" xfId="0" applyFont="1" applyFill="1" applyBorder="1" applyAlignment="1" applyProtection="1">
      <alignment vertical="top" wrapText="1"/>
      <protection hidden="1"/>
    </xf>
    <xf numFmtId="0" fontId="23" fillId="21" borderId="17" xfId="0" applyFont="1" applyFill="1" applyBorder="1" applyAlignment="1" applyProtection="1">
      <alignment vertical="top" wrapText="1"/>
      <protection hidden="1"/>
    </xf>
    <xf numFmtId="0" fontId="23" fillId="21" borderId="23" xfId="0" applyFont="1" applyFill="1" applyBorder="1" applyAlignment="1" applyProtection="1">
      <alignment vertical="top" wrapText="1"/>
      <protection hidden="1"/>
    </xf>
    <xf numFmtId="0" fontId="23" fillId="21" borderId="0" xfId="0" applyFont="1" applyFill="1" applyAlignment="1" applyProtection="1">
      <alignment horizontal="left" wrapText="1"/>
      <protection hidden="1"/>
    </xf>
    <xf numFmtId="0" fontId="23" fillId="21" borderId="20" xfId="0" applyFont="1" applyFill="1" applyBorder="1" applyAlignment="1" applyProtection="1">
      <alignment horizontal="left" vertical="top" wrapText="1"/>
      <protection hidden="1"/>
    </xf>
    <xf numFmtId="0" fontId="23" fillId="21" borderId="11" xfId="0" applyFont="1" applyFill="1" applyBorder="1" applyAlignment="1" applyProtection="1">
      <alignment horizontal="left" vertical="top" wrapText="1"/>
      <protection hidden="1"/>
    </xf>
    <xf numFmtId="0" fontId="23" fillId="21" borderId="24" xfId="0" applyFont="1" applyFill="1" applyBorder="1" applyAlignment="1" applyProtection="1">
      <alignment horizontal="left" vertical="top" wrapText="1"/>
      <protection hidden="1"/>
    </xf>
    <xf numFmtId="0" fontId="23" fillId="21" borderId="21" xfId="0" applyFont="1" applyFill="1" applyBorder="1" applyAlignment="1" applyProtection="1">
      <alignment horizontal="left" vertical="top" wrapText="1"/>
      <protection hidden="1"/>
    </xf>
    <xf numFmtId="0" fontId="23" fillId="21" borderId="17" xfId="0" applyFont="1" applyFill="1" applyBorder="1" applyAlignment="1" applyProtection="1">
      <alignment horizontal="left" vertical="top" wrapText="1"/>
      <protection hidden="1"/>
    </xf>
    <xf numFmtId="0" fontId="23" fillId="21" borderId="23" xfId="0" applyFont="1" applyFill="1" applyBorder="1" applyAlignment="1" applyProtection="1">
      <alignment horizontal="left" vertical="top" wrapText="1"/>
      <protection hidden="1"/>
    </xf>
    <xf numFmtId="0" fontId="20" fillId="4" borderId="20" xfId="0" applyFont="1" applyFill="1" applyBorder="1" applyAlignment="1" applyProtection="1">
      <alignment vertical="center" wrapText="1"/>
      <protection hidden="1"/>
    </xf>
    <xf numFmtId="0" fontId="20" fillId="4" borderId="11" xfId="0" applyFont="1" applyFill="1" applyBorder="1" applyAlignment="1" applyProtection="1">
      <alignment vertical="center" wrapText="1"/>
      <protection hidden="1"/>
    </xf>
    <xf numFmtId="0" fontId="20" fillId="4" borderId="24" xfId="0" applyFont="1" applyFill="1" applyBorder="1" applyAlignment="1" applyProtection="1">
      <alignment vertical="center" wrapText="1"/>
      <protection hidden="1"/>
    </xf>
    <xf numFmtId="0" fontId="20" fillId="4" borderId="21" xfId="0" applyFont="1" applyFill="1" applyBorder="1" applyAlignment="1" applyProtection="1">
      <alignment vertical="center" wrapText="1"/>
      <protection hidden="1"/>
    </xf>
    <xf numFmtId="0" fontId="20" fillId="4" borderId="17" xfId="0" applyFont="1" applyFill="1" applyBorder="1" applyAlignment="1" applyProtection="1">
      <alignment vertical="center" wrapText="1"/>
      <protection hidden="1"/>
    </xf>
    <xf numFmtId="0" fontId="20" fillId="4" borderId="23" xfId="0" applyFont="1" applyFill="1" applyBorder="1" applyAlignment="1" applyProtection="1">
      <alignment vertical="center" wrapText="1"/>
      <protection hidden="1"/>
    </xf>
    <xf numFmtId="0" fontId="23" fillId="30" borderId="18" xfId="0" applyFont="1" applyFill="1" applyBorder="1" applyAlignment="1" applyProtection="1">
      <alignment horizontal="left"/>
      <protection hidden="1"/>
    </xf>
    <xf numFmtId="0" fontId="23" fillId="30" borderId="19" xfId="0" applyFont="1" applyFill="1" applyBorder="1" applyAlignment="1" applyProtection="1">
      <alignment horizontal="left"/>
      <protection hidden="1"/>
    </xf>
    <xf numFmtId="0" fontId="23" fillId="30" borderId="22" xfId="0" applyFont="1" applyFill="1" applyBorder="1" applyAlignment="1" applyProtection="1">
      <alignment horizontal="left"/>
      <protection hidden="1"/>
    </xf>
    <xf numFmtId="0" fontId="20" fillId="4" borderId="18" xfId="0" applyFont="1" applyFill="1" applyBorder="1" applyAlignment="1" applyProtection="1">
      <alignment horizontal="left" vertical="top"/>
      <protection hidden="1"/>
    </xf>
    <xf numFmtId="0" fontId="20" fillId="4" borderId="19" xfId="0" applyFont="1" applyFill="1" applyBorder="1" applyAlignment="1" applyProtection="1">
      <alignment horizontal="left" vertical="top"/>
      <protection hidden="1"/>
    </xf>
    <xf numFmtId="0" fontId="20" fillId="4" borderId="22" xfId="0" applyFont="1" applyFill="1" applyBorder="1" applyAlignment="1" applyProtection="1">
      <alignment horizontal="left" vertical="top"/>
      <protection hidden="1"/>
    </xf>
    <xf numFmtId="0" fontId="20" fillId="4" borderId="20" xfId="0" applyFont="1" applyFill="1" applyBorder="1" applyAlignment="1" applyProtection="1">
      <alignment horizontal="left" vertical="top"/>
      <protection hidden="1"/>
    </xf>
    <xf numFmtId="0" fontId="20" fillId="4" borderId="11" xfId="0" applyFont="1" applyFill="1" applyBorder="1" applyAlignment="1" applyProtection="1">
      <alignment horizontal="left" vertical="top"/>
      <protection hidden="1"/>
    </xf>
    <xf numFmtId="0" fontId="20" fillId="4" borderId="24" xfId="0" applyFont="1" applyFill="1" applyBorder="1" applyAlignment="1" applyProtection="1">
      <alignment horizontal="left" vertical="top"/>
      <protection hidden="1"/>
    </xf>
    <xf numFmtId="0" fontId="20" fillId="4" borderId="13" xfId="0" applyFont="1" applyFill="1" applyBorder="1" applyAlignment="1" applyProtection="1">
      <alignment horizontal="left" vertical="top"/>
      <protection hidden="1"/>
    </xf>
    <xf numFmtId="0" fontId="20" fillId="4" borderId="0" xfId="0" applyFont="1" applyFill="1" applyAlignment="1" applyProtection="1">
      <alignment horizontal="left" vertical="top"/>
      <protection hidden="1"/>
    </xf>
    <xf numFmtId="0" fontId="20" fillId="4" borderId="14" xfId="0" applyFont="1" applyFill="1" applyBorder="1" applyAlignment="1" applyProtection="1">
      <alignment horizontal="left" vertical="top"/>
      <protection hidden="1"/>
    </xf>
    <xf numFmtId="0" fontId="20" fillId="4" borderId="21" xfId="0" applyFont="1" applyFill="1" applyBorder="1" applyAlignment="1" applyProtection="1">
      <alignment horizontal="left" vertical="top"/>
      <protection hidden="1"/>
    </xf>
    <xf numFmtId="0" fontId="20" fillId="4" borderId="17" xfId="0" applyFont="1" applyFill="1" applyBorder="1" applyAlignment="1" applyProtection="1">
      <alignment horizontal="left" vertical="top"/>
      <protection hidden="1"/>
    </xf>
    <xf numFmtId="0" fontId="20" fillId="4" borderId="23" xfId="0" applyFont="1" applyFill="1" applyBorder="1" applyAlignment="1" applyProtection="1">
      <alignment horizontal="left" vertical="top"/>
      <protection hidden="1"/>
    </xf>
    <xf numFmtId="0" fontId="23" fillId="30" borderId="18" xfId="0" applyFont="1" applyFill="1" applyBorder="1" applyAlignment="1" applyProtection="1">
      <alignment horizontal="left" vertical="top"/>
      <protection hidden="1"/>
    </xf>
    <xf numFmtId="0" fontId="23" fillId="30" borderId="19" xfId="0" applyFont="1" applyFill="1" applyBorder="1" applyAlignment="1" applyProtection="1">
      <alignment horizontal="left" vertical="top"/>
      <protection hidden="1"/>
    </xf>
    <xf numFmtId="0" fontId="23" fillId="30" borderId="22" xfId="0" applyFont="1" applyFill="1" applyBorder="1" applyAlignment="1" applyProtection="1">
      <alignment horizontal="left" vertical="top"/>
      <protection hidden="1"/>
    </xf>
    <xf numFmtId="0" fontId="23" fillId="33" borderId="0" xfId="0" applyFont="1" applyFill="1" applyAlignment="1" applyProtection="1">
      <alignment horizontal="left" vertical="top" wrapText="1"/>
      <protection hidden="1"/>
    </xf>
    <xf numFmtId="0" fontId="23" fillId="33" borderId="17" xfId="0" applyFont="1" applyFill="1" applyBorder="1" applyAlignment="1" applyProtection="1">
      <alignment horizontal="left" vertical="top" wrapText="1"/>
      <protection hidden="1"/>
    </xf>
    <xf numFmtId="0" fontId="23" fillId="33" borderId="11" xfId="0" applyFont="1" applyFill="1" applyBorder="1" applyAlignment="1" applyProtection="1">
      <alignment horizontal="left" vertical="top"/>
      <protection hidden="1"/>
    </xf>
    <xf numFmtId="0" fontId="23" fillId="33" borderId="0" xfId="0" applyFont="1" applyFill="1" applyAlignment="1" applyProtection="1">
      <alignment horizontal="left" vertical="top"/>
      <protection hidden="1"/>
    </xf>
    <xf numFmtId="0" fontId="23" fillId="30" borderId="20" xfId="0" applyFont="1" applyFill="1" applyBorder="1" applyAlignment="1" applyProtection="1">
      <alignment horizontal="left" wrapText="1"/>
      <protection hidden="1"/>
    </xf>
    <xf numFmtId="0" fontId="23" fillId="30" borderId="11" xfId="0" applyFont="1" applyFill="1" applyBorder="1" applyAlignment="1" applyProtection="1">
      <alignment horizontal="left" wrapText="1"/>
      <protection hidden="1"/>
    </xf>
    <xf numFmtId="0" fontId="23" fillId="30" borderId="24" xfId="0" applyFont="1" applyFill="1" applyBorder="1" applyAlignment="1" applyProtection="1">
      <alignment horizontal="left" wrapText="1"/>
      <protection hidden="1"/>
    </xf>
    <xf numFmtId="0" fontId="23" fillId="30" borderId="21" xfId="0" applyFont="1" applyFill="1" applyBorder="1" applyAlignment="1" applyProtection="1">
      <alignment horizontal="left" wrapText="1"/>
      <protection hidden="1"/>
    </xf>
    <xf numFmtId="0" fontId="23" fillId="30" borderId="17" xfId="0" applyFont="1" applyFill="1" applyBorder="1" applyAlignment="1" applyProtection="1">
      <alignment horizontal="left" wrapText="1"/>
      <protection hidden="1"/>
    </xf>
    <xf numFmtId="0" fontId="23" fillId="30" borderId="23" xfId="0" applyFont="1" applyFill="1" applyBorder="1" applyAlignment="1" applyProtection="1">
      <alignment horizontal="left" wrapText="1"/>
      <protection hidden="1"/>
    </xf>
    <xf numFmtId="0" fontId="23" fillId="33" borderId="11" xfId="0" applyFont="1" applyFill="1" applyBorder="1" applyAlignment="1" applyProtection="1">
      <alignment horizontal="left" vertical="top" wrapText="1"/>
      <protection hidden="1"/>
    </xf>
    <xf numFmtId="0" fontId="14" fillId="15" borderId="11" xfId="0" applyFont="1" applyFill="1" applyBorder="1" applyAlignment="1" applyProtection="1">
      <alignment horizontal="left" vertical="top" wrapText="1"/>
      <protection hidden="1"/>
    </xf>
    <xf numFmtId="0" fontId="14" fillId="15" borderId="24" xfId="0" applyFont="1" applyFill="1" applyBorder="1" applyAlignment="1" applyProtection="1">
      <alignment horizontal="left" vertical="top" wrapText="1"/>
      <protection hidden="1"/>
    </xf>
    <xf numFmtId="0" fontId="14" fillId="15" borderId="0" xfId="0" applyFont="1" applyFill="1" applyAlignment="1" applyProtection="1">
      <alignment horizontal="left" vertical="top" wrapText="1"/>
      <protection hidden="1"/>
    </xf>
    <xf numFmtId="0" fontId="14" fillId="15" borderId="14" xfId="0" applyFont="1" applyFill="1" applyBorder="1" applyAlignment="1" applyProtection="1">
      <alignment horizontal="left" vertical="top" wrapText="1"/>
      <protection hidden="1"/>
    </xf>
    <xf numFmtId="0" fontId="20" fillId="4" borderId="0" xfId="0" applyFont="1" applyFill="1" applyAlignment="1" applyProtection="1">
      <alignment horizontal="left" vertical="center" wrapText="1"/>
      <protection hidden="1"/>
    </xf>
    <xf numFmtId="0" fontId="10" fillId="39" borderId="0" xfId="0" applyFont="1" applyFill="1" applyAlignment="1">
      <alignment horizontal="center"/>
    </xf>
    <xf numFmtId="0" fontId="10" fillId="39" borderId="14" xfId="0" applyFont="1" applyFill="1" applyBorder="1" applyAlignment="1">
      <alignment horizontal="center"/>
    </xf>
    <xf numFmtId="2" fontId="11" fillId="0" borderId="65" xfId="0" applyNumberFormat="1" applyFont="1" applyBorder="1" applyAlignment="1">
      <alignment horizontal="left" vertical="center" wrapText="1"/>
    </xf>
    <xf numFmtId="2" fontId="11" fillId="0" borderId="19" xfId="0" applyNumberFormat="1" applyFont="1" applyBorder="1" applyAlignment="1">
      <alignment horizontal="left" vertical="center" wrapText="1"/>
    </xf>
    <xf numFmtId="2" fontId="11" fillId="0" borderId="22" xfId="0" applyNumberFormat="1" applyFont="1" applyBorder="1" applyAlignment="1">
      <alignment horizontal="left" vertical="center" wrapText="1"/>
    </xf>
    <xf numFmtId="49" fontId="12" fillId="3" borderId="30" xfId="0" applyNumberFormat="1" applyFont="1" applyFill="1" applyBorder="1" applyAlignment="1" applyProtection="1">
      <alignment horizontal="left" vertical="center" wrapText="1"/>
      <protection locked="0"/>
    </xf>
    <xf numFmtId="2" fontId="11" fillId="0" borderId="58" xfId="0" applyNumberFormat="1" applyFont="1" applyBorder="1" applyAlignment="1">
      <alignment horizontal="left" vertical="center" wrapText="1"/>
    </xf>
    <xf numFmtId="2" fontId="11" fillId="0" borderId="17" xfId="0" applyNumberFormat="1" applyFont="1" applyBorder="1" applyAlignment="1">
      <alignment horizontal="left" vertical="center" wrapText="1"/>
    </xf>
    <xf numFmtId="2" fontId="11" fillId="0" borderId="23" xfId="0" applyNumberFormat="1" applyFont="1" applyBorder="1" applyAlignment="1">
      <alignment horizontal="left" vertical="center" wrapText="1"/>
    </xf>
    <xf numFmtId="0" fontId="12" fillId="0" borderId="13" xfId="0" applyFont="1" applyBorder="1" applyAlignment="1">
      <alignment horizontal="center" vertical="center" wrapText="1"/>
    </xf>
    <xf numFmtId="0" fontId="12" fillId="0" borderId="21"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56"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9" xfId="0" applyFont="1" applyBorder="1" applyAlignment="1">
      <alignment horizontal="center" wrapText="1"/>
    </xf>
    <xf numFmtId="0" fontId="12" fillId="0" borderId="28" xfId="0" applyFont="1" applyBorder="1" applyAlignment="1">
      <alignment horizontal="center" wrapText="1"/>
    </xf>
    <xf numFmtId="191" fontId="89" fillId="32" borderId="29" xfId="0" applyNumberFormat="1" applyFont="1" applyFill="1" applyBorder="1" applyAlignment="1">
      <alignment horizontal="center" vertical="center" wrapText="1"/>
    </xf>
    <xf numFmtId="191" fontId="89" fillId="32" borderId="27" xfId="0" applyNumberFormat="1" applyFont="1" applyFill="1" applyBorder="1" applyAlignment="1">
      <alignment horizontal="center" vertical="center" wrapText="1"/>
    </xf>
    <xf numFmtId="14" fontId="47" fillId="0" borderId="19" xfId="0" applyNumberFormat="1" applyFont="1" applyBorder="1" applyAlignment="1">
      <alignment horizontal="center" vertical="center"/>
    </xf>
    <xf numFmtId="14" fontId="47" fillId="0" borderId="22" xfId="0" applyNumberFormat="1" applyFont="1" applyBorder="1" applyAlignment="1">
      <alignment horizontal="center" vertical="center"/>
    </xf>
    <xf numFmtId="49" fontId="13" fillId="3" borderId="13" xfId="0" applyNumberFormat="1" applyFont="1" applyFill="1" applyBorder="1" applyAlignment="1" applyProtection="1">
      <alignment horizontal="center" vertical="center" wrapText="1"/>
      <protection locked="0"/>
    </xf>
    <xf numFmtId="49" fontId="13" fillId="3" borderId="14" xfId="0" applyNumberFormat="1" applyFont="1" applyFill="1" applyBorder="1" applyAlignment="1" applyProtection="1">
      <alignment horizontal="center" vertical="center" wrapText="1"/>
      <protection locked="0"/>
    </xf>
    <xf numFmtId="0" fontId="47" fillId="0" borderId="26" xfId="0" applyFont="1" applyBorder="1" applyAlignment="1">
      <alignment horizontal="left" vertical="center"/>
    </xf>
    <xf numFmtId="0" fontId="47" fillId="0" borderId="18" xfId="0" applyFont="1" applyBorder="1" applyAlignment="1">
      <alignment horizontal="left" vertical="center"/>
    </xf>
    <xf numFmtId="0" fontId="13" fillId="0" borderId="40" xfId="0" applyFont="1" applyBorder="1" applyAlignment="1">
      <alignment horizontal="center" vertical="center"/>
    </xf>
    <xf numFmtId="0" fontId="12" fillId="0" borderId="18" xfId="0" applyFont="1" applyBorder="1" applyAlignment="1">
      <alignment horizontal="right" vertical="center"/>
    </xf>
    <xf numFmtId="0" fontId="12" fillId="0" borderId="19" xfId="0" applyFont="1" applyBorder="1" applyAlignment="1">
      <alignment horizontal="right" vertical="center"/>
    </xf>
    <xf numFmtId="0" fontId="22" fillId="32" borderId="29" xfId="0" applyFont="1" applyFill="1" applyBorder="1" applyAlignment="1">
      <alignment horizontal="center" vertical="center" wrapText="1"/>
    </xf>
    <xf numFmtId="0" fontId="22" fillId="32" borderId="27" xfId="0" applyFont="1" applyFill="1" applyBorder="1" applyAlignment="1">
      <alignment horizontal="center" vertical="center" wrapText="1"/>
    </xf>
    <xf numFmtId="190" fontId="49" fillId="32" borderId="27" xfId="0" applyNumberFormat="1" applyFont="1" applyFill="1" applyBorder="1" applyAlignment="1">
      <alignment horizontal="center" vertical="center" wrapText="1"/>
    </xf>
    <xf numFmtId="0" fontId="37" fillId="0" borderId="47" xfId="0" applyFont="1" applyBorder="1" applyAlignment="1">
      <alignment horizontal="center" vertical="center" wrapText="1"/>
    </xf>
    <xf numFmtId="0" fontId="37" fillId="0" borderId="48" xfId="0" applyFont="1" applyBorder="1" applyAlignment="1">
      <alignment horizontal="center" vertical="center" wrapText="1"/>
    </xf>
    <xf numFmtId="0" fontId="37" fillId="0" borderId="49" xfId="0" applyFont="1" applyBorder="1" applyAlignment="1">
      <alignment horizontal="center" vertical="center" wrapText="1"/>
    </xf>
    <xf numFmtId="0" fontId="37" fillId="0" borderId="67"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59" xfId="0" applyFont="1" applyBorder="1" applyAlignment="1">
      <alignment horizontal="center" vertical="center" wrapText="1"/>
    </xf>
    <xf numFmtId="0" fontId="13" fillId="0" borderId="78" xfId="0" quotePrefix="1" applyFont="1" applyBorder="1" applyAlignment="1">
      <alignment horizontal="center"/>
    </xf>
    <xf numFmtId="0" fontId="13" fillId="0" borderId="71" xfId="0" quotePrefix="1" applyFont="1" applyBorder="1" applyAlignment="1">
      <alignment horizontal="center"/>
    </xf>
    <xf numFmtId="0" fontId="11" fillId="32" borderId="18" xfId="0" applyFont="1" applyFill="1" applyBorder="1" applyAlignment="1">
      <alignment horizontal="center" vertical="center"/>
    </xf>
    <xf numFmtId="0" fontId="11" fillId="32" borderId="19" xfId="0" applyFont="1" applyFill="1" applyBorder="1" applyAlignment="1">
      <alignment horizontal="center" vertical="center"/>
    </xf>
    <xf numFmtId="0" fontId="11" fillId="32" borderId="22" xfId="0" applyFont="1" applyFill="1" applyBorder="1" applyAlignment="1">
      <alignment horizontal="center" vertical="center"/>
    </xf>
    <xf numFmtId="0" fontId="12" fillId="0" borderId="21" xfId="0" applyFont="1" applyBorder="1" applyAlignment="1">
      <alignment horizontal="left" vertical="top" wrapText="1"/>
    </xf>
    <xf numFmtId="0" fontId="12" fillId="0" borderId="17" xfId="0" applyFont="1" applyBorder="1" applyAlignment="1">
      <alignment horizontal="left" vertical="top" wrapText="1"/>
    </xf>
    <xf numFmtId="0" fontId="94" fillId="0" borderId="17" xfId="0" applyFont="1" applyBorder="1" applyAlignment="1">
      <alignment horizontal="left" vertical="top" wrapText="1"/>
    </xf>
    <xf numFmtId="0" fontId="94" fillId="0" borderId="23" xfId="0" applyFont="1" applyBorder="1" applyAlignment="1">
      <alignment horizontal="left" vertical="top" wrapText="1"/>
    </xf>
    <xf numFmtId="0" fontId="90" fillId="22" borderId="21" xfId="0" applyFont="1" applyFill="1" applyBorder="1" applyAlignment="1" applyProtection="1">
      <alignment horizontal="center" vertical="top" wrapText="1"/>
      <protection locked="0"/>
    </xf>
    <xf numFmtId="0" fontId="90" fillId="22" borderId="17" xfId="0" applyFont="1" applyFill="1" applyBorder="1" applyAlignment="1" applyProtection="1">
      <alignment horizontal="center" vertical="top" wrapText="1"/>
      <protection locked="0"/>
    </xf>
    <xf numFmtId="0" fontId="90" fillId="22" borderId="23" xfId="0" applyFont="1" applyFill="1" applyBorder="1" applyAlignment="1" applyProtection="1">
      <alignment horizontal="center" vertical="top" wrapText="1"/>
      <protection locked="0"/>
    </xf>
    <xf numFmtId="0" fontId="52" fillId="0" borderId="21" xfId="20" applyFont="1" applyBorder="1" applyAlignment="1" applyProtection="1">
      <alignment horizontal="center" vertical="center" wrapText="1"/>
      <protection hidden="1"/>
    </xf>
    <xf numFmtId="0" fontId="52" fillId="0" borderId="23" xfId="0" applyFont="1" applyBorder="1" applyAlignment="1" applyProtection="1">
      <alignment horizontal="center" vertical="center"/>
      <protection hidden="1"/>
    </xf>
    <xf numFmtId="2" fontId="11" fillId="0" borderId="41" xfId="0" applyNumberFormat="1" applyFont="1" applyBorder="1" applyAlignment="1">
      <alignment horizontal="left" vertical="center" wrapText="1"/>
    </xf>
    <xf numFmtId="2" fontId="11" fillId="0" borderId="42" xfId="0" applyNumberFormat="1" applyFont="1" applyBorder="1" applyAlignment="1">
      <alignment horizontal="left" vertical="center" wrapText="1"/>
    </xf>
    <xf numFmtId="2" fontId="11" fillId="0" borderId="32" xfId="0" applyNumberFormat="1" applyFont="1" applyBorder="1" applyAlignment="1">
      <alignment horizontal="left" vertical="center" wrapText="1"/>
    </xf>
    <xf numFmtId="0" fontId="47" fillId="0" borderId="20" xfId="0" applyFont="1" applyBorder="1" applyAlignment="1">
      <alignment horizontal="left" vertical="center"/>
    </xf>
    <xf numFmtId="0" fontId="47" fillId="0" borderId="11" xfId="0" applyFont="1" applyBorder="1" applyAlignment="1">
      <alignment horizontal="left" vertical="center"/>
    </xf>
    <xf numFmtId="0" fontId="47" fillId="0" borderId="24" xfId="0" applyFont="1" applyBorder="1" applyAlignment="1">
      <alignment horizontal="left" vertical="center"/>
    </xf>
    <xf numFmtId="0" fontId="47" fillId="0" borderId="13" xfId="0" applyFont="1" applyBorder="1" applyAlignment="1">
      <alignment horizontal="left" vertical="center"/>
    </xf>
    <xf numFmtId="0" fontId="47" fillId="0" borderId="0" xfId="0" applyFont="1" applyAlignment="1">
      <alignment horizontal="left" vertical="center"/>
    </xf>
    <xf numFmtId="0" fontId="47" fillId="0" borderId="14" xfId="0" applyFont="1" applyBorder="1" applyAlignment="1">
      <alignment horizontal="left" vertical="center"/>
    </xf>
    <xf numFmtId="0" fontId="47" fillId="0" borderId="25" xfId="0" applyFont="1" applyBorder="1" applyAlignment="1">
      <alignment horizontal="left" vertical="center"/>
    </xf>
    <xf numFmtId="0" fontId="47" fillId="0" borderId="9" xfId="0" applyFont="1" applyBorder="1" applyAlignment="1">
      <alignment horizontal="left" vertical="center"/>
    </xf>
    <xf numFmtId="0" fontId="47" fillId="0" borderId="15" xfId="0" applyFont="1" applyBorder="1" applyAlignment="1">
      <alignment horizontal="left" vertical="center"/>
    </xf>
    <xf numFmtId="0" fontId="84" fillId="0" borderId="13" xfId="20" applyFont="1" applyBorder="1" applyAlignment="1" applyProtection="1">
      <alignment horizontal="center" vertical="center" wrapText="1"/>
      <protection locked="0" hidden="1"/>
    </xf>
    <xf numFmtId="0" fontId="84" fillId="0" borderId="14" xfId="20" applyFont="1" applyBorder="1" applyAlignment="1" applyProtection="1">
      <alignment horizontal="center" vertical="center" wrapText="1"/>
      <protection locked="0" hidden="1"/>
    </xf>
    <xf numFmtId="0" fontId="47" fillId="0" borderId="22" xfId="0" applyFont="1" applyBorder="1" applyAlignment="1">
      <alignment horizontal="left" vertical="top" wrapText="1"/>
    </xf>
    <xf numFmtId="0" fontId="47" fillId="0" borderId="26" xfId="0" applyFont="1" applyBorder="1" applyAlignment="1">
      <alignment horizontal="left" vertical="top" wrapText="1"/>
    </xf>
    <xf numFmtId="0" fontId="47" fillId="0" borderId="29" xfId="0" applyFont="1" applyBorder="1" applyAlignment="1">
      <alignment horizontal="left" vertical="top" wrapText="1"/>
    </xf>
    <xf numFmtId="0" fontId="47" fillId="0" borderId="30" xfId="0" applyFont="1" applyBorder="1" applyAlignment="1">
      <alignment horizontal="left" vertical="center"/>
    </xf>
    <xf numFmtId="0" fontId="12" fillId="0" borderId="20" xfId="0" applyFont="1" applyBorder="1" applyAlignment="1">
      <alignment horizontal="center" vertical="center" wrapText="1"/>
    </xf>
    <xf numFmtId="0" fontId="12" fillId="0" borderId="24" xfId="0" applyFont="1" applyBorder="1" applyAlignment="1">
      <alignment horizontal="center" vertical="center" wrapText="1"/>
    </xf>
    <xf numFmtId="0" fontId="12" fillId="32" borderId="26" xfId="0" applyFont="1" applyFill="1" applyBorder="1" applyAlignment="1">
      <alignment horizontal="center" vertical="center" wrapText="1"/>
    </xf>
    <xf numFmtId="0" fontId="13" fillId="0" borderId="71" xfId="0" applyFont="1" applyBorder="1" applyAlignment="1">
      <alignment horizontal="center" vertical="center"/>
    </xf>
    <xf numFmtId="49" fontId="12" fillId="3" borderId="28" xfId="0" applyNumberFormat="1" applyFont="1" applyFill="1" applyBorder="1" applyAlignment="1" applyProtection="1">
      <alignment horizontal="left" vertical="center" wrapText="1"/>
      <protection locked="0"/>
    </xf>
    <xf numFmtId="182" fontId="47" fillId="0" borderId="26" xfId="21" applyNumberFormat="1" applyFont="1" applyBorder="1" applyAlignment="1">
      <alignment horizontal="left" vertical="center" wrapText="1"/>
    </xf>
    <xf numFmtId="198" fontId="15" fillId="0" borderId="50" xfId="0" applyNumberFormat="1" applyFont="1" applyBorder="1" applyAlignment="1">
      <alignment horizontal="center" vertical="center"/>
    </xf>
    <xf numFmtId="198" fontId="15" fillId="0" borderId="51" xfId="0" applyNumberFormat="1" applyFont="1" applyBorder="1" applyAlignment="1">
      <alignment horizontal="center" vertical="center"/>
    </xf>
    <xf numFmtId="0" fontId="12" fillId="0" borderId="21" xfId="22" applyFont="1" applyBorder="1" applyAlignment="1">
      <alignment horizontal="right" vertical="center"/>
    </xf>
    <xf numFmtId="0" fontId="12" fillId="0" borderId="17" xfId="22" applyFont="1" applyBorder="1" applyAlignment="1">
      <alignment horizontal="right" vertical="center"/>
    </xf>
    <xf numFmtId="0" fontId="12" fillId="0" borderId="0" xfId="22" applyFont="1" applyAlignment="1">
      <alignment horizontal="right" vertical="center"/>
    </xf>
    <xf numFmtId="0" fontId="13" fillId="0" borderId="21" xfId="22" applyFont="1" applyBorder="1" applyAlignment="1">
      <alignment horizontal="right" vertical="center"/>
    </xf>
    <xf numFmtId="0" fontId="13" fillId="0" borderId="17" xfId="22" applyFont="1" applyBorder="1" applyAlignment="1">
      <alignment horizontal="right" vertical="center"/>
    </xf>
    <xf numFmtId="0" fontId="13" fillId="0" borderId="36" xfId="22" applyFont="1" applyBorder="1" applyAlignment="1">
      <alignment horizontal="center" vertical="center"/>
    </xf>
    <xf numFmtId="0" fontId="13" fillId="0" borderId="12" xfId="22" applyFont="1" applyBorder="1" applyAlignment="1">
      <alignment horizontal="center" vertical="center"/>
    </xf>
    <xf numFmtId="198" fontId="15" fillId="0" borderId="68" xfId="0" applyNumberFormat="1" applyFont="1" applyBorder="1" applyAlignment="1">
      <alignment horizontal="center" vertical="center"/>
    </xf>
    <xf numFmtId="198" fontId="15" fillId="0" borderId="69" xfId="0" applyNumberFormat="1" applyFont="1" applyBorder="1" applyAlignment="1">
      <alignment horizontal="center" vertical="center"/>
    </xf>
    <xf numFmtId="0" fontId="12" fillId="0" borderId="75" xfId="21" applyFont="1" applyBorder="1" applyAlignment="1">
      <alignment horizontal="center"/>
    </xf>
    <xf numFmtId="0" fontId="12" fillId="0" borderId="76" xfId="21" applyFont="1" applyBorder="1" applyAlignment="1">
      <alignment horizontal="center"/>
    </xf>
    <xf numFmtId="49" fontId="47" fillId="3" borderId="13" xfId="21" applyNumberFormat="1" applyFont="1" applyFill="1" applyBorder="1" applyAlignment="1" applyProtection="1">
      <alignment horizontal="center" vertical="center" wrapText="1"/>
      <protection locked="0"/>
    </xf>
    <xf numFmtId="49" fontId="47" fillId="3" borderId="14" xfId="21" applyNumberFormat="1" applyFont="1" applyFill="1" applyBorder="1" applyAlignment="1" applyProtection="1">
      <alignment horizontal="center" vertical="center" wrapText="1"/>
      <protection locked="0"/>
    </xf>
    <xf numFmtId="0" fontId="12" fillId="0" borderId="13" xfId="21" applyFont="1" applyBorder="1" applyAlignment="1">
      <alignment horizontal="center" vertical="center" wrapText="1"/>
    </xf>
    <xf numFmtId="0" fontId="12" fillId="0" borderId="14" xfId="21" applyFont="1" applyBorder="1" applyAlignment="1">
      <alignment horizontal="center" vertical="center" wrapText="1"/>
    </xf>
    <xf numFmtId="182" fontId="47" fillId="0" borderId="30" xfId="21" applyNumberFormat="1" applyFont="1" applyBorder="1" applyAlignment="1">
      <alignment horizontal="left" vertical="center" wrapText="1"/>
    </xf>
    <xf numFmtId="0" fontId="12" fillId="0" borderId="27" xfId="21" applyFont="1" applyBorder="1" applyAlignment="1">
      <alignment horizontal="center" vertical="center" wrapText="1"/>
    </xf>
    <xf numFmtId="0" fontId="57" fillId="0" borderId="21" xfId="21" applyFont="1" applyBorder="1" applyAlignment="1">
      <alignment horizontal="center" vertical="top" wrapText="1"/>
    </xf>
    <xf numFmtId="0" fontId="57" fillId="0" borderId="23" xfId="21" applyFont="1" applyBorder="1" applyAlignment="1">
      <alignment horizontal="center" vertical="top" wrapText="1"/>
    </xf>
    <xf numFmtId="0" fontId="21" fillId="0" borderId="21" xfId="0" applyFont="1" applyBorder="1" applyAlignment="1">
      <alignment horizontal="left" vertical="top" wrapText="1"/>
    </xf>
    <xf numFmtId="0" fontId="21" fillId="0" borderId="17" xfId="0" applyFont="1" applyBorder="1" applyAlignment="1">
      <alignment horizontal="left" vertical="top" wrapText="1"/>
    </xf>
    <xf numFmtId="0" fontId="21" fillId="0" borderId="23" xfId="0" applyFont="1" applyBorder="1" applyAlignment="1">
      <alignment horizontal="left" vertical="top" wrapText="1"/>
    </xf>
    <xf numFmtId="0" fontId="90" fillId="22" borderId="21" xfId="0" applyFont="1" applyFill="1" applyBorder="1" applyAlignment="1">
      <alignment horizontal="center" vertical="top" wrapText="1"/>
    </xf>
    <xf numFmtId="0" fontId="90" fillId="22" borderId="17" xfId="0" applyFont="1" applyFill="1" applyBorder="1" applyAlignment="1">
      <alignment horizontal="center" vertical="top" wrapText="1"/>
    </xf>
    <xf numFmtId="0" fontId="90" fillId="22" borderId="23" xfId="0" applyFont="1" applyFill="1" applyBorder="1" applyAlignment="1">
      <alignment horizontal="center" vertical="top" wrapText="1"/>
    </xf>
    <xf numFmtId="0" fontId="52" fillId="0" borderId="23" xfId="20" applyFont="1" applyBorder="1" applyAlignment="1" applyProtection="1">
      <alignment horizontal="center" vertical="center" wrapText="1"/>
      <protection hidden="1"/>
    </xf>
    <xf numFmtId="0" fontId="117" fillId="0" borderId="13" xfId="21" applyFont="1" applyBorder="1" applyAlignment="1">
      <alignment horizontal="center" vertical="center" wrapText="1"/>
    </xf>
    <xf numFmtId="0" fontId="117" fillId="0" borderId="53" xfId="21" applyFont="1" applyBorder="1" applyAlignment="1">
      <alignment horizontal="center" vertical="center" wrapText="1"/>
    </xf>
    <xf numFmtId="0" fontId="13" fillId="0" borderId="29" xfId="22" applyFont="1" applyBorder="1" applyAlignment="1">
      <alignment horizontal="center" vertical="center"/>
    </xf>
    <xf numFmtId="0" fontId="13" fillId="0" borderId="56" xfId="22" applyFont="1" applyBorder="1" applyAlignment="1">
      <alignment horizontal="center" vertical="center"/>
    </xf>
    <xf numFmtId="198" fontId="15" fillId="0" borderId="73" xfId="0" applyNumberFormat="1" applyFont="1" applyBorder="1" applyAlignment="1">
      <alignment horizontal="center" vertical="center"/>
    </xf>
    <xf numFmtId="198" fontId="15" fillId="0" borderId="74" xfId="0" applyNumberFormat="1" applyFont="1" applyBorder="1" applyAlignment="1">
      <alignment horizontal="center" vertical="center"/>
    </xf>
    <xf numFmtId="0" fontId="12" fillId="0" borderId="29" xfId="22" applyFont="1" applyBorder="1" applyAlignment="1">
      <alignment horizontal="center" wrapText="1"/>
    </xf>
    <xf numFmtId="0" fontId="12" fillId="0" borderId="28" xfId="22" applyFont="1" applyBorder="1" applyAlignment="1">
      <alignment horizontal="center" wrapText="1"/>
    </xf>
    <xf numFmtId="0" fontId="117" fillId="0" borderId="20" xfId="22" applyFont="1" applyBorder="1" applyAlignment="1">
      <alignment horizontal="center" vertical="center" wrapText="1"/>
    </xf>
    <xf numFmtId="0" fontId="117" fillId="0" borderId="53" xfId="22" applyFont="1" applyBorder="1" applyAlignment="1">
      <alignment horizontal="center" vertical="center" wrapText="1"/>
    </xf>
    <xf numFmtId="0" fontId="117" fillId="0" borderId="26" xfId="22" applyFont="1" applyBorder="1" applyAlignment="1">
      <alignment horizontal="center" vertical="center" wrapText="1"/>
    </xf>
    <xf numFmtId="0" fontId="117" fillId="0" borderId="71" xfId="22" applyFont="1" applyBorder="1" applyAlignment="1">
      <alignment horizontal="center" vertical="center" wrapText="1"/>
    </xf>
    <xf numFmtId="0" fontId="12" fillId="0" borderId="28" xfId="21" applyFont="1" applyBorder="1" applyAlignment="1">
      <alignment horizontal="center" vertical="center" wrapText="1"/>
    </xf>
    <xf numFmtId="0" fontId="12" fillId="0" borderId="21" xfId="21" applyFont="1" applyBorder="1" applyAlignment="1">
      <alignment horizontal="center" vertical="center" wrapText="1"/>
    </xf>
    <xf numFmtId="0" fontId="12" fillId="0" borderId="23" xfId="21" applyFont="1" applyBorder="1" applyAlignment="1">
      <alignment horizontal="center" vertical="center" wrapText="1"/>
    </xf>
    <xf numFmtId="0" fontId="13" fillId="0" borderId="71" xfId="22" applyFont="1" applyBorder="1" applyAlignment="1">
      <alignment horizontal="center" vertical="center"/>
    </xf>
    <xf numFmtId="182" fontId="47" fillId="0" borderId="28" xfId="21" applyNumberFormat="1" applyFont="1" applyBorder="1" applyAlignment="1">
      <alignment horizontal="left" vertical="center" wrapText="1"/>
    </xf>
    <xf numFmtId="0" fontId="47" fillId="0" borderId="20" xfId="21" applyFont="1" applyBorder="1" applyAlignment="1">
      <alignment horizontal="left" vertical="center"/>
    </xf>
    <xf numFmtId="0" fontId="47" fillId="0" borderId="11" xfId="21" applyFont="1" applyBorder="1" applyAlignment="1">
      <alignment horizontal="left" vertical="center"/>
    </xf>
    <xf numFmtId="0" fontId="47" fillId="0" borderId="24" xfId="21" applyFont="1" applyBorder="1" applyAlignment="1">
      <alignment horizontal="left" vertical="center"/>
    </xf>
    <xf numFmtId="0" fontId="47" fillId="0" borderId="25" xfId="21" applyFont="1" applyBorder="1" applyAlignment="1">
      <alignment horizontal="left" vertical="top"/>
    </xf>
    <xf numFmtId="0" fontId="47" fillId="0" borderId="9" xfId="21" applyFont="1" applyBorder="1" applyAlignment="1">
      <alignment horizontal="left" vertical="top"/>
    </xf>
    <xf numFmtId="0" fontId="47" fillId="0" borderId="15" xfId="21" applyFont="1" applyBorder="1" applyAlignment="1">
      <alignment horizontal="left" vertical="top"/>
    </xf>
    <xf numFmtId="0" fontId="47" fillId="0" borderId="13" xfId="21" applyFont="1" applyBorder="1" applyAlignment="1">
      <alignment horizontal="left" vertical="top"/>
    </xf>
    <xf numFmtId="0" fontId="47" fillId="0" borderId="0" xfId="21" applyFont="1" applyAlignment="1">
      <alignment horizontal="left" vertical="top"/>
    </xf>
    <xf numFmtId="0" fontId="47" fillId="0" borderId="14" xfId="21" applyFont="1" applyBorder="1" applyAlignment="1">
      <alignment horizontal="left" vertical="top"/>
    </xf>
    <xf numFmtId="0" fontId="45" fillId="0" borderId="22" xfId="21" applyFont="1" applyBorder="1" applyAlignment="1">
      <alignment horizontal="left" vertical="top" wrapText="1"/>
    </xf>
    <xf numFmtId="0" fontId="45" fillId="0" borderId="26" xfId="21" applyFont="1" applyBorder="1" applyAlignment="1">
      <alignment horizontal="left" vertical="top" wrapText="1"/>
    </xf>
    <xf numFmtId="0" fontId="45" fillId="0" borderId="29" xfId="21" applyFont="1" applyBorder="1" applyAlignment="1">
      <alignment horizontal="left" vertical="top" wrapText="1"/>
    </xf>
    <xf numFmtId="0" fontId="45" fillId="0" borderId="26" xfId="21" applyFont="1" applyBorder="1" applyAlignment="1">
      <alignment horizontal="left" vertical="center"/>
    </xf>
    <xf numFmtId="0" fontId="45" fillId="0" borderId="18" xfId="21" applyFont="1" applyBorder="1" applyAlignment="1">
      <alignment horizontal="left" vertical="center"/>
    </xf>
    <xf numFmtId="0" fontId="12" fillId="0" borderId="18" xfId="21" applyFont="1" applyBorder="1" applyAlignment="1">
      <alignment horizontal="right" vertical="center"/>
    </xf>
    <xf numFmtId="0" fontId="12" fillId="0" borderId="19" xfId="21" applyFont="1" applyBorder="1" applyAlignment="1">
      <alignment horizontal="right" vertical="center"/>
    </xf>
    <xf numFmtId="14" fontId="45" fillId="0" borderId="19" xfId="21" applyNumberFormat="1" applyFont="1" applyBorder="1" applyAlignment="1">
      <alignment horizontal="center" vertical="center"/>
    </xf>
    <xf numFmtId="14" fontId="45" fillId="0" borderId="22" xfId="21" applyNumberFormat="1" applyFont="1" applyBorder="1" applyAlignment="1">
      <alignment horizontal="center" vertical="center"/>
    </xf>
    <xf numFmtId="0" fontId="45" fillId="0" borderId="30" xfId="21" applyFont="1" applyBorder="1" applyAlignment="1">
      <alignment horizontal="left" vertical="center"/>
    </xf>
    <xf numFmtId="0" fontId="13" fillId="0" borderId="40" xfId="21" applyFont="1" applyBorder="1" applyAlignment="1">
      <alignment horizontal="center" vertical="center"/>
    </xf>
    <xf numFmtId="190" fontId="123" fillId="30" borderId="27" xfId="0" applyNumberFormat="1" applyFont="1" applyFill="1" applyBorder="1" applyAlignment="1">
      <alignment horizontal="center" vertical="center" wrapText="1"/>
    </xf>
    <xf numFmtId="190" fontId="123" fillId="30" borderId="28" xfId="0" applyNumberFormat="1" applyFont="1" applyFill="1" applyBorder="1" applyAlignment="1">
      <alignment horizontal="center" vertical="center" wrapText="1"/>
    </xf>
    <xf numFmtId="0" fontId="11" fillId="0" borderId="43" xfId="21" applyFont="1" applyBorder="1" applyAlignment="1">
      <alignment horizontal="center" vertical="center" wrapText="1"/>
    </xf>
    <xf numFmtId="0" fontId="11" fillId="0" borderId="6" xfId="21" applyFont="1" applyBorder="1" applyAlignment="1">
      <alignment horizontal="center" vertical="center" wrapText="1"/>
    </xf>
    <xf numFmtId="0" fontId="11" fillId="0" borderId="45" xfId="21" applyFont="1" applyBorder="1" applyAlignment="1">
      <alignment horizontal="center" vertical="center" wrapText="1"/>
    </xf>
    <xf numFmtId="0" fontId="11" fillId="0" borderId="3" xfId="21" applyFont="1" applyBorder="1" applyAlignment="1">
      <alignment horizontal="center" vertical="center" wrapText="1"/>
    </xf>
    <xf numFmtId="0" fontId="88" fillId="0" borderId="29" xfId="0" applyFont="1" applyBorder="1" applyAlignment="1">
      <alignment horizontal="center" vertical="center" wrapText="1"/>
    </xf>
    <xf numFmtId="0" fontId="88" fillId="0" borderId="28" xfId="0" applyFont="1" applyBorder="1" applyAlignment="1">
      <alignment horizontal="center" vertical="center" wrapText="1"/>
    </xf>
    <xf numFmtId="49" fontId="12" fillId="3" borderId="17" xfId="22" applyNumberFormat="1" applyFont="1" applyFill="1" applyBorder="1" applyAlignment="1" applyProtection="1">
      <alignment horizontal="center" vertical="center"/>
      <protection locked="0"/>
    </xf>
    <xf numFmtId="49" fontId="12" fillId="3" borderId="23" xfId="22" applyNumberFormat="1" applyFont="1" applyFill="1" applyBorder="1" applyAlignment="1" applyProtection="1">
      <alignment horizontal="center" vertical="center"/>
      <protection locked="0"/>
    </xf>
    <xf numFmtId="167" fontId="46" fillId="0" borderId="37" xfId="0" applyNumberFormat="1" applyFont="1" applyBorder="1" applyAlignment="1">
      <alignment horizontal="center" vertical="center"/>
    </xf>
    <xf numFmtId="167" fontId="46" fillId="0" borderId="39" xfId="0" applyNumberFormat="1" applyFont="1" applyBorder="1" applyAlignment="1">
      <alignment horizontal="center" vertical="center"/>
    </xf>
    <xf numFmtId="0" fontId="12" fillId="0" borderId="13" xfId="0" applyFont="1" applyBorder="1" applyAlignment="1">
      <alignment horizontal="left" vertical="center"/>
    </xf>
    <xf numFmtId="0" fontId="12" fillId="0" borderId="0" xfId="0" applyFont="1" applyAlignment="1">
      <alignment horizontal="left" vertical="center"/>
    </xf>
    <xf numFmtId="167" fontId="45" fillId="0" borderId="37" xfId="0" applyNumberFormat="1" applyFont="1" applyBorder="1" applyAlignment="1">
      <alignment horizontal="center" vertical="center"/>
    </xf>
    <xf numFmtId="167" fontId="45" fillId="0" borderId="39" xfId="0" applyNumberFormat="1" applyFont="1" applyBorder="1" applyAlignment="1">
      <alignment horizontal="center" vertical="center"/>
    </xf>
    <xf numFmtId="0" fontId="11" fillId="0" borderId="13" xfId="0" applyFont="1" applyBorder="1" applyAlignment="1">
      <alignment horizontal="center" vertical="center"/>
    </xf>
    <xf numFmtId="0" fontId="14" fillId="0" borderId="11" xfId="0" applyFont="1" applyBorder="1" applyAlignment="1">
      <alignment horizontal="left" vertical="center"/>
    </xf>
    <xf numFmtId="0" fontId="45" fillId="0" borderId="13" xfId="0" applyFont="1" applyBorder="1" applyAlignment="1">
      <alignment horizontal="left" vertical="center"/>
    </xf>
    <xf numFmtId="0" fontId="45" fillId="0" borderId="0" xfId="0" applyFont="1" applyAlignment="1">
      <alignment horizontal="left" vertical="center"/>
    </xf>
    <xf numFmtId="167" fontId="45" fillId="0" borderId="13" xfId="0" applyNumberFormat="1" applyFont="1" applyBorder="1" applyAlignment="1">
      <alignment horizontal="center" vertical="center"/>
    </xf>
    <xf numFmtId="167" fontId="45" fillId="0" borderId="0" xfId="0" applyNumberFormat="1" applyFont="1" applyAlignment="1">
      <alignment horizontal="center" vertical="center"/>
    </xf>
    <xf numFmtId="0" fontId="45" fillId="0" borderId="14" xfId="0" applyFont="1" applyBorder="1" applyAlignment="1">
      <alignment horizontal="left" vertical="center"/>
    </xf>
    <xf numFmtId="167" fontId="45" fillId="0" borderId="14" xfId="0" applyNumberFormat="1" applyFont="1" applyBorder="1" applyAlignment="1">
      <alignment horizontal="center" vertical="center"/>
    </xf>
    <xf numFmtId="0" fontId="45" fillId="0" borderId="25" xfId="0" applyFont="1" applyBorder="1" applyAlignment="1">
      <alignment horizontal="left" vertical="center"/>
    </xf>
    <xf numFmtId="0" fontId="45" fillId="0" borderId="9" xfId="0" applyFont="1" applyBorder="1" applyAlignment="1">
      <alignment horizontal="left" vertical="center"/>
    </xf>
    <xf numFmtId="0" fontId="45" fillId="0" borderId="15" xfId="0" applyFont="1" applyBorder="1" applyAlignment="1">
      <alignment horizontal="left" vertical="center"/>
    </xf>
    <xf numFmtId="0" fontId="12" fillId="0" borderId="14" xfId="0" applyFont="1" applyBorder="1" applyAlignment="1">
      <alignment horizontal="left" vertical="center"/>
    </xf>
    <xf numFmtId="0" fontId="12" fillId="0" borderId="31" xfId="0" applyFont="1" applyBorder="1" applyAlignment="1">
      <alignment horizontal="right" vertical="center"/>
    </xf>
    <xf numFmtId="0" fontId="12" fillId="0" borderId="42" xfId="0" applyFont="1" applyBorder="1" applyAlignment="1">
      <alignment horizontal="right" vertical="center"/>
    </xf>
    <xf numFmtId="0" fontId="45" fillId="0" borderId="20" xfId="0" applyFont="1" applyBorder="1" applyAlignment="1">
      <alignment horizontal="left" vertical="center"/>
    </xf>
    <xf numFmtId="0" fontId="45" fillId="0" borderId="11" xfId="0" applyFont="1" applyBorder="1" applyAlignment="1">
      <alignment horizontal="left" vertical="center"/>
    </xf>
    <xf numFmtId="167" fontId="45" fillId="0" borderId="25" xfId="0" applyNumberFormat="1" applyFont="1" applyBorder="1" applyAlignment="1">
      <alignment horizontal="center" vertical="center"/>
    </xf>
    <xf numFmtId="167" fontId="45" fillId="0" borderId="9" xfId="0" applyNumberFormat="1" applyFont="1" applyBorder="1" applyAlignment="1">
      <alignment horizontal="center" vertical="center"/>
    </xf>
    <xf numFmtId="167" fontId="46" fillId="2" borderId="21" xfId="0" applyNumberFormat="1" applyFont="1" applyFill="1" applyBorder="1" applyAlignment="1">
      <alignment horizontal="center" vertical="center"/>
    </xf>
    <xf numFmtId="167" fontId="46" fillId="2" borderId="23" xfId="0" applyNumberFormat="1" applyFont="1" applyFill="1" applyBorder="1" applyAlignment="1">
      <alignment horizontal="center" vertical="center"/>
    </xf>
    <xf numFmtId="0" fontId="12" fillId="0" borderId="21" xfId="0" applyFont="1" applyBorder="1" applyAlignment="1">
      <alignment horizontal="center" vertical="center"/>
    </xf>
    <xf numFmtId="0" fontId="12" fillId="0" borderId="23" xfId="0" applyFont="1" applyBorder="1" applyAlignment="1">
      <alignment horizontal="center" vertical="center"/>
    </xf>
    <xf numFmtId="0" fontId="45" fillId="0" borderId="0" xfId="0" applyFont="1" applyAlignment="1">
      <alignment horizontal="center" vertical="center"/>
    </xf>
    <xf numFmtId="0" fontId="45" fillId="0" borderId="14" xfId="0" applyFont="1" applyBorder="1" applyAlignment="1">
      <alignment horizontal="center" vertical="center"/>
    </xf>
    <xf numFmtId="0" fontId="12" fillId="0" borderId="13" xfId="0" applyFont="1" applyBorder="1" applyAlignment="1">
      <alignment horizontal="left" vertical="top" wrapText="1"/>
    </xf>
    <xf numFmtId="0" fontId="12" fillId="0" borderId="0" xfId="0" applyFont="1" applyAlignment="1">
      <alignment horizontal="left" vertical="top" wrapText="1"/>
    </xf>
    <xf numFmtId="0" fontId="45" fillId="0" borderId="0" xfId="0" applyFont="1" applyAlignment="1">
      <alignment horizontal="left" vertical="top" wrapText="1"/>
    </xf>
    <xf numFmtId="0" fontId="45" fillId="0" borderId="14" xfId="0" applyFont="1" applyBorder="1" applyAlignment="1">
      <alignment horizontal="left" vertical="top" wrapText="1"/>
    </xf>
    <xf numFmtId="0" fontId="45" fillId="0" borderId="17" xfId="0" applyFont="1" applyBorder="1" applyAlignment="1">
      <alignment horizontal="left" vertical="top" wrapText="1"/>
    </xf>
    <xf numFmtId="0" fontId="45" fillId="0" borderId="23" xfId="0" applyFont="1" applyBorder="1" applyAlignment="1">
      <alignment horizontal="left" vertical="top" wrapText="1"/>
    </xf>
    <xf numFmtId="14" fontId="24" fillId="0" borderId="11" xfId="0" applyNumberFormat="1" applyFont="1" applyBorder="1" applyAlignment="1">
      <alignment horizontal="center" vertical="center"/>
    </xf>
    <xf numFmtId="14" fontId="24" fillId="0" borderId="24" xfId="0" applyNumberFormat="1" applyFont="1" applyBorder="1" applyAlignment="1">
      <alignment horizontal="center" vertical="center"/>
    </xf>
    <xf numFmtId="0" fontId="14" fillId="0" borderId="20" xfId="0" applyFont="1" applyBorder="1" applyAlignment="1">
      <alignment horizontal="center" vertical="center"/>
    </xf>
    <xf numFmtId="0" fontId="14" fillId="0" borderId="11" xfId="0" applyFont="1" applyBorder="1" applyAlignment="1">
      <alignment horizontal="center" vertical="center"/>
    </xf>
    <xf numFmtId="0" fontId="12" fillId="0" borderId="19" xfId="0" applyFont="1" applyBorder="1" applyAlignment="1">
      <alignment horizontal="center" vertical="center"/>
    </xf>
    <xf numFmtId="0" fontId="12" fillId="0" borderId="22" xfId="0" applyFont="1" applyBorder="1" applyAlignment="1">
      <alignment horizontal="center" vertical="center"/>
    </xf>
    <xf numFmtId="0" fontId="45" fillId="0" borderId="13" xfId="0" applyFont="1" applyBorder="1" applyAlignment="1">
      <alignment horizontal="left" vertical="top"/>
    </xf>
    <xf numFmtId="0" fontId="45" fillId="0" borderId="0" xfId="0" applyFont="1" applyAlignment="1">
      <alignment horizontal="left" vertical="top"/>
    </xf>
    <xf numFmtId="0" fontId="45" fillId="0" borderId="14" xfId="0" applyFont="1" applyBorder="1" applyAlignment="1">
      <alignment horizontal="left" vertical="top"/>
    </xf>
    <xf numFmtId="0" fontId="12" fillId="0" borderId="11" xfId="0" applyFont="1" applyBorder="1" applyAlignment="1">
      <alignment horizontal="left" vertical="center"/>
    </xf>
    <xf numFmtId="0" fontId="12" fillId="0" borderId="18" xfId="0" applyFont="1" applyBorder="1" applyAlignment="1">
      <alignment horizontal="center" vertical="center"/>
    </xf>
    <xf numFmtId="14" fontId="45" fillId="0" borderId="42" xfId="0" applyNumberFormat="1" applyFont="1" applyBorder="1" applyAlignment="1">
      <alignment horizontal="center" vertical="center"/>
    </xf>
    <xf numFmtId="14" fontId="45" fillId="0" borderId="15" xfId="0" applyNumberFormat="1" applyFont="1" applyBorder="1" applyAlignment="1">
      <alignment horizontal="center" vertical="center"/>
    </xf>
    <xf numFmtId="0" fontId="12" fillId="0" borderId="21" xfId="0" applyFont="1" applyBorder="1" applyAlignment="1">
      <alignment horizontal="left" vertical="center"/>
    </xf>
    <xf numFmtId="0" fontId="12" fillId="0" borderId="17" xfId="0" applyFont="1" applyBorder="1" applyAlignment="1">
      <alignment horizontal="left" vertical="center"/>
    </xf>
    <xf numFmtId="0" fontId="12" fillId="0" borderId="23" xfId="0" applyFont="1" applyBorder="1" applyAlignment="1">
      <alignment horizontal="left" vertical="center"/>
    </xf>
    <xf numFmtId="0" fontId="14" fillId="0" borderId="37" xfId="0" applyFont="1" applyBorder="1" applyAlignment="1">
      <alignment horizontal="left" vertical="center"/>
    </xf>
    <xf numFmtId="0" fontId="14" fillId="0" borderId="38" xfId="0" applyFont="1" applyBorder="1" applyAlignment="1">
      <alignment horizontal="left" vertical="center"/>
    </xf>
    <xf numFmtId="10" fontId="45" fillId="0" borderId="25" xfId="9" applyFont="1" applyBorder="1" applyAlignment="1">
      <alignment horizontal="center" vertical="center"/>
    </xf>
    <xf numFmtId="10" fontId="45" fillId="0" borderId="15" xfId="9" applyFont="1" applyBorder="1" applyAlignment="1">
      <alignment horizontal="center" vertical="center"/>
    </xf>
    <xf numFmtId="167" fontId="45" fillId="0" borderId="15" xfId="0" applyNumberFormat="1" applyFont="1" applyBorder="1" applyAlignment="1">
      <alignment horizontal="center" vertical="center"/>
    </xf>
    <xf numFmtId="10" fontId="45" fillId="0" borderId="21" xfId="0" applyNumberFormat="1" applyFont="1" applyBorder="1" applyAlignment="1">
      <alignment horizontal="center" vertical="center"/>
    </xf>
    <xf numFmtId="10" fontId="45" fillId="0" borderId="23" xfId="0" applyNumberFormat="1" applyFont="1" applyBorder="1" applyAlignment="1">
      <alignment horizontal="center" vertical="center"/>
    </xf>
    <xf numFmtId="10" fontId="45" fillId="0" borderId="18" xfId="0" applyNumberFormat="1" applyFont="1" applyBorder="1" applyAlignment="1">
      <alignment horizontal="center" vertical="center"/>
    </xf>
    <xf numFmtId="10" fontId="45" fillId="0" borderId="22" xfId="0" applyNumberFormat="1"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6" fillId="0" borderId="13" xfId="0" applyFont="1" applyBorder="1" applyAlignment="1">
      <alignment horizontal="center" vertical="center"/>
    </xf>
    <xf numFmtId="167" fontId="46" fillId="2" borderId="18" xfId="0" applyNumberFormat="1" applyFont="1" applyFill="1" applyBorder="1" applyAlignment="1">
      <alignment horizontal="center" vertical="center"/>
    </xf>
    <xf numFmtId="167" fontId="46" fillId="2" borderId="22" xfId="0" applyNumberFormat="1" applyFont="1" applyFill="1" applyBorder="1" applyAlignment="1">
      <alignment horizontal="center" vertical="center"/>
    </xf>
    <xf numFmtId="167" fontId="45" fillId="0" borderId="31" xfId="0" applyNumberFormat="1" applyFont="1" applyBorder="1" applyAlignment="1">
      <alignment horizontal="center" vertical="center"/>
    </xf>
    <xf numFmtId="167" fontId="45" fillId="0" borderId="32" xfId="0" applyNumberFormat="1" applyFont="1" applyBorder="1" applyAlignment="1">
      <alignment horizontal="center" vertical="center"/>
    </xf>
    <xf numFmtId="0" fontId="14" fillId="0" borderId="0" xfId="0" applyFont="1" applyAlignment="1">
      <alignment horizontal="center" vertical="center"/>
    </xf>
    <xf numFmtId="0" fontId="12" fillId="0" borderId="38" xfId="0" applyFont="1" applyBorder="1" applyAlignment="1">
      <alignment horizontal="left" vertical="center"/>
    </xf>
    <xf numFmtId="0" fontId="14" fillId="0" borderId="31" xfId="0" applyFont="1" applyBorder="1" applyAlignment="1">
      <alignment horizontal="left" vertical="center"/>
    </xf>
    <xf numFmtId="0" fontId="14" fillId="0" borderId="42" xfId="0" applyFont="1" applyBorder="1" applyAlignment="1">
      <alignment horizontal="left" vertical="center"/>
    </xf>
    <xf numFmtId="0" fontId="12" fillId="0" borderId="31" xfId="0" applyFont="1" applyBorder="1" applyAlignment="1">
      <alignment horizontal="center" vertical="center"/>
    </xf>
    <xf numFmtId="0" fontId="12" fillId="0" borderId="42" xfId="0" applyFont="1" applyBorder="1" applyAlignment="1">
      <alignment horizontal="center" vertical="center"/>
    </xf>
    <xf numFmtId="0" fontId="45" fillId="0" borderId="24" xfId="0" applyFont="1" applyBorder="1" applyAlignment="1">
      <alignment horizontal="left" vertical="center"/>
    </xf>
    <xf numFmtId="0" fontId="14" fillId="0" borderId="25" xfId="0" applyFont="1" applyBorder="1" applyAlignment="1">
      <alignment horizontal="left" vertical="center"/>
    </xf>
    <xf numFmtId="0" fontId="14" fillId="0" borderId="9" xfId="0" applyFont="1" applyBorder="1" applyAlignment="1">
      <alignment horizontal="left" vertical="center"/>
    </xf>
    <xf numFmtId="0" fontId="14" fillId="0" borderId="15" xfId="0" applyFont="1" applyBorder="1" applyAlignment="1">
      <alignment horizontal="left" vertical="center"/>
    </xf>
    <xf numFmtId="0" fontId="22" fillId="0" borderId="42" xfId="0" applyFont="1" applyBorder="1" applyAlignment="1">
      <alignment horizontal="left" vertical="center"/>
    </xf>
    <xf numFmtId="0" fontId="22" fillId="0" borderId="32" xfId="0" applyFont="1" applyBorder="1" applyAlignment="1">
      <alignment horizontal="left" vertical="center"/>
    </xf>
    <xf numFmtId="0" fontId="22" fillId="0" borderId="21" xfId="0" applyFont="1" applyBorder="1" applyAlignment="1">
      <alignment horizontal="left" vertical="center"/>
    </xf>
    <xf numFmtId="0" fontId="22" fillId="0" borderId="17" xfId="0" applyFont="1" applyBorder="1" applyAlignment="1">
      <alignment horizontal="left" vertical="center"/>
    </xf>
    <xf numFmtId="0" fontId="22" fillId="0" borderId="23" xfId="0" applyFont="1" applyBorder="1" applyAlignment="1">
      <alignment horizontal="left" vertical="center"/>
    </xf>
    <xf numFmtId="0" fontId="22" fillId="0" borderId="0" xfId="0" applyFont="1" applyAlignment="1">
      <alignment horizontal="left" vertical="center"/>
    </xf>
    <xf numFmtId="0" fontId="22" fillId="0" borderId="14" xfId="0" applyFont="1" applyBorder="1" applyAlignment="1">
      <alignment horizontal="left" vertical="center"/>
    </xf>
    <xf numFmtId="0" fontId="12" fillId="0" borderId="13" xfId="0" applyFont="1" applyBorder="1" applyAlignment="1">
      <alignment horizontal="center" vertical="center"/>
    </xf>
    <xf numFmtId="0" fontId="12" fillId="0" borderId="0" xfId="0" applyFont="1" applyAlignment="1">
      <alignment horizontal="center" vertical="center"/>
    </xf>
    <xf numFmtId="0" fontId="15" fillId="2" borderId="21" xfId="0" applyFont="1" applyFill="1" applyBorder="1" applyAlignment="1">
      <alignment horizontal="left" vertical="center"/>
    </xf>
    <xf numFmtId="0" fontId="15" fillId="2" borderId="17" xfId="0" applyFont="1" applyFill="1" applyBorder="1" applyAlignment="1">
      <alignment horizontal="left" vertical="center"/>
    </xf>
    <xf numFmtId="0" fontId="15" fillId="2" borderId="18" xfId="0" applyFont="1" applyFill="1" applyBorder="1" applyAlignment="1">
      <alignment horizontal="left" vertical="center"/>
    </xf>
    <xf numFmtId="0" fontId="15" fillId="2" borderId="19" xfId="0" applyFont="1" applyFill="1" applyBorder="1" applyAlignment="1">
      <alignment horizontal="left" vertical="center"/>
    </xf>
    <xf numFmtId="0" fontId="15" fillId="2" borderId="22" xfId="0" applyFont="1" applyFill="1" applyBorder="1" applyAlignment="1">
      <alignment horizontal="left" vertical="center"/>
    </xf>
    <xf numFmtId="0" fontId="63" fillId="0" borderId="13" xfId="0" applyFont="1" applyBorder="1" applyAlignment="1">
      <alignment horizontal="left" vertical="top" wrapText="1"/>
    </xf>
    <xf numFmtId="0" fontId="63" fillId="0" borderId="0" xfId="0" applyFont="1" applyAlignment="1">
      <alignment horizontal="left" vertical="top" wrapText="1"/>
    </xf>
    <xf numFmtId="0" fontId="63" fillId="0" borderId="14" xfId="0" applyFont="1" applyBorder="1" applyAlignment="1">
      <alignment horizontal="left" vertical="top" wrapText="1"/>
    </xf>
    <xf numFmtId="0" fontId="63" fillId="0" borderId="25" xfId="0" applyFont="1" applyBorder="1" applyAlignment="1">
      <alignment horizontal="left" vertical="top" wrapText="1"/>
    </xf>
    <xf numFmtId="0" fontId="63" fillId="0" borderId="9" xfId="0" applyFont="1" applyBorder="1" applyAlignment="1">
      <alignment horizontal="left" vertical="top" wrapText="1"/>
    </xf>
    <xf numFmtId="0" fontId="63" fillId="0" borderId="15" xfId="0" applyFont="1" applyBorder="1" applyAlignment="1">
      <alignment horizontal="left" vertical="top" wrapText="1"/>
    </xf>
    <xf numFmtId="10" fontId="45" fillId="0" borderId="31" xfId="0" applyNumberFormat="1" applyFont="1" applyBorder="1" applyAlignment="1">
      <alignment horizontal="center" vertical="center"/>
    </xf>
    <xf numFmtId="10" fontId="45" fillId="0" borderId="32" xfId="0" applyNumberFormat="1" applyFont="1" applyBorder="1" applyAlignment="1">
      <alignment horizontal="center" vertical="center"/>
    </xf>
    <xf numFmtId="0" fontId="22" fillId="0" borderId="18" xfId="0" applyFont="1" applyBorder="1" applyAlignment="1">
      <alignment horizontal="center" vertical="center"/>
    </xf>
    <xf numFmtId="0" fontId="12" fillId="0" borderId="25" xfId="0" applyFont="1" applyBorder="1" applyAlignment="1">
      <alignment horizontal="left" vertical="center"/>
    </xf>
    <xf numFmtId="0" fontId="12" fillId="0" borderId="9" xfId="0" applyFont="1" applyBorder="1" applyAlignment="1">
      <alignment horizontal="left" vertical="center"/>
    </xf>
    <xf numFmtId="0" fontId="22" fillId="0" borderId="9" xfId="0" applyFont="1" applyBorder="1" applyAlignment="1">
      <alignment horizontal="left" vertical="center"/>
    </xf>
    <xf numFmtId="0" fontId="22" fillId="0" borderId="15" xfId="0" applyFont="1" applyBorder="1" applyAlignment="1">
      <alignment horizontal="left" vertical="center"/>
    </xf>
    <xf numFmtId="0" fontId="12" fillId="0" borderId="20" xfId="0" applyFont="1" applyBorder="1" applyAlignment="1">
      <alignment horizontal="left" vertical="center"/>
    </xf>
    <xf numFmtId="0" fontId="12" fillId="0" borderId="24" xfId="0" applyFont="1" applyBorder="1" applyAlignment="1">
      <alignment horizontal="left" vertical="center"/>
    </xf>
    <xf numFmtId="0" fontId="12" fillId="0" borderId="15" xfId="0" applyFont="1" applyBorder="1" applyAlignment="1">
      <alignment horizontal="left" vertical="center"/>
    </xf>
    <xf numFmtId="0" fontId="14" fillId="0" borderId="13" xfId="0" applyFont="1" applyBorder="1" applyAlignment="1">
      <alignment horizontal="left" vertical="center"/>
    </xf>
    <xf numFmtId="0" fontId="21" fillId="0" borderId="17" xfId="0" applyFont="1" applyBorder="1" applyAlignment="1">
      <alignment horizontal="left" vertical="center"/>
    </xf>
    <xf numFmtId="0" fontId="21" fillId="0" borderId="23" xfId="0" applyFont="1" applyBorder="1" applyAlignment="1">
      <alignment horizontal="left" vertical="center"/>
    </xf>
    <xf numFmtId="0" fontId="19" fillId="0" borderId="20" xfId="0" applyFont="1" applyBorder="1" applyAlignment="1">
      <alignment horizontal="center" vertical="center" wrapText="1"/>
    </xf>
    <xf numFmtId="0" fontId="19" fillId="0" borderId="24" xfId="0" applyFont="1" applyBorder="1" applyAlignment="1">
      <alignment horizontal="center" vertical="center" wrapText="1"/>
    </xf>
    <xf numFmtId="0" fontId="12" fillId="0" borderId="18" xfId="0" applyFont="1" applyBorder="1" applyAlignment="1">
      <alignment vertical="top" wrapText="1"/>
    </xf>
    <xf numFmtId="0" fontId="12" fillId="0" borderId="19" xfId="0" applyFont="1" applyBorder="1" applyAlignment="1">
      <alignment vertical="top" wrapText="1"/>
    </xf>
    <xf numFmtId="167" fontId="45" fillId="0" borderId="21" xfId="0" applyNumberFormat="1" applyFont="1" applyBorder="1" applyAlignment="1">
      <alignment horizontal="center" vertical="center"/>
    </xf>
    <xf numFmtId="167" fontId="45" fillId="0" borderId="23" xfId="0" applyNumberFormat="1" applyFont="1" applyBorder="1" applyAlignment="1">
      <alignment horizontal="center" vertical="center"/>
    </xf>
    <xf numFmtId="167" fontId="45" fillId="0" borderId="20" xfId="0" applyNumberFormat="1" applyFont="1" applyBorder="1" applyAlignment="1">
      <alignment horizontal="center" vertical="center"/>
    </xf>
    <xf numFmtId="167" fontId="45" fillId="0" borderId="24" xfId="0" applyNumberFormat="1" applyFont="1" applyBorder="1" applyAlignment="1">
      <alignment horizontal="center" vertical="center"/>
    </xf>
    <xf numFmtId="0" fontId="19" fillId="0" borderId="18" xfId="0" applyFont="1" applyBorder="1" applyAlignment="1">
      <alignment horizontal="center" vertical="center" wrapText="1"/>
    </xf>
    <xf numFmtId="0" fontId="19" fillId="0" borderId="22" xfId="0" applyFont="1" applyBorder="1" applyAlignment="1">
      <alignment horizontal="center" vertical="center" wrapText="1"/>
    </xf>
    <xf numFmtId="10" fontId="45" fillId="0" borderId="13" xfId="9" applyFont="1" applyBorder="1" applyAlignment="1">
      <alignment horizontal="center" vertical="center"/>
    </xf>
    <xf numFmtId="10" fontId="45" fillId="0" borderId="14" xfId="9" applyFont="1" applyBorder="1" applyAlignment="1">
      <alignment horizontal="center" vertical="center"/>
    </xf>
    <xf numFmtId="10" fontId="30" fillId="0" borderId="21" xfId="0" applyNumberFormat="1" applyFont="1" applyBorder="1" applyAlignment="1">
      <alignment horizontal="center" vertical="center"/>
    </xf>
    <xf numFmtId="10" fontId="30" fillId="0" borderId="23" xfId="0" applyNumberFormat="1" applyFont="1" applyBorder="1" applyAlignment="1">
      <alignment horizontal="center" vertical="center"/>
    </xf>
    <xf numFmtId="0" fontId="12" fillId="0" borderId="25" xfId="0" applyFont="1" applyBorder="1" applyAlignment="1">
      <alignment horizontal="center" vertical="center"/>
    </xf>
    <xf numFmtId="0" fontId="12" fillId="0" borderId="9" xfId="0" applyFont="1" applyBorder="1" applyAlignment="1">
      <alignment horizontal="center" vertical="center"/>
    </xf>
    <xf numFmtId="0" fontId="14" fillId="0" borderId="21" xfId="0" applyFont="1" applyBorder="1" applyAlignment="1">
      <alignment horizontal="left" vertical="center"/>
    </xf>
    <xf numFmtId="0" fontId="14" fillId="0" borderId="17" xfId="0" applyFont="1" applyBorder="1" applyAlignment="1">
      <alignment horizontal="left" vertical="center"/>
    </xf>
    <xf numFmtId="0" fontId="12" fillId="0" borderId="18" xfId="0" applyFont="1" applyBorder="1" applyAlignment="1">
      <alignment horizontal="center" vertical="center" wrapText="1"/>
    </xf>
    <xf numFmtId="0" fontId="91" fillId="22" borderId="19" xfId="0" applyFont="1" applyFill="1" applyBorder="1" applyAlignment="1" applyProtection="1">
      <alignment horizontal="center" vertical="top" wrapText="1"/>
      <protection locked="0"/>
    </xf>
    <xf numFmtId="0" fontId="13" fillId="0" borderId="19" xfId="0" applyFont="1" applyBorder="1" applyAlignment="1">
      <alignment vertical="top" wrapText="1"/>
    </xf>
    <xf numFmtId="0" fontId="13" fillId="0" borderId="22" xfId="0" applyFont="1" applyBorder="1" applyAlignment="1">
      <alignment vertical="top" wrapText="1"/>
    </xf>
    <xf numFmtId="0" fontId="16" fillId="0" borderId="19" xfId="0" applyFont="1" applyBorder="1" applyAlignment="1">
      <alignment horizontal="left" vertical="center"/>
    </xf>
    <xf numFmtId="0" fontId="16" fillId="0" borderId="22" xfId="0" applyFont="1" applyBorder="1" applyAlignment="1">
      <alignment horizontal="left" vertical="center"/>
    </xf>
    <xf numFmtId="0" fontId="46" fillId="2" borderId="19" xfId="0" applyFont="1" applyFill="1" applyBorder="1" applyAlignment="1">
      <alignment horizontal="center" vertical="center" wrapText="1"/>
    </xf>
    <xf numFmtId="0" fontId="46" fillId="2" borderId="22" xfId="0" applyFont="1" applyFill="1" applyBorder="1" applyAlignment="1">
      <alignment horizontal="center" vertical="center" wrapText="1"/>
    </xf>
    <xf numFmtId="0" fontId="10" fillId="0" borderId="19" xfId="0" applyFont="1" applyBorder="1" applyAlignment="1">
      <alignment horizontal="left" vertical="center"/>
    </xf>
    <xf numFmtId="0" fontId="10" fillId="0" borderId="22" xfId="0" applyFont="1" applyBorder="1" applyAlignment="1">
      <alignment horizontal="left" vertical="center"/>
    </xf>
    <xf numFmtId="0" fontId="14" fillId="0" borderId="21" xfId="0" applyFont="1" applyBorder="1" applyAlignment="1">
      <alignment horizontal="center" vertical="center"/>
    </xf>
    <xf numFmtId="0" fontId="14" fillId="0" borderId="23" xfId="0" applyFont="1" applyBorder="1" applyAlignment="1">
      <alignment horizontal="center" vertical="center"/>
    </xf>
    <xf numFmtId="167" fontId="45" fillId="0" borderId="11" xfId="0" applyNumberFormat="1" applyFont="1" applyBorder="1" applyAlignment="1">
      <alignment horizontal="center" vertical="center"/>
    </xf>
    <xf numFmtId="0" fontId="21" fillId="0" borderId="18" xfId="0" applyFont="1" applyBorder="1" applyAlignment="1">
      <alignment horizontal="center" vertical="center"/>
    </xf>
    <xf numFmtId="0" fontId="21" fillId="0" borderId="22" xfId="0" applyFont="1" applyBorder="1" applyAlignment="1">
      <alignment horizontal="center" vertical="center"/>
    </xf>
    <xf numFmtId="197" fontId="45" fillId="0" borderId="31" xfId="0" applyNumberFormat="1" applyFont="1" applyBorder="1" applyAlignment="1">
      <alignment horizontal="center" vertical="center"/>
    </xf>
    <xf numFmtId="197" fontId="45" fillId="0" borderId="32" xfId="0" applyNumberFormat="1" applyFont="1" applyBorder="1" applyAlignment="1">
      <alignment horizontal="center" vertical="center"/>
    </xf>
    <xf numFmtId="10" fontId="45" fillId="0" borderId="11" xfId="9" applyFont="1" applyBorder="1" applyAlignment="1">
      <alignment horizontal="center" vertical="center"/>
    </xf>
    <xf numFmtId="10" fontId="45" fillId="0" borderId="24" xfId="9" applyFont="1" applyBorder="1" applyAlignment="1">
      <alignment horizontal="center" vertical="center"/>
    </xf>
    <xf numFmtId="0" fontId="33" fillId="0" borderId="21" xfId="0" applyFont="1" applyBorder="1" applyAlignment="1">
      <alignment horizontal="center" vertical="center"/>
    </xf>
    <xf numFmtId="0" fontId="33" fillId="0" borderId="17" xfId="0" applyFont="1" applyBorder="1" applyAlignment="1">
      <alignment horizontal="center" vertical="center"/>
    </xf>
    <xf numFmtId="0" fontId="33" fillId="0" borderId="23" xfId="0" applyFont="1" applyBorder="1" applyAlignment="1">
      <alignment horizontal="center" vertical="center"/>
    </xf>
    <xf numFmtId="0" fontId="14" fillId="0" borderId="20" xfId="0" applyFont="1" applyBorder="1" applyAlignment="1">
      <alignment horizontal="left" vertical="center"/>
    </xf>
    <xf numFmtId="0" fontId="14" fillId="0" borderId="24" xfId="0" applyFont="1" applyBorder="1" applyAlignment="1">
      <alignment horizontal="left" vertical="center"/>
    </xf>
    <xf numFmtId="0" fontId="15" fillId="0" borderId="21" xfId="0" applyFont="1" applyBorder="1" applyAlignment="1">
      <alignment horizontal="center" vertical="center"/>
    </xf>
    <xf numFmtId="0" fontId="15" fillId="0" borderId="17" xfId="0" applyFont="1" applyBorder="1" applyAlignment="1">
      <alignment horizontal="center" vertical="center"/>
    </xf>
    <xf numFmtId="0" fontId="15" fillId="0" borderId="23" xfId="0" applyFont="1" applyBorder="1" applyAlignment="1">
      <alignment horizontal="center" vertical="center"/>
    </xf>
    <xf numFmtId="0" fontId="11" fillId="0" borderId="21" xfId="0" applyFont="1" applyBorder="1" applyAlignment="1">
      <alignment horizontal="center" vertical="center"/>
    </xf>
    <xf numFmtId="0" fontId="11" fillId="0" borderId="17" xfId="0" applyFont="1" applyBorder="1" applyAlignment="1">
      <alignment horizontal="center" vertical="center"/>
    </xf>
    <xf numFmtId="0" fontId="11" fillId="0" borderId="23" xfId="0" applyFont="1" applyBorder="1" applyAlignment="1">
      <alignment horizontal="center" vertical="center"/>
    </xf>
    <xf numFmtId="0" fontId="35" fillId="0" borderId="17" xfId="0" applyFont="1" applyBorder="1" applyAlignment="1">
      <alignment horizontal="left" vertical="center"/>
    </xf>
    <xf numFmtId="167" fontId="30" fillId="0" borderId="20" xfId="0" applyNumberFormat="1" applyFont="1" applyBorder="1" applyAlignment="1">
      <alignment horizontal="center" vertical="center"/>
    </xf>
    <xf numFmtId="167" fontId="30" fillId="0" borderId="24" xfId="0" applyNumberFormat="1" applyFont="1" applyBorder="1" applyAlignment="1">
      <alignment horizontal="center" vertical="center"/>
    </xf>
    <xf numFmtId="167" fontId="31" fillId="0" borderId="37" xfId="0" applyNumberFormat="1" applyFont="1" applyBorder="1" applyAlignment="1">
      <alignment horizontal="center" vertical="center"/>
    </xf>
    <xf numFmtId="167" fontId="31" fillId="0" borderId="39" xfId="0" applyNumberFormat="1" applyFont="1" applyBorder="1" applyAlignment="1">
      <alignment horizontal="center" vertical="center"/>
    </xf>
    <xf numFmtId="167" fontId="31" fillId="0" borderId="38" xfId="0" applyNumberFormat="1" applyFont="1" applyBorder="1" applyAlignment="1">
      <alignment horizontal="center" vertical="center"/>
    </xf>
    <xf numFmtId="10" fontId="30" fillId="0" borderId="11" xfId="9" applyFont="1" applyBorder="1" applyAlignment="1">
      <alignment horizontal="center" vertical="center"/>
    </xf>
    <xf numFmtId="10" fontId="30" fillId="0" borderId="24" xfId="9" applyFont="1" applyBorder="1" applyAlignment="1">
      <alignment horizontal="center" vertical="center"/>
    </xf>
    <xf numFmtId="167" fontId="17" fillId="0" borderId="20" xfId="0" applyNumberFormat="1" applyFont="1" applyBorder="1" applyAlignment="1">
      <alignment horizontal="center" vertical="center"/>
    </xf>
    <xf numFmtId="167" fontId="17" fillId="0" borderId="24" xfId="0" applyNumberFormat="1" applyFont="1" applyBorder="1" applyAlignment="1">
      <alignment horizontal="center" vertical="center"/>
    </xf>
    <xf numFmtId="167" fontId="17" fillId="0" borderId="0" xfId="0" applyNumberFormat="1" applyFont="1" applyAlignment="1">
      <alignment horizontal="center" vertical="center"/>
    </xf>
    <xf numFmtId="167" fontId="17" fillId="0" borderId="14" xfId="0" applyNumberFormat="1" applyFont="1" applyBorder="1" applyAlignment="1">
      <alignment horizontal="center" vertical="center"/>
    </xf>
    <xf numFmtId="167" fontId="17" fillId="0" borderId="9" xfId="0" applyNumberFormat="1" applyFont="1" applyBorder="1" applyAlignment="1">
      <alignment horizontal="center" vertical="center"/>
    </xf>
    <xf numFmtId="167" fontId="17" fillId="0" borderId="15" xfId="0" applyNumberFormat="1" applyFont="1" applyBorder="1" applyAlignment="1">
      <alignment horizontal="center" vertical="center"/>
    </xf>
    <xf numFmtId="10" fontId="30" fillId="0" borderId="0" xfId="9" applyFont="1" applyAlignment="1">
      <alignment horizontal="center" vertical="center"/>
    </xf>
    <xf numFmtId="10" fontId="30" fillId="0" borderId="14" xfId="9" applyFont="1" applyBorder="1" applyAlignment="1">
      <alignment horizontal="center" vertical="center"/>
    </xf>
    <xf numFmtId="167" fontId="30" fillId="0" borderId="13" xfId="0" applyNumberFormat="1" applyFont="1" applyBorder="1" applyAlignment="1">
      <alignment horizontal="center" vertical="center"/>
    </xf>
    <xf numFmtId="167" fontId="30" fillId="0" borderId="14" xfId="0" applyNumberFormat="1" applyFont="1" applyBorder="1" applyAlignment="1">
      <alignment horizontal="center" vertical="center"/>
    </xf>
    <xf numFmtId="10" fontId="30" fillId="0" borderId="9" xfId="9" applyFont="1" applyBorder="1" applyAlignment="1">
      <alignment horizontal="center" vertical="center"/>
    </xf>
    <xf numFmtId="10" fontId="30" fillId="0" borderId="15" xfId="9" applyFont="1" applyBorder="1" applyAlignment="1">
      <alignment horizontal="center" vertical="center"/>
    </xf>
    <xf numFmtId="167" fontId="30" fillId="0" borderId="25" xfId="0" applyNumberFormat="1" applyFont="1" applyBorder="1" applyAlignment="1">
      <alignment horizontal="center" vertical="center"/>
    </xf>
    <xf numFmtId="167" fontId="30" fillId="0" borderId="15" xfId="0" applyNumberFormat="1" applyFont="1" applyBorder="1" applyAlignment="1">
      <alignment horizontal="center" vertical="center"/>
    </xf>
    <xf numFmtId="167" fontId="46" fillId="2" borderId="19" xfId="0" applyNumberFormat="1" applyFont="1" applyFill="1" applyBorder="1" applyAlignment="1">
      <alignment horizontal="center" vertical="center"/>
    </xf>
    <xf numFmtId="167" fontId="47" fillId="0" borderId="31" xfId="0" applyNumberFormat="1" applyFont="1" applyBorder="1" applyAlignment="1">
      <alignment horizontal="center" vertical="center"/>
    </xf>
    <xf numFmtId="167" fontId="47" fillId="0" borderId="32" xfId="0" applyNumberFormat="1" applyFont="1" applyBorder="1" applyAlignment="1">
      <alignment horizontal="center" vertical="center"/>
    </xf>
    <xf numFmtId="0" fontId="15" fillId="2" borderId="18" xfId="0" applyFont="1" applyFill="1" applyBorder="1" applyAlignment="1">
      <alignment horizontal="left" vertical="center" wrapText="1"/>
    </xf>
    <xf numFmtId="0" fontId="15" fillId="2" borderId="19" xfId="0" applyFont="1" applyFill="1" applyBorder="1" applyAlignment="1">
      <alignment horizontal="left" vertical="center" wrapText="1"/>
    </xf>
    <xf numFmtId="0" fontId="15" fillId="2" borderId="22" xfId="0" applyFont="1" applyFill="1" applyBorder="1" applyAlignment="1">
      <alignment horizontal="left" vertical="center" wrapText="1"/>
    </xf>
    <xf numFmtId="167" fontId="31" fillId="2" borderId="19" xfId="0" applyNumberFormat="1" applyFont="1" applyFill="1" applyBorder="1" applyAlignment="1">
      <alignment horizontal="center" vertical="center"/>
    </xf>
    <xf numFmtId="0" fontId="33" fillId="0" borderId="18" xfId="0" applyFont="1" applyBorder="1" applyAlignment="1">
      <alignment horizontal="center" vertical="center"/>
    </xf>
    <xf numFmtId="0" fontId="33" fillId="0" borderId="19" xfId="0" applyFont="1" applyBorder="1" applyAlignment="1">
      <alignment horizontal="center" vertical="center"/>
    </xf>
    <xf numFmtId="0" fontId="33" fillId="0" borderId="22" xfId="0" applyFont="1" applyBorder="1" applyAlignment="1">
      <alignment horizontal="center" vertical="center"/>
    </xf>
    <xf numFmtId="0" fontId="15" fillId="0" borderId="19" xfId="0" applyFont="1" applyBorder="1" applyAlignment="1">
      <alignment horizontal="center" vertical="center"/>
    </xf>
    <xf numFmtId="0" fontId="15" fillId="0" borderId="22" xfId="0" applyFont="1" applyBorder="1" applyAlignment="1">
      <alignment horizontal="center" vertical="center"/>
    </xf>
    <xf numFmtId="0" fontId="30" fillId="7" borderId="25" xfId="0" applyFont="1" applyFill="1" applyBorder="1" applyAlignment="1">
      <alignment horizontal="left" vertical="center"/>
    </xf>
    <xf numFmtId="0" fontId="30" fillId="7" borderId="9" xfId="0" applyFont="1" applyFill="1" applyBorder="1" applyAlignment="1">
      <alignment horizontal="left" vertical="center"/>
    </xf>
    <xf numFmtId="0" fontId="30" fillId="7" borderId="15" xfId="0" applyFont="1" applyFill="1" applyBorder="1" applyAlignment="1">
      <alignment horizontal="left" vertical="center"/>
    </xf>
    <xf numFmtId="167" fontId="30" fillId="7" borderId="9" xfId="0" applyNumberFormat="1" applyFont="1" applyFill="1" applyBorder="1" applyAlignment="1">
      <alignment horizontal="center" vertical="center"/>
    </xf>
    <xf numFmtId="167" fontId="30" fillId="7" borderId="25" xfId="0" applyNumberFormat="1" applyFont="1" applyFill="1" applyBorder="1" applyAlignment="1">
      <alignment horizontal="center" vertical="center"/>
    </xf>
    <xf numFmtId="167" fontId="30" fillId="7" borderId="15" xfId="0" applyNumberFormat="1" applyFont="1" applyFill="1" applyBorder="1" applyAlignment="1">
      <alignment horizontal="center" vertical="center"/>
    </xf>
    <xf numFmtId="0" fontId="12" fillId="0" borderId="38" xfId="0" applyFont="1" applyBorder="1" applyAlignment="1">
      <alignment horizontal="left" vertical="top" wrapText="1"/>
    </xf>
    <xf numFmtId="0" fontId="30" fillId="7" borderId="0" xfId="0" applyFont="1" applyFill="1" applyAlignment="1">
      <alignment horizontal="left" vertical="center"/>
    </xf>
    <xf numFmtId="0" fontId="30" fillId="7" borderId="14" xfId="0" applyFont="1" applyFill="1" applyBorder="1" applyAlignment="1">
      <alignment horizontal="left" vertical="center"/>
    </xf>
    <xf numFmtId="167" fontId="30" fillId="7" borderId="0" xfId="0" applyNumberFormat="1" applyFont="1" applyFill="1" applyAlignment="1">
      <alignment horizontal="center" vertical="center"/>
    </xf>
    <xf numFmtId="167" fontId="30" fillId="7" borderId="13" xfId="0" applyNumberFormat="1" applyFont="1" applyFill="1" applyBorder="1" applyAlignment="1">
      <alignment horizontal="center" vertical="center"/>
    </xf>
    <xf numFmtId="167" fontId="30" fillId="7" borderId="14" xfId="0" applyNumberFormat="1" applyFont="1" applyFill="1" applyBorder="1" applyAlignment="1">
      <alignment horizontal="center" vertical="center"/>
    </xf>
    <xf numFmtId="0" fontId="30" fillId="7" borderId="13" xfId="0" applyFont="1" applyFill="1" applyBorder="1" applyAlignment="1">
      <alignment horizontal="left" vertical="top" wrapText="1"/>
    </xf>
    <xf numFmtId="0" fontId="30" fillId="7" borderId="0" xfId="0" applyFont="1" applyFill="1" applyAlignment="1">
      <alignment horizontal="left" vertical="top" wrapText="1"/>
    </xf>
    <xf numFmtId="0" fontId="30" fillId="7" borderId="14" xfId="0" applyFont="1" applyFill="1" applyBorder="1" applyAlignment="1">
      <alignment horizontal="left" vertical="top" wrapText="1"/>
    </xf>
    <xf numFmtId="0" fontId="30" fillId="7" borderId="25" xfId="0" applyFont="1" applyFill="1" applyBorder="1" applyAlignment="1">
      <alignment horizontal="left" vertical="top" wrapText="1"/>
    </xf>
    <xf numFmtId="0" fontId="30" fillId="7" borderId="9" xfId="0" applyFont="1" applyFill="1" applyBorder="1" applyAlignment="1">
      <alignment horizontal="left" vertical="top" wrapText="1"/>
    </xf>
    <xf numFmtId="0" fontId="30" fillId="7" borderId="15" xfId="0" applyFont="1" applyFill="1" applyBorder="1" applyAlignment="1">
      <alignment horizontal="left" vertical="top" wrapText="1"/>
    </xf>
    <xf numFmtId="0" fontId="12" fillId="0" borderId="19" xfId="0" applyFont="1" applyBorder="1" applyAlignment="1">
      <alignment horizontal="left" vertical="center"/>
    </xf>
    <xf numFmtId="0" fontId="12" fillId="0" borderId="22" xfId="0" applyFont="1" applyBorder="1" applyAlignment="1">
      <alignment horizontal="left" vertical="center"/>
    </xf>
    <xf numFmtId="4" fontId="45" fillId="11" borderId="0" xfId="0" applyNumberFormat="1" applyFont="1" applyFill="1"/>
    <xf numFmtId="0" fontId="45" fillId="11" borderId="0" xfId="0" applyFont="1" applyFill="1"/>
    <xf numFmtId="170" fontId="30" fillId="0" borderId="42" xfId="0" applyNumberFormat="1" applyFont="1" applyBorder="1" applyAlignment="1">
      <alignment horizontal="center" vertical="center"/>
    </xf>
    <xf numFmtId="170" fontId="30" fillId="0" borderId="15" xfId="0" applyNumberFormat="1" applyFont="1" applyBorder="1" applyAlignment="1">
      <alignment horizontal="center" vertical="center"/>
    </xf>
    <xf numFmtId="14" fontId="30" fillId="0" borderId="11" xfId="0" applyNumberFormat="1" applyFont="1" applyBorder="1" applyAlignment="1">
      <alignment horizontal="center" vertical="center"/>
    </xf>
    <xf numFmtId="14" fontId="30" fillId="0" borderId="24" xfId="0" applyNumberFormat="1" applyFont="1" applyBorder="1" applyAlignment="1">
      <alignment horizontal="center" vertical="center"/>
    </xf>
    <xf numFmtId="0" fontId="30" fillId="0" borderId="25" xfId="0" applyFont="1" applyBorder="1" applyAlignment="1">
      <alignment horizontal="left" vertical="center"/>
    </xf>
    <xf numFmtId="0" fontId="30" fillId="0" borderId="9" xfId="0" applyFont="1" applyBorder="1" applyAlignment="1">
      <alignment horizontal="left" vertical="center"/>
    </xf>
    <xf numFmtId="0" fontId="30" fillId="0" borderId="15" xfId="0" applyFont="1" applyBorder="1" applyAlignment="1">
      <alignment horizontal="left" vertical="center"/>
    </xf>
    <xf numFmtId="0" fontId="127" fillId="0" borderId="21" xfId="0" applyFont="1" applyBorder="1" applyAlignment="1">
      <alignment horizontal="center" vertical="center"/>
    </xf>
    <xf numFmtId="0" fontId="127" fillId="0" borderId="17" xfId="0" applyFont="1" applyBorder="1" applyAlignment="1">
      <alignment horizontal="center" vertical="center"/>
    </xf>
    <xf numFmtId="0" fontId="127" fillId="0" borderId="23"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2" xfId="0" applyFont="1" applyBorder="1" applyAlignment="1">
      <alignment horizontal="center" vertical="center"/>
    </xf>
    <xf numFmtId="0" fontId="19" fillId="0" borderId="13" xfId="0" applyFont="1" applyBorder="1" applyAlignment="1">
      <alignment horizontal="center" vertical="center" textRotation="90" wrapText="1"/>
    </xf>
    <xf numFmtId="0" fontId="30" fillId="0" borderId="0" xfId="0" applyFont="1" applyAlignment="1">
      <alignment horizontal="left" vertical="top" wrapText="1"/>
    </xf>
    <xf numFmtId="0" fontId="30" fillId="0" borderId="14" xfId="0" applyFont="1" applyBorder="1" applyAlignment="1">
      <alignment horizontal="left" vertical="top" wrapText="1"/>
    </xf>
    <xf numFmtId="0" fontId="30" fillId="0" borderId="17" xfId="0" applyFont="1" applyBorder="1" applyAlignment="1">
      <alignment horizontal="left" vertical="top" wrapText="1"/>
    </xf>
    <xf numFmtId="0" fontId="30" fillId="0" borderId="23" xfId="0" applyFont="1" applyBorder="1" applyAlignment="1">
      <alignment horizontal="left" vertical="top" wrapText="1"/>
    </xf>
    <xf numFmtId="0" fontId="24" fillId="0" borderId="19" xfId="0" applyFont="1" applyBorder="1" applyAlignment="1">
      <alignment horizontal="left" vertical="center"/>
    </xf>
    <xf numFmtId="0" fontId="24" fillId="0" borderId="22" xfId="0" applyFont="1" applyBorder="1" applyAlignment="1">
      <alignment horizontal="left" vertical="center"/>
    </xf>
    <xf numFmtId="0" fontId="30" fillId="0" borderId="11" xfId="0" applyFont="1" applyBorder="1" applyAlignment="1">
      <alignment horizontal="left" vertical="center"/>
    </xf>
    <xf numFmtId="0" fontId="30" fillId="0" borderId="24" xfId="0" applyFont="1" applyBorder="1" applyAlignment="1">
      <alignment horizontal="left" vertical="center"/>
    </xf>
    <xf numFmtId="167" fontId="30" fillId="0" borderId="11" xfId="0" applyNumberFormat="1" applyFont="1" applyBorder="1" applyAlignment="1">
      <alignment horizontal="center" vertical="center"/>
    </xf>
    <xf numFmtId="0" fontId="30" fillId="0" borderId="0" xfId="0" applyFont="1" applyAlignment="1">
      <alignment horizontal="center" vertical="center"/>
    </xf>
    <xf numFmtId="0" fontId="30" fillId="0" borderId="14" xfId="0" applyFont="1" applyBorder="1" applyAlignment="1">
      <alignment horizontal="center" vertical="center"/>
    </xf>
    <xf numFmtId="0" fontId="24" fillId="0" borderId="0" xfId="0" applyFont="1" applyAlignment="1">
      <alignment horizontal="center" vertical="center"/>
    </xf>
    <xf numFmtId="0" fontId="24" fillId="0" borderId="14" xfId="0" applyFont="1" applyBorder="1" applyAlignment="1">
      <alignment horizontal="center" vertical="center"/>
    </xf>
    <xf numFmtId="4" fontId="24" fillId="11" borderId="0" xfId="0" applyNumberFormat="1" applyFont="1" applyFill="1"/>
    <xf numFmtId="0" fontId="24" fillId="11" borderId="0" xfId="0" applyFont="1" applyFill="1"/>
    <xf numFmtId="0" fontId="24" fillId="7" borderId="0" xfId="0" applyFont="1" applyFill="1" applyAlignment="1">
      <alignment horizontal="left" vertical="center"/>
    </xf>
    <xf numFmtId="0" fontId="24" fillId="7" borderId="14" xfId="0" applyFont="1" applyFill="1" applyBorder="1" applyAlignment="1">
      <alignment horizontal="left" vertical="center"/>
    </xf>
    <xf numFmtId="0" fontId="24" fillId="7" borderId="9" xfId="0" applyFont="1" applyFill="1" applyBorder="1" applyAlignment="1">
      <alignment horizontal="left" vertical="center"/>
    </xf>
    <xf numFmtId="0" fontId="24" fillId="7" borderId="15" xfId="0" applyFont="1" applyFill="1" applyBorder="1" applyAlignment="1">
      <alignment horizontal="left" vertical="center"/>
    </xf>
    <xf numFmtId="10" fontId="30" fillId="0" borderId="31" xfId="0" applyNumberFormat="1" applyFont="1" applyBorder="1" applyAlignment="1">
      <alignment horizontal="center" vertical="center"/>
    </xf>
    <xf numFmtId="10" fontId="30" fillId="0" borderId="32" xfId="0" applyNumberFormat="1" applyFont="1" applyBorder="1" applyAlignment="1">
      <alignment horizontal="center" vertical="center"/>
    </xf>
    <xf numFmtId="167" fontId="30" fillId="0" borderId="31" xfId="0" applyNumberFormat="1" applyFont="1" applyBorder="1" applyAlignment="1">
      <alignment horizontal="center" vertical="center"/>
    </xf>
    <xf numFmtId="167" fontId="30" fillId="0" borderId="32" xfId="0" applyNumberFormat="1" applyFont="1" applyBorder="1" applyAlignment="1">
      <alignment horizontal="center" vertical="center"/>
    </xf>
    <xf numFmtId="167" fontId="31" fillId="2" borderId="21" xfId="0" applyNumberFormat="1" applyFont="1" applyFill="1" applyBorder="1" applyAlignment="1">
      <alignment horizontal="center" vertical="center"/>
    </xf>
    <xf numFmtId="167" fontId="31" fillId="2" borderId="23" xfId="0" applyNumberFormat="1" applyFont="1" applyFill="1" applyBorder="1" applyAlignment="1">
      <alignment horizontal="center" vertical="center"/>
    </xf>
    <xf numFmtId="0" fontId="12" fillId="0" borderId="38" xfId="0" applyFont="1" applyBorder="1" applyAlignment="1">
      <alignment horizontal="center" vertical="center"/>
    </xf>
    <xf numFmtId="167" fontId="31" fillId="2" borderId="18" xfId="0" applyNumberFormat="1" applyFont="1" applyFill="1" applyBorder="1" applyAlignment="1">
      <alignment horizontal="center" vertical="center"/>
    </xf>
    <xf numFmtId="167" fontId="31" fillId="2" borderId="22" xfId="0" applyNumberFormat="1" applyFont="1" applyFill="1" applyBorder="1" applyAlignment="1">
      <alignment horizontal="center" vertical="center"/>
    </xf>
    <xf numFmtId="10" fontId="30" fillId="0" borderId="18" xfId="0" applyNumberFormat="1" applyFont="1" applyBorder="1" applyAlignment="1">
      <alignment horizontal="center" vertical="center"/>
    </xf>
    <xf numFmtId="10" fontId="30" fillId="0" borderId="22" xfId="0" applyNumberFormat="1" applyFont="1" applyBorder="1" applyAlignment="1">
      <alignment horizontal="center" vertical="center"/>
    </xf>
    <xf numFmtId="167" fontId="30" fillId="0" borderId="21" xfId="0" applyNumberFormat="1" applyFont="1" applyBorder="1" applyAlignment="1">
      <alignment horizontal="center" vertical="center"/>
    </xf>
    <xf numFmtId="167" fontId="30" fillId="0" borderId="23" xfId="0" applyNumberFormat="1" applyFont="1" applyBorder="1" applyAlignment="1">
      <alignment horizontal="center" vertical="center"/>
    </xf>
    <xf numFmtId="10" fontId="30" fillId="0" borderId="25" xfId="9" applyFont="1" applyBorder="1" applyAlignment="1">
      <alignment horizontal="center" vertical="center"/>
    </xf>
    <xf numFmtId="10" fontId="30" fillId="0" borderId="20" xfId="9" applyFont="1" applyBorder="1" applyAlignment="1">
      <alignment horizontal="center" vertical="center"/>
    </xf>
    <xf numFmtId="10" fontId="30" fillId="0" borderId="13" xfId="9" applyFont="1" applyBorder="1" applyAlignment="1">
      <alignment horizontal="center" vertical="center"/>
    </xf>
    <xf numFmtId="197" fontId="30" fillId="0" borderId="31" xfId="0" applyNumberFormat="1" applyFont="1" applyBorder="1" applyAlignment="1">
      <alignment horizontal="center" vertical="center"/>
    </xf>
    <xf numFmtId="197" fontId="30" fillId="0" borderId="32" xfId="0" applyNumberFormat="1" applyFont="1" applyBorder="1" applyAlignment="1">
      <alignment horizontal="center" vertical="center"/>
    </xf>
    <xf numFmtId="167" fontId="33" fillId="0" borderId="31" xfId="0" applyNumberFormat="1" applyFont="1" applyBorder="1" applyAlignment="1">
      <alignment horizontal="center" vertical="center"/>
    </xf>
    <xf numFmtId="167" fontId="33" fillId="0" borderId="32" xfId="0" applyNumberFormat="1" applyFont="1" applyBorder="1" applyAlignment="1">
      <alignment horizontal="center" vertical="center"/>
    </xf>
    <xf numFmtId="10" fontId="30" fillId="0" borderId="21" xfId="0" applyNumberFormat="1" applyFont="1" applyBorder="1" applyAlignment="1">
      <alignment horizontal="right" vertical="center"/>
    </xf>
    <xf numFmtId="10" fontId="30" fillId="0" borderId="23" xfId="0" applyNumberFormat="1" applyFont="1" applyBorder="1" applyAlignment="1">
      <alignment horizontal="right" vertical="center"/>
    </xf>
    <xf numFmtId="0" fontId="30" fillId="0" borderId="13" xfId="0" applyFont="1" applyBorder="1" applyAlignment="1">
      <alignment horizontal="left" vertical="center"/>
    </xf>
    <xf numFmtId="0" fontId="30" fillId="0" borderId="0" xfId="0" applyFont="1" applyAlignment="1">
      <alignment horizontal="left" vertical="center"/>
    </xf>
    <xf numFmtId="0" fontId="30" fillId="0" borderId="14" xfId="0" applyFont="1" applyBorder="1" applyAlignment="1">
      <alignment horizontal="left" vertical="center"/>
    </xf>
    <xf numFmtId="0" fontId="24" fillId="0" borderId="0" xfId="0" applyFont="1" applyAlignment="1">
      <alignment horizontal="left" vertical="top" wrapText="1"/>
    </xf>
    <xf numFmtId="0" fontId="24" fillId="0" borderId="14" xfId="0" applyFont="1" applyBorder="1" applyAlignment="1">
      <alignment horizontal="left" vertical="top" wrapText="1"/>
    </xf>
    <xf numFmtId="0" fontId="24" fillId="0" borderId="17" xfId="0" applyFont="1" applyBorder="1" applyAlignment="1">
      <alignment horizontal="left" vertical="top" wrapText="1"/>
    </xf>
    <xf numFmtId="0" fontId="24" fillId="0" borderId="23" xfId="0" applyFont="1" applyBorder="1" applyAlignment="1">
      <alignment horizontal="left" vertical="top" wrapText="1"/>
    </xf>
    <xf numFmtId="0" fontId="12" fillId="0" borderId="14" xfId="0" applyFont="1" applyBorder="1" applyAlignment="1">
      <alignment horizontal="center" vertical="center"/>
    </xf>
    <xf numFmtId="0" fontId="30" fillId="7" borderId="20" xfId="0" applyFont="1" applyFill="1" applyBorder="1" applyAlignment="1">
      <alignment horizontal="left" vertical="center"/>
    </xf>
    <xf numFmtId="0" fontId="30" fillId="7" borderId="11" xfId="0" applyFont="1" applyFill="1" applyBorder="1" applyAlignment="1">
      <alignment horizontal="left" vertical="center"/>
    </xf>
    <xf numFmtId="0" fontId="30" fillId="7" borderId="24" xfId="0" applyFont="1" applyFill="1" applyBorder="1" applyAlignment="1">
      <alignment horizontal="left" vertical="center"/>
    </xf>
    <xf numFmtId="167" fontId="30" fillId="7" borderId="20" xfId="0" applyNumberFormat="1" applyFont="1" applyFill="1" applyBorder="1" applyAlignment="1">
      <alignment horizontal="center" vertical="center"/>
    </xf>
    <xf numFmtId="167" fontId="30" fillId="7" borderId="24" xfId="0" applyNumberFormat="1" applyFont="1" applyFill="1" applyBorder="1" applyAlignment="1">
      <alignment horizontal="center" vertical="center"/>
    </xf>
    <xf numFmtId="0" fontId="21" fillId="0" borderId="0" xfId="0" applyFont="1" applyAlignment="1">
      <alignment horizontal="left" vertical="center"/>
    </xf>
    <xf numFmtId="0" fontId="21" fillId="0" borderId="14" xfId="0" applyFont="1" applyBorder="1" applyAlignment="1">
      <alignment horizontal="left" vertical="center"/>
    </xf>
    <xf numFmtId="10" fontId="30" fillId="0" borderId="13" xfId="0" applyNumberFormat="1" applyFont="1" applyBorder="1" applyAlignment="1">
      <alignment horizontal="right" vertical="center"/>
    </xf>
    <xf numFmtId="10" fontId="30" fillId="0" borderId="14" xfId="0" applyNumberFormat="1" applyFont="1" applyBorder="1" applyAlignment="1">
      <alignment horizontal="right" vertical="center"/>
    </xf>
    <xf numFmtId="167" fontId="30" fillId="0" borderId="13" xfId="0" applyNumberFormat="1" applyFont="1" applyBorder="1" applyAlignment="1">
      <alignment horizontal="right" vertical="center"/>
    </xf>
    <xf numFmtId="167" fontId="30" fillId="0" borderId="14" xfId="0" applyNumberFormat="1" applyFont="1" applyBorder="1" applyAlignment="1">
      <alignment horizontal="right" vertical="center"/>
    </xf>
    <xf numFmtId="167" fontId="17" fillId="0" borderId="11" xfId="0" applyNumberFormat="1" applyFont="1" applyBorder="1" applyAlignment="1">
      <alignment horizontal="center" vertical="center"/>
    </xf>
    <xf numFmtId="0" fontId="96" fillId="17" borderId="0" xfId="0" applyFont="1" applyFill="1" applyAlignment="1">
      <alignment horizontal="center" vertical="center"/>
    </xf>
  </cellXfs>
  <cellStyles count="25">
    <cellStyle name="DATUM" xfId="1" xr:uid="{00000000-0005-0000-0000-000000000000}"/>
    <cellStyle name="Euro" xfId="2" xr:uid="{00000000-0005-0000-0000-000001000000}"/>
    <cellStyle name="FEST" xfId="3" xr:uid="{00000000-0005-0000-0000-000002000000}"/>
    <cellStyle name="Gesamt" xfId="4" xr:uid="{00000000-0005-0000-0000-000003000000}"/>
    <cellStyle name="Komma" xfId="5" builtinId="3"/>
    <cellStyle name="Komma 3 2" xfId="17" xr:uid="{EDE968DE-0235-4522-B764-69F8C9DB855A}"/>
    <cellStyle name="Komma0" xfId="6" xr:uid="{00000000-0005-0000-0000-000005000000}"/>
    <cellStyle name="KOPFZEILE1" xfId="7" xr:uid="{00000000-0005-0000-0000-000006000000}"/>
    <cellStyle name="KOPFZEILE2" xfId="8" xr:uid="{00000000-0005-0000-0000-000007000000}"/>
    <cellStyle name="Link" xfId="20" builtinId="8"/>
    <cellStyle name="Link 2" xfId="24" xr:uid="{89654F43-36AD-421A-98CC-661C58AACE7F}"/>
    <cellStyle name="Prozent" xfId="9" builtinId="5"/>
    <cellStyle name="Prozent 2 2" xfId="23" xr:uid="{59C174CF-9343-4129-A5AF-6F52E1ED7D23}"/>
    <cellStyle name="Prozent 3 2" xfId="18" xr:uid="{0F4CE27C-D905-430D-A06E-60E344F09D9F}"/>
    <cellStyle name="Standard" xfId="0" builtinId="0"/>
    <cellStyle name="Standard 2" xfId="10" xr:uid="{00000000-0005-0000-0000-00000A000000}"/>
    <cellStyle name="Standard 2 3" xfId="21" xr:uid="{B0F8190D-463B-4DD5-863B-3DC4CD6C7D69}"/>
    <cellStyle name="Standard 3" xfId="22" xr:uid="{B611DAB4-DE67-4FB9-B2F7-BFA4CB639E90}"/>
    <cellStyle name="Standard 4 2" xfId="16" xr:uid="{B0A72ADE-F025-418F-8A47-89D3210A8CFB}"/>
    <cellStyle name="Standard 6 2" xfId="19" xr:uid="{11C9E74C-4E87-4145-BFC3-E2A2E2E31E1E}"/>
    <cellStyle name="SUMME" xfId="11" xr:uid="{00000000-0005-0000-0000-00000B000000}"/>
    <cellStyle name="Währung" xfId="15" builtinId="4"/>
    <cellStyle name="Währung0" xfId="12" xr:uid="{00000000-0005-0000-0000-00000C000000}"/>
    <cellStyle name="Zeile 1" xfId="13" xr:uid="{00000000-0005-0000-0000-00000D000000}"/>
    <cellStyle name="Zeile 2" xfId="14" xr:uid="{00000000-0005-0000-0000-00000E000000}"/>
  </cellStyles>
  <dxfs count="607">
    <dxf>
      <font>
        <strike/>
        <color rgb="FFFF0000"/>
      </font>
      <fill>
        <patternFill>
          <bgColor theme="0" tint="-0.14996795556505021"/>
        </patternFill>
      </fill>
    </dxf>
    <dxf>
      <font>
        <strike/>
        <color rgb="FFFF0000"/>
      </font>
      <fill>
        <patternFill>
          <bgColor theme="0" tint="-0.14996795556505021"/>
        </patternFill>
      </fill>
    </dxf>
    <dxf>
      <font>
        <color theme="1"/>
      </font>
      <fill>
        <patternFill>
          <bgColor theme="1"/>
        </patternFill>
      </fill>
    </dxf>
    <dxf>
      <font>
        <color theme="1"/>
      </font>
      <fill>
        <patternFill>
          <bgColor theme="1"/>
        </patternFill>
      </fill>
    </dxf>
    <dxf>
      <font>
        <color theme="0"/>
      </font>
      <fill>
        <patternFill patternType="none">
          <bgColor auto="1"/>
        </patternFill>
      </fill>
    </dxf>
    <dxf>
      <font>
        <b/>
        <i val="0"/>
        <color theme="0"/>
      </font>
      <fill>
        <patternFill>
          <bgColor rgb="FFFF0000"/>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ont>
        <strike val="0"/>
        <color rgb="FFFF0000"/>
      </font>
      <fill>
        <patternFill>
          <bgColor theme="0" tint="-0.14996795556505021"/>
        </patternFill>
      </fill>
    </dxf>
    <dxf>
      <font>
        <color theme="0"/>
      </font>
      <border>
        <left style="thin">
          <color theme="0"/>
        </left>
        <right style="thin">
          <color theme="0"/>
        </right>
        <vertical/>
        <horizontal/>
      </border>
    </dxf>
    <dxf>
      <font>
        <color theme="0"/>
      </font>
      <fill>
        <patternFill patternType="lightUp">
          <fgColor theme="0" tint="-0.499984740745262"/>
        </patternFill>
      </fill>
    </dxf>
    <dxf>
      <font>
        <b/>
        <i val="0"/>
        <strike val="0"/>
      </font>
    </dxf>
    <dxf>
      <font>
        <b/>
        <i val="0"/>
      </font>
    </dxf>
    <dxf>
      <font>
        <color theme="0"/>
      </font>
    </dxf>
    <dxf>
      <font>
        <color theme="0"/>
      </font>
      <fill>
        <patternFill patternType="lightUp">
          <fgColor theme="0" tint="-0.499984740745262"/>
        </patternFill>
      </fill>
    </dxf>
    <dxf>
      <font>
        <b/>
        <i val="0"/>
        <strike val="0"/>
      </font>
    </dxf>
    <dxf>
      <font>
        <b/>
        <i val="0"/>
        <strike val="0"/>
      </font>
    </dxf>
    <dxf>
      <fill>
        <patternFill patternType="solid">
          <bgColor auto="1"/>
        </patternFill>
      </fill>
    </dxf>
    <dxf>
      <font>
        <strike/>
        <color rgb="FFFF0000"/>
      </font>
      <fill>
        <patternFill>
          <bgColor theme="0" tint="-0.14996795556505021"/>
        </patternFill>
      </fill>
    </dxf>
    <dxf>
      <font>
        <strike/>
        <color rgb="FFFF0000"/>
      </font>
      <fill>
        <patternFill>
          <bgColor theme="0" tint="-0.14996795556505021"/>
        </patternFill>
      </fill>
    </dxf>
    <dxf>
      <font>
        <color theme="1"/>
      </font>
      <fill>
        <patternFill>
          <bgColor theme="1"/>
        </patternFill>
      </fill>
    </dxf>
    <dxf>
      <font>
        <color theme="1"/>
      </font>
      <fill>
        <patternFill>
          <bgColor theme="1"/>
        </patternFill>
      </fill>
    </dxf>
    <dxf>
      <font>
        <b/>
        <i val="0"/>
        <color theme="0"/>
      </font>
      <fill>
        <patternFill>
          <bgColor rgb="FFFF0000"/>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ont>
        <strike val="0"/>
        <color rgb="FFFF0000"/>
      </font>
      <fill>
        <patternFill>
          <bgColor theme="0" tint="-0.14996795556505021"/>
        </patternFill>
      </fill>
    </dxf>
    <dxf>
      <font>
        <color theme="0"/>
      </font>
      <border>
        <left style="thin">
          <color theme="0"/>
        </left>
        <right style="thin">
          <color theme="0"/>
        </right>
        <vertical/>
        <horizontal/>
      </border>
    </dxf>
    <dxf>
      <font>
        <color theme="0"/>
      </font>
      <fill>
        <patternFill patternType="lightUp">
          <fgColor theme="0" tint="-0.499984740745262"/>
        </patternFill>
      </fill>
    </dxf>
    <dxf>
      <font>
        <b/>
        <i val="0"/>
        <strike val="0"/>
      </font>
    </dxf>
    <dxf>
      <font>
        <b/>
        <i val="0"/>
      </font>
    </dxf>
    <dxf>
      <font>
        <color theme="0"/>
      </font>
    </dxf>
    <dxf>
      <font>
        <color theme="0"/>
      </font>
      <fill>
        <patternFill patternType="lightUp">
          <fgColor theme="0" tint="-0.499984740745262"/>
        </patternFill>
      </fill>
    </dxf>
    <dxf>
      <font>
        <b/>
        <i val="0"/>
        <strike val="0"/>
      </font>
    </dxf>
    <dxf>
      <font>
        <b/>
        <i val="0"/>
        <strike val="0"/>
      </font>
    </dxf>
    <dxf>
      <font>
        <strike/>
        <color rgb="FFFF0000"/>
      </font>
      <fill>
        <patternFill>
          <bgColor theme="0" tint="-0.14996795556505021"/>
        </patternFill>
      </fill>
    </dxf>
    <dxf>
      <font>
        <color theme="1"/>
      </font>
      <fill>
        <patternFill>
          <bgColor theme="1"/>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ont>
        <color rgb="FFFF0000"/>
      </font>
    </dxf>
    <dxf>
      <font>
        <color theme="0"/>
      </font>
      <border>
        <left style="thin">
          <color theme="0"/>
        </left>
        <right style="thin">
          <color theme="0"/>
        </right>
        <vertical/>
        <horizontal/>
      </border>
    </dxf>
    <dxf>
      <font>
        <b/>
        <i val="0"/>
        <strike val="0"/>
      </font>
    </dxf>
    <dxf>
      <font>
        <b/>
        <i val="0"/>
      </font>
    </dxf>
    <dxf>
      <font>
        <color theme="0"/>
      </font>
    </dxf>
    <dxf>
      <font>
        <b/>
        <i val="0"/>
        <strike val="0"/>
      </font>
    </dxf>
    <dxf>
      <font>
        <b/>
        <i val="0"/>
        <strike val="0"/>
      </font>
    </dxf>
    <dxf>
      <font>
        <strike/>
        <color rgb="FFFF0000"/>
      </font>
      <fill>
        <patternFill>
          <bgColor theme="0" tint="-0.14996795556505021"/>
        </patternFill>
      </fill>
    </dxf>
    <dxf>
      <font>
        <color theme="1"/>
      </font>
      <fill>
        <patternFill>
          <bgColor theme="1"/>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ont>
        <color rgb="FFFF0000"/>
      </font>
    </dxf>
    <dxf>
      <font>
        <color theme="0"/>
      </font>
      <border>
        <left style="thin">
          <color theme="0"/>
        </left>
        <right style="thin">
          <color theme="0"/>
        </right>
        <vertical/>
        <horizontal/>
      </border>
    </dxf>
    <dxf>
      <font>
        <b/>
        <i val="0"/>
        <strike val="0"/>
      </font>
    </dxf>
    <dxf>
      <font>
        <b/>
        <i val="0"/>
      </font>
    </dxf>
    <dxf>
      <font>
        <color theme="0"/>
      </font>
    </dxf>
    <dxf>
      <font>
        <b/>
        <i val="0"/>
        <strike val="0"/>
      </font>
    </dxf>
    <dxf>
      <font>
        <b/>
        <i val="0"/>
        <strike val="0"/>
      </font>
    </dxf>
    <dxf>
      <font>
        <strike/>
        <color rgb="FFFF0000"/>
      </font>
      <fill>
        <patternFill>
          <bgColor theme="0" tint="-0.14996795556505021"/>
        </patternFill>
      </fill>
    </dxf>
    <dxf>
      <font>
        <color theme="1"/>
      </font>
      <fill>
        <patternFill>
          <bgColor theme="1"/>
        </patternFill>
      </fill>
    </dxf>
    <dxf>
      <font>
        <color theme="0"/>
      </font>
      <fill>
        <patternFill patternType="none">
          <bgColor auto="1"/>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ont>
        <color rgb="FFFF0000"/>
      </font>
    </dxf>
    <dxf>
      <font>
        <color theme="0"/>
      </font>
      <border>
        <left style="thin">
          <color theme="0"/>
        </left>
        <right style="thin">
          <color theme="0"/>
        </right>
        <vertical/>
        <horizontal/>
      </border>
    </dxf>
    <dxf>
      <font>
        <b/>
        <i val="0"/>
        <strike val="0"/>
      </font>
    </dxf>
    <dxf>
      <font>
        <b/>
        <i val="0"/>
      </font>
    </dxf>
    <dxf>
      <font>
        <color theme="0"/>
      </font>
    </dxf>
    <dxf>
      <font>
        <b/>
        <i val="0"/>
        <strike val="0"/>
      </font>
    </dxf>
    <dxf>
      <font>
        <b/>
        <i val="0"/>
        <strike val="0"/>
      </font>
    </dxf>
    <dxf>
      <font>
        <strike/>
        <color rgb="FFFF0000"/>
      </font>
      <fill>
        <patternFill>
          <bgColor theme="0" tint="-0.14996795556505021"/>
        </patternFill>
      </fill>
    </dxf>
    <dxf>
      <font>
        <color theme="1"/>
      </font>
      <fill>
        <patternFill>
          <bgColor theme="1"/>
        </patternFill>
      </fill>
    </dxf>
    <dxf>
      <font>
        <color theme="0"/>
      </font>
      <fill>
        <patternFill patternType="none">
          <bgColor auto="1"/>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ill>
        <patternFill patternType="solid">
          <bgColor auto="1"/>
        </patternFill>
      </fill>
    </dxf>
    <dxf>
      <font>
        <color rgb="FFFF0000"/>
      </font>
    </dxf>
    <dxf>
      <font>
        <color theme="0"/>
      </font>
      <border>
        <left style="thin">
          <color theme="0"/>
        </left>
        <right style="thin">
          <color theme="0"/>
        </right>
        <vertical/>
        <horizontal/>
      </border>
    </dxf>
    <dxf>
      <font>
        <b/>
        <i val="0"/>
        <strike val="0"/>
      </font>
    </dxf>
    <dxf>
      <font>
        <b/>
        <i val="0"/>
      </font>
    </dxf>
    <dxf>
      <font>
        <color theme="0"/>
      </font>
    </dxf>
    <dxf>
      <font>
        <b/>
        <i val="0"/>
        <strike val="0"/>
      </font>
    </dxf>
    <dxf>
      <font>
        <b/>
        <i val="0"/>
        <strike val="0"/>
      </font>
    </dxf>
    <dxf>
      <font>
        <color rgb="FFFF0000"/>
      </font>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right/>
        <top/>
        <bottom/>
        <vertical/>
        <horizontal/>
      </border>
    </dxf>
    <dxf>
      <font>
        <strike/>
        <color rgb="FFFF0000"/>
      </font>
    </dxf>
    <dxf>
      <font>
        <color rgb="FFFF0000"/>
      </font>
    </dxf>
    <dxf>
      <font>
        <color theme="0"/>
      </font>
    </dxf>
    <dxf>
      <font>
        <b/>
        <i val="0"/>
        <strike val="0"/>
        <color theme="1"/>
      </font>
      <fill>
        <patternFill>
          <bgColor theme="1"/>
        </patternFill>
      </fill>
    </dxf>
    <dxf>
      <font>
        <color theme="0"/>
      </font>
      <fill>
        <patternFill patternType="none">
          <bgColor auto="1"/>
        </patternFill>
      </fill>
    </dxf>
    <dxf>
      <font>
        <color theme="0"/>
      </font>
    </dxf>
    <dxf>
      <font>
        <color theme="0"/>
      </font>
      <border>
        <left style="thin">
          <color theme="0"/>
        </left>
        <vertical/>
        <horizontal/>
      </border>
    </dxf>
    <dxf>
      <border>
        <top/>
        <bottom/>
        <vertical/>
        <horizontal/>
      </border>
    </dxf>
    <dxf>
      <font>
        <color theme="0"/>
      </font>
      <border>
        <left style="thin">
          <color theme="0"/>
        </left>
        <right style="thin">
          <color theme="0"/>
        </right>
        <vertical/>
        <horizontal/>
      </border>
    </dxf>
    <dxf>
      <font>
        <b/>
        <i val="0"/>
        <strike val="0"/>
      </font>
    </dxf>
    <dxf>
      <font>
        <b/>
        <i val="0"/>
      </font>
    </dxf>
    <dxf>
      <font>
        <color theme="0"/>
      </font>
    </dxf>
    <dxf>
      <font>
        <b/>
        <i val="0"/>
        <strike val="0"/>
      </font>
    </dxf>
    <dxf>
      <font>
        <b/>
        <i val="0"/>
        <strike val="0"/>
      </font>
    </dxf>
    <dxf>
      <font>
        <color theme="0"/>
      </font>
      <fill>
        <patternFill patternType="none">
          <bgColor auto="1"/>
        </patternFill>
      </fill>
    </dxf>
    <dxf>
      <font>
        <color theme="0"/>
      </font>
      <fill>
        <patternFill patternType="none">
          <bgColor auto="1"/>
        </patternFill>
      </fill>
    </dxf>
    <dxf>
      <font>
        <color rgb="FFFF0000"/>
      </font>
    </dxf>
    <dxf>
      <font>
        <color auto="1"/>
      </font>
      <fill>
        <patternFill>
          <bgColor theme="1"/>
        </patternFill>
      </fill>
      <border>
        <left style="thin">
          <color auto="1"/>
        </left>
        <right style="thin">
          <color auto="1"/>
        </right>
        <top style="thin">
          <color auto="1"/>
        </top>
        <bottom style="thin">
          <color auto="1"/>
        </bottom>
        <vertical/>
        <horizontal/>
      </border>
    </dxf>
    <dxf>
      <font>
        <color theme="0"/>
      </font>
      <border>
        <left style="thin">
          <color theme="0"/>
        </left>
        <right style="thin">
          <color theme="0"/>
        </right>
        <bottom style="thin">
          <color theme="0"/>
        </bottom>
        <vertical/>
        <horizontal/>
      </border>
    </dxf>
    <dxf>
      <font>
        <color theme="0"/>
      </font>
      <border>
        <left/>
        <right/>
        <top/>
        <bottom/>
        <vertical/>
        <horizontal/>
      </border>
    </dxf>
    <dxf>
      <font>
        <color auto="1"/>
      </font>
      <fill>
        <patternFill>
          <bgColor rgb="FFFFC7CE"/>
        </patternFill>
      </fill>
    </dxf>
    <dxf>
      <font>
        <color auto="1"/>
      </font>
      <fill>
        <patternFill>
          <bgColor rgb="FF92D050"/>
        </patternFill>
      </fill>
    </dxf>
    <dxf>
      <font>
        <color auto="1"/>
      </font>
      <fill>
        <patternFill>
          <bgColor rgb="FFFF0000"/>
        </patternFill>
      </fill>
    </dxf>
    <dxf>
      <font>
        <color theme="0"/>
      </font>
      <border>
        <left/>
        <right/>
        <top/>
        <bottom/>
        <vertical/>
        <horizontal/>
      </border>
    </dxf>
    <dxf>
      <numFmt numFmtId="212" formatCode="??0.00%"/>
    </dxf>
    <dxf>
      <font>
        <color theme="0"/>
      </font>
      <fill>
        <patternFill patternType="none">
          <bgColor auto="1"/>
        </patternFill>
      </fill>
    </dxf>
    <dxf>
      <font>
        <color rgb="FFFF0000"/>
      </font>
    </dxf>
    <dxf>
      <font>
        <color theme="1"/>
      </font>
      <fill>
        <patternFill>
          <bgColor theme="1"/>
        </patternFill>
      </fill>
    </dxf>
    <dxf>
      <font>
        <color rgb="FFFF0000"/>
      </font>
      <fill>
        <patternFill patternType="none">
          <bgColor auto="1"/>
        </patternFill>
      </fill>
    </dxf>
    <dxf>
      <font>
        <color rgb="FFFF0000"/>
      </font>
      <fill>
        <patternFill patternType="none">
          <bgColor auto="1"/>
        </patternFill>
      </fill>
    </dxf>
    <dxf>
      <font>
        <b/>
        <i val="0"/>
        <color rgb="FFFF0000"/>
      </font>
    </dxf>
    <dxf>
      <font>
        <color theme="0"/>
      </font>
      <fill>
        <patternFill>
          <bgColor rgb="FFFF0000"/>
        </patternFill>
      </fill>
    </dxf>
    <dxf>
      <border>
        <left style="thin">
          <color rgb="FFFF0000"/>
        </left>
        <right style="thin">
          <color rgb="FFFF0000"/>
        </right>
        <top style="thin">
          <color rgb="FFFF0000"/>
        </top>
        <bottom style="thin">
          <color rgb="FFFF0000"/>
        </bottom>
        <vertical/>
        <horizontal/>
      </border>
    </dxf>
    <dxf>
      <font>
        <b/>
        <i val="0"/>
        <color rgb="FF00B050"/>
      </font>
    </dxf>
    <dxf>
      <font>
        <color theme="0"/>
      </font>
    </dxf>
    <dxf>
      <font>
        <color theme="0"/>
      </font>
    </dxf>
    <dxf>
      <font>
        <color theme="0"/>
      </font>
    </dxf>
    <dxf>
      <font>
        <b/>
        <i val="0"/>
        <color rgb="FFFF0000"/>
      </font>
    </dxf>
    <dxf>
      <font>
        <color theme="0"/>
      </font>
    </dxf>
    <dxf>
      <font>
        <color theme="0"/>
      </font>
    </dxf>
    <dxf>
      <font>
        <color theme="0"/>
      </font>
    </dxf>
    <dxf>
      <font>
        <b/>
        <i val="0"/>
        <color rgb="FFFF0000"/>
      </font>
    </dxf>
    <dxf>
      <font>
        <color theme="0"/>
      </font>
      <fill>
        <patternFill patternType="solid">
          <fgColor theme="0"/>
          <bgColor theme="0"/>
        </patternFill>
      </fill>
      <border>
        <left/>
        <right/>
        <top/>
        <bottom/>
        <vertical/>
        <horizontal/>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border>
        <left style="thin">
          <color rgb="FFFF0000"/>
        </left>
        <right style="thin">
          <color rgb="FFFF0000"/>
        </right>
        <top style="thin">
          <color rgb="FFFF0000"/>
        </top>
        <bottom style="thin">
          <color rgb="FFFF0000"/>
        </bottom>
        <vertical/>
        <horizontal/>
      </border>
    </dxf>
    <dxf>
      <font>
        <color theme="0"/>
      </font>
    </dxf>
    <dxf>
      <font>
        <color theme="0"/>
      </font>
    </dxf>
    <dxf>
      <font>
        <color theme="0"/>
      </font>
    </dxf>
    <dxf>
      <font>
        <color theme="0"/>
      </font>
    </dxf>
    <dxf>
      <font>
        <color theme="0"/>
      </font>
      <fill>
        <patternFill>
          <fgColor theme="0"/>
          <bgColor theme="0"/>
        </patternFill>
      </fill>
      <border>
        <left/>
        <right/>
        <top/>
        <bottom/>
        <vertical/>
        <horizontal/>
      </border>
    </dxf>
    <dxf>
      <font>
        <color theme="0"/>
      </font>
    </dxf>
    <dxf>
      <font>
        <color theme="0"/>
      </font>
      <fill>
        <patternFill patternType="solid">
          <fgColor theme="0"/>
          <bgColor theme="0"/>
        </patternFill>
      </fill>
      <border>
        <left/>
        <right/>
        <top/>
        <bottom/>
        <vertical/>
        <horizontal/>
      </border>
    </dxf>
    <dxf>
      <font>
        <color theme="0"/>
      </font>
    </dxf>
    <dxf>
      <border>
        <left style="thin">
          <color rgb="FFFF0000"/>
        </left>
        <right style="thin">
          <color rgb="FFFF0000"/>
        </right>
        <top style="thin">
          <color rgb="FFFF0000"/>
        </top>
        <bottom style="thin">
          <color rgb="FFFF0000"/>
        </bottom>
        <vertical/>
        <horizontal/>
      </border>
    </dxf>
    <dxf>
      <font>
        <color theme="5" tint="0.39994506668294322"/>
      </font>
    </dxf>
    <dxf>
      <font>
        <color theme="7" tint="0.39994506668294322"/>
      </font>
    </dxf>
    <dxf>
      <font>
        <color theme="0" tint="-0.499984740745262"/>
      </font>
    </dxf>
    <dxf>
      <font>
        <color theme="9" tint="-0.24994659260841701"/>
      </font>
    </dxf>
    <dxf>
      <font>
        <color rgb="FF00B0F0"/>
      </font>
    </dxf>
    <dxf>
      <font>
        <color rgb="FF92D050"/>
      </font>
    </dxf>
    <dxf>
      <font>
        <color theme="0"/>
      </font>
    </dxf>
    <dxf>
      <font>
        <color theme="0"/>
      </font>
    </dxf>
    <dxf>
      <font>
        <color theme="0"/>
      </font>
    </dxf>
    <dxf>
      <font>
        <color theme="0"/>
      </font>
    </dxf>
    <dxf>
      <font>
        <color theme="0"/>
      </font>
    </dxf>
    <dxf>
      <font>
        <color theme="0"/>
      </font>
    </dxf>
    <dxf>
      <fill>
        <patternFill>
          <bgColor rgb="FFFF0000"/>
        </patternFill>
      </fill>
    </dxf>
    <dxf>
      <font>
        <color theme="0"/>
      </font>
      <fill>
        <patternFill patternType="none">
          <bgColor auto="1"/>
        </patternFill>
      </fill>
    </dxf>
    <dxf>
      <numFmt numFmtId="207" formatCode="_-&quot;€&quot;\ * #,##0.000_-;\-&quot;€&quot;\ * #,##0.000_-"/>
    </dxf>
    <dxf>
      <font>
        <color rgb="FF9C0006"/>
      </font>
      <fill>
        <patternFill>
          <bgColor rgb="FFFF0000"/>
        </patternFill>
      </fill>
    </dxf>
    <dxf>
      <font>
        <color rgb="FF9C0006"/>
      </font>
      <fill>
        <patternFill>
          <bgColor rgb="FFFF0000"/>
        </patternFill>
      </fill>
    </dxf>
    <dxf>
      <font>
        <color auto="1"/>
      </font>
      <fill>
        <patternFill>
          <bgColor rgb="FFFF0000"/>
        </patternFill>
      </fill>
    </dxf>
    <dxf>
      <font>
        <color auto="1"/>
      </font>
      <fill>
        <patternFill>
          <bgColor rgb="FFFFC7CE"/>
        </patternFill>
      </fill>
    </dxf>
    <dxf>
      <font>
        <color auto="1"/>
      </font>
      <fill>
        <patternFill>
          <bgColor rgb="FF92D050"/>
        </patternFill>
      </fill>
    </dxf>
    <dxf>
      <font>
        <color theme="0"/>
      </font>
      <fill>
        <patternFill>
          <bgColor rgb="FFFF0000"/>
        </patternFill>
      </fill>
    </dxf>
    <dxf>
      <font>
        <color theme="0"/>
      </font>
      <fill>
        <patternFill patternType="none">
          <bgColor auto="1"/>
        </patternFill>
      </fill>
    </dxf>
    <dxf>
      <font>
        <color theme="0"/>
      </font>
    </dxf>
    <dxf>
      <font>
        <color rgb="FF9C0006"/>
      </font>
      <fill>
        <patternFill>
          <bgColor rgb="FFFFC7CE"/>
        </patternFill>
      </fill>
    </dxf>
    <dxf>
      <font>
        <color theme="0"/>
      </font>
    </dxf>
    <dxf>
      <font>
        <color auto="1"/>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auto="1"/>
      </font>
      <fill>
        <patternFill>
          <bgColor rgb="FFFFC7CE"/>
        </patternFill>
      </fill>
    </dxf>
    <dxf>
      <fill>
        <patternFill>
          <bgColor rgb="FFFF0000"/>
        </patternFill>
      </fill>
    </dxf>
    <dxf>
      <font>
        <color rgb="FFFF0000"/>
      </font>
    </dxf>
    <dxf>
      <border>
        <left style="thin">
          <color auto="1"/>
        </left>
        <vertical/>
        <horizontal/>
      </border>
    </dxf>
    <dxf>
      <numFmt numFmtId="207" formatCode="_-&quot;€&quot;\ * #,##0.000_-;\-&quot;€&quot;\ * #,##0.000_-"/>
    </dxf>
    <dxf>
      <font>
        <color theme="0"/>
      </font>
      <numFmt numFmtId="175" formatCode="_-&quot;€&quot;\ * #,##0.000_-;\-&quot;€&quot;\ * #,##0.000_-;_-&quot;€&quot;\ * &quot;-&quot;??_-;_-@_-"/>
      <fill>
        <patternFill patternType="solid">
          <fgColor theme="0"/>
          <bgColor theme="0"/>
        </patternFill>
      </fill>
      <border>
        <left/>
        <right/>
        <top/>
        <bottom/>
      </border>
    </dxf>
    <dxf>
      <font>
        <color rgb="FF9C0006"/>
      </font>
      <fill>
        <patternFill>
          <bgColor rgb="FFFF0000"/>
        </patternFill>
      </fill>
    </dxf>
    <dxf>
      <border>
        <left style="thin">
          <color auto="1"/>
        </left>
        <bottom style="thin">
          <color auto="1"/>
        </bottom>
        <vertical/>
        <horizontal/>
      </border>
    </dxf>
    <dxf>
      <font>
        <color theme="0"/>
      </font>
    </dxf>
    <dxf>
      <font>
        <color theme="0"/>
      </font>
      <fill>
        <patternFill patternType="none">
          <bgColor auto="1"/>
        </patternFill>
      </fill>
    </dxf>
    <dxf>
      <font>
        <color theme="0"/>
      </font>
    </dxf>
    <dxf>
      <font>
        <color rgb="FFFF0000"/>
      </font>
    </dxf>
    <dxf>
      <font>
        <color rgb="FFFF0000"/>
      </font>
    </dxf>
    <dxf>
      <font>
        <color rgb="FFFF0000"/>
      </font>
    </dxf>
    <dxf>
      <font>
        <color rgb="FFFF0000"/>
      </font>
    </dxf>
    <dxf>
      <font>
        <color rgb="FFFF0000"/>
      </font>
    </dxf>
    <dxf>
      <border>
        <top style="thin">
          <color auto="1"/>
        </top>
        <vertical/>
        <horizontal/>
      </border>
    </dxf>
    <dxf>
      <font>
        <color rgb="FFFF0000"/>
      </font>
    </dxf>
    <dxf>
      <font>
        <color theme="0"/>
      </font>
      <fill>
        <patternFill patternType="solid">
          <fgColor theme="0"/>
          <bgColor theme="0"/>
        </patternFill>
      </fill>
      <border>
        <left/>
        <right/>
        <top/>
        <bottom/>
        <vertical/>
        <horizontal/>
      </border>
    </dxf>
    <dxf>
      <numFmt numFmtId="207" formatCode="_-&quot;€&quot;\ * #,##0.000_-;\-&quot;€&quot;\ * #,##0.000_-"/>
    </dxf>
    <dxf>
      <font>
        <color rgb="FF9C0006"/>
      </font>
      <fill>
        <patternFill>
          <bgColor rgb="FFFF000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auto="1"/>
      </font>
      <fill>
        <patternFill>
          <bgColor rgb="FFFF0000"/>
        </patternFill>
      </fill>
    </dxf>
    <dxf>
      <font>
        <color auto="1"/>
      </font>
      <fill>
        <patternFill>
          <bgColor rgb="FFFFC7CE"/>
        </patternFill>
      </fill>
    </dxf>
    <dxf>
      <font>
        <color auto="1"/>
      </font>
      <fill>
        <patternFill>
          <bgColor rgb="FF92D050"/>
        </patternFill>
      </fill>
    </dxf>
    <dxf>
      <font>
        <b/>
        <i val="0"/>
        <color rgb="FFFF0000"/>
      </font>
      <fill>
        <patternFill patternType="none">
          <bgColor auto="1"/>
        </patternFill>
      </fill>
    </dxf>
    <dxf>
      <font>
        <color rgb="FFFF0000"/>
      </font>
    </dxf>
    <dxf>
      <font>
        <color theme="0"/>
      </font>
      <fill>
        <patternFill patternType="none">
          <bgColor auto="1"/>
        </patternFill>
      </fill>
    </dxf>
    <dxf>
      <font>
        <color theme="0"/>
      </font>
      <fill>
        <patternFill patternType="none">
          <bgColor auto="1"/>
        </patternFill>
      </fill>
    </dxf>
    <dxf>
      <font>
        <color theme="0"/>
      </font>
      <fill>
        <patternFill>
          <fgColor theme="0"/>
          <bgColor theme="0"/>
        </patternFill>
      </fill>
      <border>
        <left/>
        <right/>
        <top/>
        <bottom/>
        <vertical/>
        <horizontal/>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0000"/>
      </font>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92D050"/>
        </patternFill>
      </fill>
    </dxf>
    <dxf>
      <font>
        <color auto="1"/>
      </font>
      <fill>
        <patternFill>
          <bgColor rgb="FFFF0000"/>
        </patternFill>
      </fill>
    </dxf>
    <dxf>
      <font>
        <color auto="1"/>
      </font>
      <fill>
        <patternFill>
          <bgColor rgb="FFFFC7CE"/>
        </patternFill>
      </fill>
    </dxf>
    <dxf>
      <font>
        <color rgb="FF9C0006"/>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C7CE"/>
        </patternFill>
      </fill>
    </dxf>
    <dxf>
      <font>
        <color auto="1"/>
      </font>
      <fill>
        <patternFill>
          <bgColor rgb="FF92D050"/>
        </patternFill>
      </fill>
    </dxf>
    <dxf>
      <font>
        <color auto="1"/>
      </font>
      <fill>
        <patternFill>
          <bgColor rgb="FFFF0000"/>
        </patternFill>
      </fill>
    </dxf>
    <dxf>
      <fill>
        <gradientFill>
          <stop position="0">
            <color theme="0" tint="-0.34900967436750391"/>
          </stop>
          <stop position="1">
            <color rgb="FFFFFF00"/>
          </stop>
        </gradientFill>
      </fill>
    </dxf>
    <dxf>
      <font>
        <color theme="0" tint="-0.24994659260841701"/>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92D050"/>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7CE"/>
        </patternFill>
      </fill>
    </dxf>
    <dxf>
      <font>
        <color theme="0"/>
      </font>
      <fill>
        <patternFill>
          <bgColor theme="0"/>
        </patternFill>
      </fill>
    </dxf>
    <dxf>
      <font>
        <color theme="0"/>
      </font>
      <fill>
        <patternFill patternType="none">
          <bgColor auto="1"/>
        </patternFill>
      </fill>
    </dxf>
    <dxf>
      <border>
        <right style="thin">
          <color auto="1"/>
        </right>
        <vertical/>
        <horizontal/>
      </border>
    </dxf>
    <dxf>
      <border>
        <right style="thin">
          <color auto="1"/>
        </right>
        <vertical/>
        <horizontal/>
      </border>
    </dxf>
    <dxf>
      <border>
        <right style="thin">
          <color auto="1"/>
        </right>
        <vertical/>
        <horizontal/>
      </border>
    </dxf>
    <dxf>
      <font>
        <color rgb="FF9C0006"/>
      </font>
      <fill>
        <patternFill>
          <bgColor rgb="FFFFC7CE"/>
        </patternFill>
      </fill>
    </dxf>
    <dxf>
      <fill>
        <patternFill>
          <bgColor rgb="FFFF0000"/>
        </patternFill>
      </fill>
    </dxf>
    <dxf>
      <font>
        <color rgb="FF9C0006"/>
      </font>
      <fill>
        <patternFill>
          <bgColor rgb="FFFF0000"/>
        </patternFill>
      </fill>
    </dxf>
    <dxf>
      <font>
        <color theme="0"/>
      </font>
    </dxf>
    <dxf>
      <font>
        <b/>
        <i val="0"/>
        <color rgb="FFFF0000"/>
      </font>
    </dxf>
    <dxf>
      <font>
        <color theme="0"/>
      </font>
    </dxf>
    <dxf>
      <font>
        <color rgb="FFFF0000"/>
      </font>
    </dxf>
    <dxf>
      <fill>
        <gradientFill>
          <stop position="0">
            <color theme="0" tint="-0.25098422193060094"/>
          </stop>
          <stop position="1">
            <color rgb="FFFFFF00"/>
          </stop>
        </gradientFill>
      </fill>
    </dxf>
    <dxf>
      <fill>
        <patternFill>
          <bgColor rgb="FFFFFF00"/>
        </patternFill>
      </fill>
      <border>
        <left style="thin">
          <color rgb="FFFF0000"/>
        </left>
        <right style="thin">
          <color rgb="FFFF0000"/>
        </right>
        <top style="thin">
          <color rgb="FFFF0000"/>
        </top>
        <bottom style="thin">
          <color rgb="FFFF0000"/>
        </bottom>
        <vertical/>
        <horizontal/>
      </border>
    </dxf>
    <dxf>
      <font>
        <color theme="0"/>
      </font>
    </dxf>
    <dxf>
      <font>
        <color theme="0"/>
      </font>
    </dxf>
    <dxf>
      <font>
        <color theme="0"/>
      </font>
    </dxf>
    <dxf>
      <font>
        <color theme="0"/>
      </font>
    </dxf>
    <dxf>
      <font>
        <color theme="0"/>
      </font>
    </dxf>
    <dxf>
      <font>
        <color theme="0"/>
      </font>
    </dxf>
    <dxf>
      <font>
        <color theme="0"/>
      </font>
      <fill>
        <patternFill>
          <fgColor theme="0"/>
          <bgColor theme="0"/>
        </patternFill>
      </fill>
      <border>
        <left/>
        <right/>
        <top/>
        <bottom/>
        <vertical/>
        <horizontal/>
      </border>
    </dxf>
    <dxf>
      <font>
        <color theme="0"/>
      </font>
      <fill>
        <patternFill patternType="solid">
          <bgColor theme="0"/>
        </patternFill>
      </fill>
      <border>
        <left/>
        <right/>
        <top/>
        <bottom/>
      </border>
    </dxf>
    <dxf>
      <font>
        <color theme="0"/>
      </font>
    </dxf>
    <dxf>
      <font>
        <color theme="0"/>
      </font>
    </dxf>
    <dxf>
      <font>
        <color theme="0"/>
      </font>
    </dxf>
    <dxf>
      <font>
        <color theme="0"/>
      </font>
      <fill>
        <patternFill patternType="solid">
          <fgColor theme="0"/>
          <bgColor theme="0"/>
        </patternFill>
      </fill>
      <border>
        <left/>
        <right/>
        <top/>
        <bottom/>
        <vertical/>
        <horizontal/>
      </border>
    </dxf>
    <dxf>
      <font>
        <color auto="1"/>
      </font>
      <fill>
        <patternFill>
          <bgColor rgb="FFFFC7CE"/>
        </patternFill>
      </fill>
    </dxf>
    <dxf>
      <font>
        <color rgb="FF9C0006"/>
      </font>
      <fill>
        <patternFill>
          <bgColor rgb="FFFF0000"/>
        </patternFill>
      </fill>
    </dxf>
    <dxf>
      <font>
        <color rgb="FF9C0006"/>
      </font>
      <fill>
        <patternFill>
          <bgColor rgb="FFFF0000"/>
        </patternFill>
      </fill>
    </dxf>
    <dxf>
      <font>
        <color rgb="FF9C0006"/>
      </font>
      <fill>
        <patternFill>
          <bgColor rgb="FFFF0000"/>
        </patternFill>
      </fill>
    </dxf>
    <dxf>
      <font>
        <color rgb="FF9C0006"/>
      </font>
      <fill>
        <patternFill>
          <bgColor rgb="FFFF0000"/>
        </patternFill>
      </fill>
    </dxf>
    <dxf>
      <font>
        <color rgb="FF9C0006"/>
      </font>
      <fill>
        <patternFill>
          <bgColor rgb="FFFF0000"/>
        </patternFill>
      </fill>
    </dxf>
    <dxf>
      <font>
        <color rgb="FF9C0006"/>
      </font>
      <fill>
        <patternFill>
          <bgColor rgb="FFFF0000"/>
        </patternFill>
      </fill>
    </dxf>
    <dxf>
      <font>
        <color theme="0"/>
      </font>
    </dxf>
    <dxf>
      <font>
        <color theme="0"/>
      </font>
    </dxf>
    <dxf>
      <font>
        <color theme="0"/>
      </font>
    </dxf>
    <dxf>
      <font>
        <color theme="0"/>
      </font>
    </dxf>
    <dxf>
      <font>
        <color theme="0"/>
      </font>
    </dxf>
    <dxf>
      <font>
        <color theme="0"/>
      </font>
    </dxf>
    <dxf>
      <fill>
        <gradientFill>
          <stop position="0">
            <color theme="0" tint="-0.34900967436750391"/>
          </stop>
          <stop position="1">
            <color rgb="FFFFFF00"/>
          </stop>
        </gradientFill>
      </fill>
    </dxf>
    <dxf>
      <font>
        <b/>
        <i val="0"/>
        <color theme="0" tint="-0.24994659260841701"/>
      </font>
      <fill>
        <patternFill>
          <fgColor rgb="FFFF0000"/>
          <bgColor rgb="FFFF0000"/>
        </patternFill>
      </fill>
    </dxf>
    <dxf>
      <fill>
        <patternFill>
          <bgColor rgb="FFFF0000"/>
        </patternFill>
      </fill>
    </dxf>
    <dxf>
      <font>
        <color rgb="FF9C0006"/>
      </font>
      <fill>
        <patternFill>
          <bgColor rgb="FFFF0000"/>
        </patternFill>
      </fill>
    </dxf>
    <dxf>
      <fill>
        <patternFill patternType="solid">
          <bgColor rgb="FFFFFF66"/>
        </patternFill>
      </fill>
    </dxf>
    <dxf>
      <font>
        <color theme="0"/>
      </font>
      <fill>
        <patternFill patternType="none">
          <bgColor auto="1"/>
        </patternFill>
      </fill>
    </dxf>
    <dxf>
      <font>
        <color theme="0"/>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patternType="none">
          <bgColor auto="1"/>
        </patternFill>
      </fill>
    </dxf>
    <dxf>
      <font>
        <color theme="0"/>
      </font>
    </dxf>
    <dxf>
      <font>
        <color theme="0"/>
      </font>
      <fill>
        <patternFill patternType="none">
          <bgColor auto="1"/>
        </patternFill>
      </fill>
    </dxf>
    <dxf>
      <font>
        <color theme="0"/>
      </font>
      <fill>
        <patternFill patternType="none">
          <bgColor auto="1"/>
        </patternFill>
      </fill>
    </dxf>
    <dxf>
      <font>
        <b/>
        <i val="0"/>
        <color rgb="FFFF0000"/>
      </font>
    </dxf>
    <dxf>
      <font>
        <b/>
        <i val="0"/>
        <color rgb="FFFF0000"/>
      </font>
    </dxf>
    <dxf>
      <font>
        <color rgb="FF9C0006"/>
      </font>
      <fill>
        <patternFill>
          <bgColor rgb="FFFF0000"/>
        </patternFill>
      </fill>
    </dxf>
    <dxf>
      <font>
        <color theme="0"/>
      </font>
      <fill>
        <patternFill patternType="lightGray">
          <fgColor theme="0" tint="-0.14996795556505021"/>
          <bgColor theme="0"/>
        </patternFill>
      </fill>
    </dxf>
    <dxf>
      <font>
        <color rgb="FF9C0006"/>
      </font>
      <fill>
        <patternFill>
          <bgColor rgb="FFFF0000"/>
        </patternFill>
      </fill>
    </dxf>
    <dxf>
      <font>
        <b/>
        <i val="0"/>
        <color rgb="FFFF0000"/>
      </font>
    </dxf>
    <dxf>
      <font>
        <color theme="0"/>
      </font>
      <fill>
        <patternFill>
          <bgColor rgb="FFFF0000"/>
        </patternFill>
      </fill>
    </dxf>
    <dxf>
      <font>
        <color rgb="FFFF0000"/>
      </font>
    </dxf>
    <dxf>
      <font>
        <color theme="0"/>
      </font>
    </dxf>
    <dxf>
      <font>
        <color theme="0"/>
      </font>
    </dxf>
    <dxf>
      <fill>
        <patternFill>
          <bgColor rgb="FFFF0000"/>
        </patternFill>
      </fill>
    </dxf>
    <dxf>
      <font>
        <color theme="0"/>
      </font>
      <fill>
        <patternFill>
          <bgColor theme="0"/>
        </patternFill>
      </fill>
      <border>
        <left/>
        <right/>
        <top/>
        <bottom/>
      </border>
    </dxf>
    <dxf>
      <font>
        <color auto="1"/>
      </font>
      <fill>
        <patternFill>
          <bgColor rgb="FFFFC7CE"/>
        </patternFill>
      </fill>
    </dxf>
    <dxf>
      <font>
        <color auto="1"/>
      </font>
      <fill>
        <patternFill>
          <bgColor rgb="FFFF0000"/>
        </patternFill>
      </fill>
    </dxf>
    <dxf>
      <font>
        <color auto="1"/>
      </font>
      <fill>
        <patternFill>
          <bgColor rgb="FF92D050"/>
        </patternFill>
      </fill>
    </dxf>
    <dxf>
      <font>
        <color theme="0"/>
      </font>
    </dxf>
    <dxf>
      <font>
        <color theme="0"/>
      </font>
    </dxf>
    <dxf>
      <font>
        <color auto="1"/>
      </font>
      <fill>
        <patternFill>
          <bgColor rgb="FFFF0000"/>
        </patternFill>
      </fill>
    </dxf>
    <dxf>
      <font>
        <color auto="1"/>
      </font>
      <fill>
        <patternFill>
          <bgColor rgb="FF92D050"/>
        </patternFill>
      </fill>
    </dxf>
    <dxf>
      <font>
        <color auto="1"/>
      </font>
      <fill>
        <patternFill>
          <bgColor rgb="FFFFC7CE"/>
        </patternFill>
      </fill>
    </dxf>
    <dxf>
      <font>
        <color theme="0"/>
      </font>
    </dxf>
    <dxf>
      <font>
        <color theme="0"/>
      </font>
    </dxf>
    <dxf>
      <font>
        <color auto="1"/>
      </font>
      <fill>
        <patternFill>
          <bgColor rgb="FFFF0000"/>
        </patternFill>
      </fill>
    </dxf>
    <dxf>
      <font>
        <color auto="1"/>
      </font>
      <fill>
        <patternFill>
          <bgColor rgb="FF92D050"/>
        </patternFill>
      </fill>
    </dxf>
    <dxf>
      <font>
        <color auto="1"/>
      </font>
      <fill>
        <patternFill>
          <bgColor rgb="FFFFC7CE"/>
        </patternFill>
      </fill>
    </dxf>
    <dxf>
      <font>
        <color theme="0"/>
      </font>
    </dxf>
    <dxf>
      <font>
        <color theme="0"/>
      </font>
    </dxf>
    <dxf>
      <font>
        <color auto="1"/>
      </font>
      <fill>
        <patternFill>
          <bgColor rgb="FF92D050"/>
        </patternFill>
      </fill>
    </dxf>
    <dxf>
      <font>
        <color auto="1"/>
      </font>
      <fill>
        <patternFill>
          <bgColor rgb="FFFFC7CE"/>
        </patternFill>
      </fill>
    </dxf>
    <dxf>
      <font>
        <color auto="1"/>
      </font>
      <fill>
        <patternFill>
          <bgColor rgb="FFFF0000"/>
        </patternFill>
      </fill>
    </dxf>
    <dxf>
      <font>
        <color theme="0"/>
      </font>
    </dxf>
    <dxf>
      <font>
        <color theme="0"/>
      </font>
    </dxf>
    <dxf>
      <font>
        <color auto="1"/>
      </font>
      <fill>
        <patternFill>
          <bgColor rgb="FF92D050"/>
        </patternFill>
      </fill>
    </dxf>
    <dxf>
      <font>
        <color auto="1"/>
      </font>
      <fill>
        <patternFill>
          <bgColor rgb="FFFF0000"/>
        </patternFill>
      </fill>
    </dxf>
    <dxf>
      <font>
        <color auto="1"/>
      </font>
      <fill>
        <patternFill>
          <bgColor rgb="FFFFC7CE"/>
        </patternFill>
      </fill>
    </dxf>
    <dxf>
      <font>
        <color theme="0"/>
      </font>
    </dxf>
    <dxf>
      <font>
        <color theme="0"/>
      </font>
    </dxf>
    <dxf>
      <font>
        <color auto="1"/>
      </font>
      <fill>
        <patternFill>
          <bgColor rgb="FFFFC7CE"/>
        </patternFill>
      </fill>
    </dxf>
    <dxf>
      <font>
        <color auto="1"/>
      </font>
      <fill>
        <patternFill>
          <bgColor rgb="FFFF0000"/>
        </patternFill>
      </fill>
    </dxf>
    <dxf>
      <font>
        <color auto="1"/>
      </font>
      <fill>
        <patternFill>
          <bgColor rgb="FF92D050"/>
        </patternFill>
      </fill>
    </dxf>
    <dxf>
      <font>
        <color theme="0"/>
      </font>
    </dxf>
    <dxf>
      <font>
        <color theme="0"/>
      </font>
    </dxf>
    <dxf>
      <font>
        <color rgb="FF9C0006"/>
      </font>
      <fill>
        <patternFill>
          <bgColor rgb="FFFF0000"/>
        </patternFill>
      </fill>
    </dxf>
    <dxf>
      <font>
        <color theme="0"/>
      </font>
    </dxf>
    <dxf>
      <font>
        <color auto="1"/>
      </font>
      <fill>
        <patternFill>
          <bgColor rgb="FFFF0000"/>
        </patternFill>
      </fill>
    </dxf>
    <dxf>
      <font>
        <color auto="1"/>
      </font>
      <fill>
        <patternFill>
          <bgColor rgb="FFFFC7CE"/>
        </patternFill>
      </fill>
    </dxf>
    <dxf>
      <font>
        <color auto="1"/>
      </font>
      <fill>
        <patternFill>
          <bgColor rgb="FF92D050"/>
        </patternFill>
      </fill>
    </dxf>
    <dxf>
      <font>
        <b/>
        <i val="0"/>
        <color rgb="FFFF0000"/>
      </font>
    </dxf>
    <dxf>
      <font>
        <color theme="0"/>
      </font>
      <fill>
        <patternFill>
          <fgColor theme="0"/>
          <bgColor theme="0"/>
        </patternFill>
      </fill>
    </dxf>
    <dxf>
      <font>
        <color theme="0"/>
      </font>
    </dxf>
    <dxf>
      <font>
        <color rgb="FFFF0000"/>
      </font>
    </dxf>
    <dxf>
      <font>
        <color rgb="FFFF0000"/>
      </font>
    </dxf>
    <dxf>
      <font>
        <color rgb="FF9C5700"/>
      </font>
      <fill>
        <patternFill>
          <bgColor rgb="FFFFEB9C"/>
        </patternFill>
      </fill>
    </dxf>
    <dxf>
      <font>
        <color theme="0"/>
      </font>
      <fill>
        <patternFill>
          <fgColor theme="0"/>
          <bgColor theme="0"/>
        </patternFill>
      </fill>
    </dxf>
    <dxf>
      <font>
        <color rgb="FF9C0006"/>
      </font>
      <fill>
        <patternFill>
          <bgColor rgb="FFFF0000"/>
        </patternFill>
      </fill>
    </dxf>
    <dxf>
      <font>
        <color auto="1"/>
      </font>
      <fill>
        <patternFill>
          <bgColor rgb="FFFF0000"/>
        </patternFill>
      </fill>
    </dxf>
    <dxf>
      <font>
        <color auto="1"/>
      </font>
      <fill>
        <patternFill>
          <bgColor rgb="FFFFC7CE"/>
        </patternFill>
      </fill>
    </dxf>
    <dxf>
      <font>
        <color theme="0"/>
      </font>
      <fill>
        <patternFill>
          <bgColor rgb="FFFF0000"/>
        </patternFill>
      </fill>
    </dxf>
    <dxf>
      <font>
        <color theme="0"/>
      </font>
      <fill>
        <patternFill patternType="solid">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fgColor theme="0"/>
          <bgColor theme="0"/>
        </patternFill>
      </fill>
      <border>
        <left/>
        <right/>
        <top/>
        <bottom/>
      </border>
    </dxf>
    <dxf>
      <border>
        <bottom style="thin">
          <color auto="1"/>
        </bottom>
        <vertical/>
        <horizontal/>
      </border>
    </dxf>
    <dxf>
      <font>
        <color theme="0"/>
      </font>
      <fill>
        <patternFill patternType="solid">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fgColor theme="0"/>
          <bgColor theme="0"/>
        </patternFill>
      </fill>
      <border>
        <left/>
        <right/>
        <top/>
        <bottom/>
      </border>
    </dxf>
    <dxf>
      <border>
        <bottom style="thin">
          <color auto="1"/>
        </bottom>
        <vertical/>
        <horizontal/>
      </border>
    </dxf>
    <dxf>
      <font>
        <color theme="0"/>
      </font>
      <fill>
        <patternFill patternType="solid">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fgColor theme="0"/>
          <bgColor theme="0"/>
        </patternFill>
      </fill>
      <border>
        <left/>
        <right/>
        <top/>
        <bottom/>
      </border>
    </dxf>
    <dxf>
      <border>
        <bottom style="thin">
          <color auto="1"/>
        </bottom>
        <vertical/>
        <horizontal/>
      </border>
    </dxf>
    <dxf>
      <font>
        <color theme="0"/>
      </font>
      <fill>
        <patternFill>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bgColor theme="0"/>
        </patternFill>
      </fill>
      <border>
        <left/>
        <right/>
        <top/>
        <bottom/>
      </border>
    </dxf>
    <dxf>
      <border>
        <bottom style="thin">
          <color auto="1"/>
        </bottom>
        <vertical/>
        <horizontal/>
      </border>
    </dxf>
    <dxf>
      <font>
        <color theme="0"/>
      </font>
      <fill>
        <patternFill patternType="solid">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fgColor theme="0"/>
          <bgColor theme="0"/>
        </patternFill>
      </fill>
      <border>
        <left/>
        <right/>
        <top/>
        <bottom/>
      </border>
    </dxf>
    <dxf>
      <border>
        <bottom style="thin">
          <color auto="1"/>
        </bottom>
        <vertical/>
        <horizontal/>
      </border>
    </dxf>
    <dxf>
      <font>
        <color theme="0"/>
      </font>
      <fill>
        <patternFill>
          <bgColor theme="0" tint="-4.9989318521683403E-2"/>
        </patternFill>
      </fill>
      <border>
        <left/>
        <right/>
        <top/>
        <bottom/>
        <vertical/>
        <horizontal/>
      </border>
    </dxf>
    <dxf>
      <border>
        <top style="thin">
          <color auto="1"/>
        </top>
        <vertical/>
        <horizontal/>
      </border>
    </dxf>
    <dxf>
      <font>
        <color theme="0"/>
      </font>
      <fill>
        <patternFill>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fgColor theme="0"/>
          <bgColor theme="0" tint="-4.9989318521683403E-2"/>
        </patternFill>
      </fill>
      <border>
        <left/>
        <right/>
        <top/>
        <bottom/>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border>
        <bottom style="thin">
          <color auto="1"/>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tint="-4.9989318521683403E-2"/>
        </patternFill>
      </fill>
      <border>
        <left/>
        <right/>
        <top/>
        <bottom/>
        <vertical/>
        <horizontal/>
      </border>
    </dxf>
    <dxf>
      <font>
        <color theme="0"/>
      </font>
      <fill>
        <patternFill>
          <bgColor theme="0"/>
        </patternFill>
      </fill>
    </dxf>
    <dxf>
      <font>
        <color theme="0"/>
      </font>
      <fill>
        <patternFill>
          <fgColor theme="0"/>
          <bgColor theme="0"/>
        </patternFill>
      </fill>
    </dxf>
    <dxf>
      <font>
        <color theme="0"/>
      </font>
      <fill>
        <patternFill>
          <fgColor theme="0"/>
          <bgColor theme="0"/>
        </patternFill>
      </fill>
      <border>
        <left/>
        <right/>
        <top/>
        <bottom/>
      </border>
    </dxf>
    <dxf>
      <border>
        <bottom style="thin">
          <color auto="1"/>
        </bottom>
        <vertical/>
        <horizontal/>
      </border>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patternType="solid">
          <fgColor theme="0"/>
          <bgColor theme="0"/>
        </patternFill>
      </fill>
      <border>
        <left/>
        <right/>
        <top/>
        <bottom/>
      </border>
    </dxf>
    <dxf>
      <font>
        <b val="0"/>
        <i val="0"/>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border>
        <bottom style="thin">
          <color auto="1"/>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border>
        <top style="thin">
          <color auto="1"/>
        </top>
        <vertical/>
        <horizontal/>
      </border>
    </dxf>
    <dxf>
      <border>
        <top style="thin">
          <color auto="1"/>
        </top>
        <bottom style="thin">
          <color auto="1"/>
        </bottom>
        <vertical/>
        <horizontal/>
      </border>
    </dxf>
    <dxf>
      <border>
        <top style="thin">
          <color auto="1"/>
        </top>
        <vertical/>
        <horizontal/>
      </border>
    </dxf>
    <dxf>
      <font>
        <color theme="0"/>
      </font>
      <fill>
        <patternFill patternType="solid">
          <fgColor theme="0"/>
          <bgColor theme="0"/>
        </patternFill>
      </fill>
      <border>
        <left/>
        <right/>
        <top/>
        <bottom/>
      </border>
    </dxf>
    <dxf>
      <font>
        <color theme="0"/>
      </font>
      <fill>
        <patternFill>
          <fgColor theme="0"/>
          <bgColor theme="0"/>
        </patternFill>
      </fill>
      <border>
        <left/>
        <right/>
        <top/>
        <bottom/>
        <vertical/>
        <horizontal/>
      </border>
    </dxf>
    <dxf>
      <border>
        <bottom style="thin">
          <color auto="1"/>
        </bottom>
        <vertical/>
        <horizontal/>
      </border>
    </dxf>
    <dxf>
      <font>
        <color rgb="FFFF0000"/>
      </font>
    </dxf>
    <dxf>
      <font>
        <color theme="0"/>
      </font>
      <fill>
        <patternFill patternType="solid">
          <fgColor theme="0"/>
          <bgColor theme="0"/>
        </patternFill>
      </fill>
      <border>
        <left/>
        <right/>
        <top/>
        <bottom/>
        <vertical/>
        <horizontal/>
      </border>
    </dxf>
    <dxf>
      <border>
        <top style="thin">
          <color auto="1"/>
        </top>
        <vertical/>
        <horizontal/>
      </border>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ont>
        <color theme="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color rgb="FFFF0000"/>
      </font>
    </dxf>
    <dxf>
      <font>
        <b/>
        <i val="0"/>
        <color rgb="FFFF0000"/>
      </font>
    </dxf>
    <dxf>
      <border>
        <top style="thin">
          <color auto="1"/>
        </top>
        <vertical/>
        <horizontal/>
      </border>
    </dxf>
    <dxf>
      <font>
        <b/>
        <i val="0"/>
        <strike val="0"/>
        <color rgb="FFFF0000"/>
      </font>
    </dxf>
    <dxf>
      <fill>
        <patternFill>
          <bgColor rgb="FFFFC7CE"/>
        </patternFill>
      </fill>
    </dxf>
    <dxf>
      <font>
        <color rgb="FF9C0006"/>
      </font>
      <fill>
        <patternFill>
          <bgColor rgb="FFFFC7CE"/>
        </patternFill>
      </fill>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ill>
        <patternFill>
          <bgColor rgb="FFFFC7CE"/>
        </patternFill>
      </fill>
    </dxf>
    <dxf>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border>
        <left style="thin">
          <color auto="1"/>
        </left>
        <right style="thin">
          <color auto="1"/>
        </right>
        <top style="thin">
          <color auto="1"/>
        </top>
        <bottom style="thin">
          <color auto="1"/>
        </bottom>
        <vertical/>
        <horizontal/>
      </border>
    </dxf>
    <dxf>
      <font>
        <color rgb="FF9C5700"/>
      </font>
      <fill>
        <patternFill>
          <bgColor rgb="FFFFEB9C"/>
        </patternFill>
      </fill>
    </dxf>
    <dxf>
      <fill>
        <patternFill>
          <bgColor rgb="FFFFC7CE"/>
        </patternFill>
      </fill>
    </dxf>
    <dxf>
      <border>
        <left style="thin">
          <color auto="1"/>
        </left>
        <right style="thin">
          <color auto="1"/>
        </right>
        <top style="thin">
          <color auto="1"/>
        </top>
        <bottom style="thin">
          <color auto="1"/>
        </bottom>
        <vertical/>
        <horizontal/>
      </border>
    </dxf>
    <dxf>
      <font>
        <color rgb="FF9C5700"/>
      </font>
      <fill>
        <patternFill>
          <bgColor rgb="FFFFEB9C"/>
        </patternFill>
      </fill>
    </dxf>
    <dxf>
      <fill>
        <patternFill>
          <bgColor rgb="FFFFC7CE"/>
        </patternFill>
      </fill>
    </dxf>
    <dxf>
      <font>
        <color auto="1"/>
      </font>
      <fill>
        <patternFill>
          <bgColor rgb="FFFFC7CE"/>
        </patternFill>
      </fill>
    </dxf>
    <dxf>
      <fill>
        <patternFill>
          <bgColor rgb="FFFFC7CE"/>
        </patternFill>
      </fill>
    </dxf>
    <dxf>
      <fill>
        <patternFill>
          <bgColor rgb="FFFFC7CE"/>
        </patternFill>
      </fill>
    </dxf>
    <dxf>
      <font>
        <color rgb="FFFF0000"/>
      </font>
    </dxf>
    <dxf>
      <font>
        <b/>
        <i val="0"/>
      </font>
    </dxf>
    <dxf>
      <font>
        <b/>
        <i val="0"/>
      </font>
    </dxf>
    <dxf>
      <font>
        <b/>
        <i val="0"/>
      </font>
    </dxf>
    <dxf>
      <font>
        <b/>
        <i val="0"/>
      </font>
    </dxf>
    <dxf>
      <font>
        <b/>
        <i val="0"/>
      </font>
    </dxf>
    <dxf>
      <font>
        <b/>
        <i val="0"/>
      </font>
    </dxf>
    <dxf>
      <font>
        <color rgb="FFFF0000"/>
      </font>
    </dxf>
    <dxf>
      <font>
        <color rgb="FFFF0000"/>
      </font>
    </dxf>
    <dxf>
      <font>
        <color rgb="FFFF0000"/>
      </font>
    </dxf>
    <dxf>
      <font>
        <color rgb="FFFF0000"/>
      </font>
    </dxf>
    <dxf>
      <font>
        <color rgb="FFFF0000"/>
      </font>
    </dxf>
    <dxf>
      <font>
        <b/>
        <i val="0"/>
        <color rgb="FFFF0000"/>
      </font>
      <border>
        <left style="thin">
          <color rgb="FFFF0000"/>
        </left>
        <right style="thin">
          <color rgb="FFFF0000"/>
        </right>
        <top style="thin">
          <color rgb="FFFF0000"/>
        </top>
        <bottom style="thin">
          <color rgb="FFFF0000"/>
        </bottom>
        <vertical/>
        <horizontal/>
      </border>
    </dxf>
    <dxf>
      <font>
        <color theme="0"/>
      </font>
    </dxf>
    <dxf>
      <font>
        <color rgb="FFFF0000"/>
      </font>
      <border>
        <left style="thin">
          <color auto="1"/>
        </left>
        <right style="thin">
          <color auto="1"/>
        </right>
        <top style="thin">
          <color auto="1"/>
        </top>
        <bottom style="thin">
          <color auto="1"/>
        </bottom>
        <vertical/>
        <horizontal/>
      </border>
    </dxf>
    <dxf>
      <font>
        <color theme="0"/>
      </font>
    </dxf>
    <dxf>
      <fill>
        <gradientFill>
          <stop position="0">
            <color theme="0" tint="-0.25098422193060094"/>
          </stop>
          <stop position="1">
            <color rgb="FFFF0000"/>
          </stop>
        </gradientFill>
      </fill>
    </dxf>
    <dxf>
      <fill>
        <gradientFill>
          <stop position="0">
            <color theme="0" tint="-0.25098422193060094"/>
          </stop>
          <stop position="1">
            <color rgb="FFFF0000"/>
          </stop>
        </gradientFill>
      </fill>
    </dxf>
    <dxf>
      <font>
        <color theme="0"/>
      </font>
      <fill>
        <patternFill>
          <bgColor rgb="FFFF0000"/>
        </patternFill>
      </fill>
    </dxf>
    <dxf>
      <font>
        <color theme="0"/>
      </font>
      <fill>
        <patternFill>
          <bgColor rgb="FFFF0000"/>
        </patternFill>
      </fill>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rgb="FFFF0000"/>
        </patternFill>
      </fill>
    </dxf>
    <dxf>
      <font>
        <color theme="0"/>
      </font>
    </dxf>
    <dxf>
      <font>
        <color theme="0"/>
      </font>
    </dxf>
    <dxf>
      <fill>
        <patternFill>
          <bgColor rgb="FFFF0000"/>
        </patternFill>
      </fill>
    </dxf>
    <dxf>
      <font>
        <color theme="0"/>
      </font>
    </dxf>
    <dxf>
      <font>
        <color theme="0"/>
      </font>
      <fill>
        <patternFill>
          <bgColor rgb="FFFF0000"/>
        </patternFill>
      </fill>
    </dxf>
    <dxf>
      <font>
        <color rgb="FF00B050"/>
      </font>
    </dxf>
    <dxf>
      <font>
        <color rgb="FF00B050"/>
      </font>
    </dxf>
    <dxf>
      <font>
        <color rgb="FFFF0000"/>
      </font>
      <border>
        <left style="thin">
          <color rgb="FFFF0000"/>
        </left>
        <right style="thin">
          <color rgb="FFFF0000"/>
        </right>
        <top style="thin">
          <color rgb="FFFF0000"/>
        </top>
        <bottom style="thin">
          <color rgb="FFFF0000"/>
        </bottom>
        <vertical/>
        <horizontal/>
      </border>
    </dxf>
    <dxf>
      <border>
        <left style="thin">
          <color rgb="FF00B050"/>
        </left>
        <right style="thin">
          <color rgb="FF00B050"/>
        </right>
        <top style="thin">
          <color rgb="FF00B050"/>
        </top>
        <bottom style="thin">
          <color rgb="FF00B050"/>
        </bottom>
        <vertical/>
        <horizontal/>
      </border>
    </dxf>
    <dxf>
      <fill>
        <patternFill>
          <bgColor rgb="FFFFFF00"/>
        </patternFill>
      </fill>
      <border>
        <left style="thin">
          <color rgb="FFFF0000"/>
        </left>
        <right style="thin">
          <color rgb="FFFF0000"/>
        </right>
        <top style="thin">
          <color rgb="FFFF0000"/>
        </top>
        <bottom style="thin">
          <color rgb="FFFF0000"/>
        </bottom>
        <vertical/>
        <horizontal/>
      </border>
    </dxf>
    <dxf>
      <font>
        <color rgb="FF00B050"/>
      </font>
    </dxf>
    <dxf>
      <font>
        <color rgb="FFFF0000"/>
      </font>
      <border>
        <left style="thin">
          <color rgb="FFFF0000"/>
        </left>
        <right style="thin">
          <color rgb="FFFF0000"/>
        </right>
        <top style="thin">
          <color rgb="FFFF0000"/>
        </top>
        <bottom style="thin">
          <color rgb="FFFF0000"/>
        </bottom>
        <vertical/>
        <horizontal/>
      </border>
    </dxf>
    <dxf>
      <border>
        <left style="thin">
          <color rgb="FF00B050"/>
        </left>
        <right style="thin">
          <color rgb="FF00B050"/>
        </right>
        <top style="thin">
          <color rgb="FF00B050"/>
        </top>
        <bottom style="thin">
          <color rgb="FF00B050"/>
        </bottom>
        <vertical/>
        <horizontal/>
      </border>
    </dxf>
    <dxf>
      <font>
        <b/>
        <i val="0"/>
        <color rgb="FFFF0000"/>
      </font>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D78C29"/>
      <color rgb="FFFFCC66"/>
      <color rgb="FFFFDC50"/>
      <color rgb="FFFFFF66"/>
      <color rgb="FFFFFF99"/>
      <color rgb="FFEF9A8F"/>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742372881355932E-2"/>
          <c:y val="9.6791664277667319E-2"/>
          <c:w val="0.92206479849677514"/>
          <c:h val="0.72413566003790375"/>
        </c:manualLayout>
      </c:layout>
      <c:barChart>
        <c:barDir val="bar"/>
        <c:grouping val="stacked"/>
        <c:varyColors val="0"/>
        <c:ser>
          <c:idx val="1"/>
          <c:order val="0"/>
          <c:spPr>
            <a:solidFill>
              <a:schemeClr val="accent1">
                <a:lumMod val="75000"/>
              </a:schemeClr>
            </a:solidFill>
            <a:ln>
              <a:solidFill>
                <a:schemeClr val="tx1"/>
              </a:solidFill>
            </a:ln>
            <a:effectLst/>
          </c:spPr>
          <c:invertIfNegative val="0"/>
          <c:dPt>
            <c:idx val="0"/>
            <c:invertIfNegative val="0"/>
            <c:bubble3D val="0"/>
            <c:spPr>
              <a:noFill/>
              <a:ln>
                <a:solidFill>
                  <a:schemeClr val="tx1"/>
                </a:solidFill>
              </a:ln>
              <a:effectLst/>
            </c:spPr>
            <c:extLst>
              <c:ext xmlns:c16="http://schemas.microsoft.com/office/drawing/2014/chart" uri="{C3380CC4-5D6E-409C-BE32-E72D297353CC}">
                <c16:uniqueId val="{00000004-E419-4FAC-BD52-D670C69D621C}"/>
              </c:ext>
            </c:extLst>
          </c:dPt>
          <c:dLbls>
            <c:numFmt formatCode="#,##0.0" sourceLinked="0"/>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KALKULATION!$AA$67:$AA$68</c:f>
              <c:numCache>
                <c:formatCode>0.00</c:formatCode>
                <c:ptCount val="2"/>
                <c:pt idx="0">
                  <c:v>7</c:v>
                </c:pt>
                <c:pt idx="1">
                  <c:v>6.3</c:v>
                </c:pt>
              </c:numCache>
            </c:numRef>
          </c:val>
          <c:extLst>
            <c:ext xmlns:c15="http://schemas.microsoft.com/office/drawing/2012/chart" uri="{02D57815-91ED-43cb-92C2-25804820EDAC}">
              <c15:filteredCategoryTitle>
                <c15:cat>
                  <c:multiLvlStrRef>
                    <c:extLst>
                      <c:ext uri="{02D57815-91ED-43cb-92C2-25804820EDAC}">
                        <c15:formulaRef>
                          <c15:sqref>KALKULATION!$Z$67:$Z$68</c15:sqref>
                        </c15:formulaRef>
                      </c:ext>
                    </c:extLst>
                  </c:multiLvlStrRef>
                </c15:cat>
              </c15:filteredCategoryTitle>
            </c:ext>
            <c:ext xmlns:c16="http://schemas.microsoft.com/office/drawing/2014/chart" uri="{C3380CC4-5D6E-409C-BE32-E72D297353CC}">
              <c16:uniqueId val="{00000001-E419-4FAC-BD52-D670C69D621C}"/>
            </c:ext>
          </c:extLst>
        </c:ser>
        <c:ser>
          <c:idx val="2"/>
          <c:order val="1"/>
          <c:spPr>
            <a:solidFill>
              <a:schemeClr val="accent1">
                <a:lumMod val="40000"/>
                <a:lumOff val="60000"/>
              </a:schemeClr>
            </a:solidFill>
            <a:ln>
              <a:solidFill>
                <a:schemeClr val="tx1"/>
              </a:solidFill>
            </a:ln>
            <a:effectLst/>
          </c:spPr>
          <c:invertIfNegative val="0"/>
          <c:dLbls>
            <c:delete val="1"/>
          </c:dLbls>
          <c:val>
            <c:numRef>
              <c:f>KALKULATION!$AB$67:$AB$68</c:f>
              <c:numCache>
                <c:formatCode>0.00</c:formatCode>
                <c:ptCount val="2"/>
                <c:pt idx="1">
                  <c:v>0</c:v>
                </c:pt>
              </c:numCache>
            </c:numRef>
          </c:val>
          <c:extLst>
            <c:ext xmlns:c15="http://schemas.microsoft.com/office/drawing/2012/chart" uri="{02D57815-91ED-43cb-92C2-25804820EDAC}">
              <c15:filteredCategoryTitle>
                <c15:cat>
                  <c:multiLvlStrRef>
                    <c:extLst>
                      <c:ext uri="{02D57815-91ED-43cb-92C2-25804820EDAC}">
                        <c15:formulaRef>
                          <c15:sqref>KALKULATION!$Z$67:$Z$68</c15:sqref>
                        </c15:formulaRef>
                      </c:ext>
                    </c:extLst>
                  </c:multiLvlStrRef>
                </c15:cat>
              </c15:filteredCategoryTitle>
            </c:ext>
            <c:ext xmlns:c16="http://schemas.microsoft.com/office/drawing/2014/chart" uri="{C3380CC4-5D6E-409C-BE32-E72D297353CC}">
              <c16:uniqueId val="{00000002-E419-4FAC-BD52-D670C69D621C}"/>
            </c:ext>
          </c:extLst>
        </c:ser>
        <c:ser>
          <c:idx val="0"/>
          <c:order val="2"/>
          <c:spPr>
            <a:solidFill>
              <a:schemeClr val="bg1"/>
            </a:solidFill>
            <a:ln>
              <a:solidFill>
                <a:schemeClr val="tx1"/>
              </a:solidFill>
            </a:ln>
            <a:effectLst/>
          </c:spPr>
          <c:invertIfNegative val="0"/>
          <c:dLbls>
            <c:delete val="1"/>
          </c:dLbls>
          <c:val>
            <c:numRef>
              <c:f>KALKULATION!$AC$67:$AC$68</c:f>
              <c:numCache>
                <c:formatCode>0.00</c:formatCode>
                <c:ptCount val="2"/>
                <c:pt idx="1">
                  <c:v>0.7</c:v>
                </c:pt>
              </c:numCache>
            </c:numRef>
          </c:val>
          <c:extLst>
            <c:ext xmlns:c15="http://schemas.microsoft.com/office/drawing/2012/chart" uri="{02D57815-91ED-43cb-92C2-25804820EDAC}">
              <c15:filteredCategoryTitle>
                <c15:cat>
                  <c:multiLvlStrRef>
                    <c:extLst>
                      <c:ext uri="{02D57815-91ED-43cb-92C2-25804820EDAC}">
                        <c15:formulaRef>
                          <c15:sqref>KALKULATION!$Z$67:$Z$68</c15:sqref>
                        </c15:formulaRef>
                      </c:ext>
                    </c:extLst>
                  </c:multiLvlStrRef>
                </c15:cat>
              </c15:filteredCategoryTitle>
            </c:ext>
            <c:ext xmlns:c16="http://schemas.microsoft.com/office/drawing/2014/chart" uri="{C3380CC4-5D6E-409C-BE32-E72D297353CC}">
              <c16:uniqueId val="{00000003-E419-4FAC-BD52-D670C69D621C}"/>
            </c:ext>
          </c:extLst>
        </c:ser>
        <c:dLbls>
          <c:dLblPos val="ctr"/>
          <c:showLegendKey val="0"/>
          <c:showVal val="1"/>
          <c:showCatName val="0"/>
          <c:showSerName val="0"/>
          <c:showPercent val="0"/>
          <c:showBubbleSize val="0"/>
        </c:dLbls>
        <c:gapWidth val="35"/>
        <c:overlap val="100"/>
        <c:axId val="556549632"/>
        <c:axId val="556548320"/>
      </c:barChart>
      <c:catAx>
        <c:axId val="556549632"/>
        <c:scaling>
          <c:orientation val="minMax"/>
        </c:scaling>
        <c:delete val="1"/>
        <c:axPos val="l"/>
        <c:numFmt formatCode="General" sourceLinked="1"/>
        <c:majorTickMark val="none"/>
        <c:minorTickMark val="none"/>
        <c:tickLblPos val="nextTo"/>
        <c:crossAx val="556548320"/>
        <c:crosses val="autoZero"/>
        <c:auto val="1"/>
        <c:lblAlgn val="ctr"/>
        <c:lblOffset val="100"/>
        <c:noMultiLvlLbl val="0"/>
      </c:catAx>
      <c:valAx>
        <c:axId val="556548320"/>
        <c:scaling>
          <c:orientation val="minMax"/>
          <c:min val="0"/>
        </c:scaling>
        <c:delete val="1"/>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low"/>
        <c:crossAx val="556549632"/>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Kostenstruktur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explosion val="4"/>
            <c:spPr>
              <a:solidFill>
                <a:srgbClr val="FF0000"/>
              </a:solidFill>
              <a:ln w="19050">
                <a:solidFill>
                  <a:schemeClr val="lt1"/>
                </a:solidFill>
              </a:ln>
              <a:effectLst/>
            </c:spPr>
            <c:extLst>
              <c:ext xmlns:c16="http://schemas.microsoft.com/office/drawing/2014/chart" uri="{C3380CC4-5D6E-409C-BE32-E72D297353CC}">
                <c16:uniqueId val="{00000002-F054-45D5-9825-B06DE22F3AD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253-4095-8EB2-D8DF659B96D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1-F054-45D5-9825-B06DE22F3AD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253-4095-8EB2-D8DF659B96D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253-4095-8EB2-D8DF659B96D9}"/>
              </c:ext>
            </c:extLst>
          </c:dPt>
          <c:dPt>
            <c:idx val="5"/>
            <c:bubble3D val="0"/>
            <c:explosion val="10"/>
            <c:spPr>
              <a:solidFill>
                <a:schemeClr val="accent6"/>
              </a:solidFill>
              <a:ln w="19050">
                <a:solidFill>
                  <a:schemeClr val="lt1"/>
                </a:solidFill>
              </a:ln>
              <a:effectLst/>
            </c:spPr>
            <c:extLst>
              <c:ext xmlns:c16="http://schemas.microsoft.com/office/drawing/2014/chart" uri="{C3380CC4-5D6E-409C-BE32-E72D297353CC}">
                <c16:uniqueId val="{0000000B-B253-4095-8EB2-D8DF659B96D9}"/>
              </c:ext>
            </c:extLst>
          </c:dPt>
          <c:dPt>
            <c:idx val="6"/>
            <c:bubble3D val="0"/>
            <c:explosion val="10"/>
            <c:spPr>
              <a:solidFill>
                <a:schemeClr val="tx1"/>
              </a:solidFill>
              <a:ln w="19050">
                <a:solidFill>
                  <a:schemeClr val="lt1"/>
                </a:solidFill>
              </a:ln>
              <a:effectLst/>
            </c:spPr>
            <c:extLst>
              <c:ext xmlns:c16="http://schemas.microsoft.com/office/drawing/2014/chart" uri="{C3380CC4-5D6E-409C-BE32-E72D297353CC}">
                <c16:uniqueId val="{00000003-F054-45D5-9825-B06DE22F3ADC}"/>
              </c:ext>
            </c:extLst>
          </c:dPt>
          <c:dPt>
            <c:idx val="7"/>
            <c:bubble3D val="0"/>
            <c:explosion val="10"/>
            <c:spPr>
              <a:solidFill>
                <a:schemeClr val="accent2">
                  <a:lumMod val="60000"/>
                </a:schemeClr>
              </a:solidFill>
              <a:ln w="19050">
                <a:solidFill>
                  <a:schemeClr val="lt1"/>
                </a:solidFill>
              </a:ln>
              <a:effectLst/>
            </c:spPr>
            <c:extLst>
              <c:ext xmlns:c16="http://schemas.microsoft.com/office/drawing/2014/chart" uri="{C3380CC4-5D6E-409C-BE32-E72D297353CC}">
                <c16:uniqueId val="{0000000E-492A-4A51-93FD-4158B69D7D69}"/>
              </c:ext>
            </c:extLst>
          </c:dPt>
          <c:dPt>
            <c:idx val="8"/>
            <c:bubble3D val="0"/>
            <c:explosion val="10"/>
            <c:spPr>
              <a:solidFill>
                <a:schemeClr val="accent3">
                  <a:lumMod val="60000"/>
                </a:schemeClr>
              </a:solidFill>
              <a:ln w="19050">
                <a:solidFill>
                  <a:schemeClr val="lt1"/>
                </a:solidFill>
              </a:ln>
              <a:effectLst/>
            </c:spPr>
            <c:extLst>
              <c:ext xmlns:c16="http://schemas.microsoft.com/office/drawing/2014/chart" uri="{C3380CC4-5D6E-409C-BE32-E72D297353CC}">
                <c16:uniqueId val="{0000000F-492A-4A51-93FD-4158B69D7D69}"/>
              </c:ext>
            </c:extLst>
          </c:dPt>
          <c:cat>
            <c:strRef>
              <c:f>Report!$A$84:$A$92</c:f>
              <c:strCache>
                <c:ptCount val="9"/>
                <c:pt idx="0">
                  <c:v>KV-Entgelt</c:v>
                </c:pt>
                <c:pt idx="1">
                  <c:v>AKV-Entgelt</c:v>
                </c:pt>
                <c:pt idx="2">
                  <c:v>KV + AKV in sonst. unprod. Zeiten</c:v>
                </c:pt>
                <c:pt idx="3">
                  <c:v>Weitere Entgeltbestandteile</c:v>
                </c:pt>
                <c:pt idx="4">
                  <c:v>Personalnebenkosten (PNK)</c:v>
                </c:pt>
                <c:pt idx="5">
                  <c:v>Unproduktives Pers. (inkl PNK, PGK; ≠ GZ)</c:v>
                </c:pt>
                <c:pt idx="6">
                  <c:v>Personalgemeinkosten (PGK)</c:v>
                </c:pt>
                <c:pt idx="7">
                  <c:v>Umlagen ohne GZ</c:v>
                </c:pt>
                <c:pt idx="8">
                  <c:v>Gesamtzuschlag (GZ)</c:v>
                </c:pt>
              </c:strCache>
            </c:strRef>
          </c:cat>
          <c:val>
            <c:numRef>
              <c:f>Report!$E$84:$E$92</c:f>
              <c:numCache>
                <c:formatCode>0.00%</c:formatCode>
                <c:ptCount val="9"/>
                <c:pt idx="0">
                  <c:v>1</c:v>
                </c:pt>
                <c:pt idx="1">
                  <c:v>0.14330000000000001</c:v>
                </c:pt>
                <c:pt idx="2">
                  <c:v>0</c:v>
                </c:pt>
                <c:pt idx="3">
                  <c:v>0.2225</c:v>
                </c:pt>
                <c:pt idx="4">
                  <c:v>1.3595999999999999</c:v>
                </c:pt>
                <c:pt idx="5">
                  <c:v>0.34470000000000001</c:v>
                </c:pt>
                <c:pt idx="6">
                  <c:v>0.27660000000000001</c:v>
                </c:pt>
                <c:pt idx="7">
                  <c:v>5.0999999999999997E-2</c:v>
                </c:pt>
                <c:pt idx="8">
                  <c:v>0.98519999999999996</c:v>
                </c:pt>
              </c:numCache>
            </c:numRef>
          </c:val>
          <c:extLst>
            <c:ext xmlns:c16="http://schemas.microsoft.com/office/drawing/2014/chart" uri="{C3380CC4-5D6E-409C-BE32-E72D297353CC}">
              <c16:uniqueId val="{00000000-F054-45D5-9825-B06DE22F3ADC}"/>
            </c:ext>
          </c:extLst>
        </c:ser>
        <c:dLbls>
          <c:showLegendKey val="0"/>
          <c:showVal val="0"/>
          <c:showCatName val="0"/>
          <c:showSerName val="0"/>
          <c:showPercent val="0"/>
          <c:showBubbleSize val="0"/>
          <c:showLeaderLines val="1"/>
        </c:dLbls>
        <c:firstSliceAng val="0"/>
      </c:pieChart>
      <c:spPr>
        <a:noFill/>
        <a:ln>
          <a:noFill/>
        </a:ln>
        <a:effectLst/>
      </c:spPr>
    </c:plotArea>
    <c:legend>
      <c:legendPos val="r"/>
      <c:legendEntry>
        <c:idx val="0"/>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1"/>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2"/>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3"/>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4"/>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5"/>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6"/>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ayout>
        <c:manualLayout>
          <c:xMode val="edge"/>
          <c:yMode val="edge"/>
          <c:x val="0.56991457997828077"/>
          <c:y val="9.713910761154855E-2"/>
          <c:w val="0.41576133900456658"/>
          <c:h val="0.7366936424613590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http://www.bauwesen.at/k3" TargetMode="External"/><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hyperlink" Target="#KALKULATION!D622"/></Relationships>
</file>

<file path=xl/drawings/_rels/drawing11.xml.rels><?xml version="1.0" encoding="UTF-8" standalone="yes"?>
<Relationships xmlns="http://schemas.openxmlformats.org/package/2006/relationships"><Relationship Id="rId2" Type="http://schemas.openxmlformats.org/officeDocument/2006/relationships/image" Target="../media/image37.emf"/><Relationship Id="rId1" Type="http://schemas.openxmlformats.org/officeDocument/2006/relationships/hyperlink" Target="#KALKULATION!D690"/></Relationships>
</file>

<file path=xl/drawings/_rels/drawing12.xml.rels><?xml version="1.0" encoding="UTF-8" standalone="yes"?>
<Relationships xmlns="http://schemas.openxmlformats.org/package/2006/relationships"><Relationship Id="rId2" Type="http://schemas.openxmlformats.org/officeDocument/2006/relationships/image" Target="../media/image38.png"/><Relationship Id="rId1" Type="http://schemas.openxmlformats.org/officeDocument/2006/relationships/hyperlink" Target="#KALKULATION!A769"/></Relationships>
</file>

<file path=xl/drawings/_rels/drawing13.xml.rels><?xml version="1.0" encoding="UTF-8" standalone="yes"?>
<Relationships xmlns="http://schemas.openxmlformats.org/package/2006/relationships"><Relationship Id="rId13" Type="http://schemas.openxmlformats.org/officeDocument/2006/relationships/image" Target="../media/image51.emf"/><Relationship Id="rId18" Type="http://schemas.openxmlformats.org/officeDocument/2006/relationships/image" Target="../media/image56.emf"/><Relationship Id="rId26" Type="http://schemas.openxmlformats.org/officeDocument/2006/relationships/image" Target="../media/image64.emf"/><Relationship Id="rId21" Type="http://schemas.openxmlformats.org/officeDocument/2006/relationships/image" Target="../media/image59.emf"/><Relationship Id="rId34" Type="http://schemas.openxmlformats.org/officeDocument/2006/relationships/image" Target="../media/image72.emf"/><Relationship Id="rId7" Type="http://schemas.openxmlformats.org/officeDocument/2006/relationships/image" Target="../media/image45.emf"/><Relationship Id="rId12" Type="http://schemas.openxmlformats.org/officeDocument/2006/relationships/image" Target="../media/image50.emf"/><Relationship Id="rId17" Type="http://schemas.openxmlformats.org/officeDocument/2006/relationships/image" Target="../media/image55.emf"/><Relationship Id="rId25" Type="http://schemas.openxmlformats.org/officeDocument/2006/relationships/image" Target="../media/image63.emf"/><Relationship Id="rId33" Type="http://schemas.openxmlformats.org/officeDocument/2006/relationships/image" Target="../media/image71.emf"/><Relationship Id="rId38" Type="http://schemas.openxmlformats.org/officeDocument/2006/relationships/image" Target="../media/image76.emf"/><Relationship Id="rId2" Type="http://schemas.openxmlformats.org/officeDocument/2006/relationships/image" Target="../media/image40.emf"/><Relationship Id="rId16" Type="http://schemas.openxmlformats.org/officeDocument/2006/relationships/image" Target="../media/image54.emf"/><Relationship Id="rId20" Type="http://schemas.openxmlformats.org/officeDocument/2006/relationships/image" Target="../media/image58.emf"/><Relationship Id="rId29" Type="http://schemas.openxmlformats.org/officeDocument/2006/relationships/image" Target="../media/image67.emf"/><Relationship Id="rId1" Type="http://schemas.openxmlformats.org/officeDocument/2006/relationships/image" Target="../media/image39.emf"/><Relationship Id="rId6" Type="http://schemas.openxmlformats.org/officeDocument/2006/relationships/image" Target="../media/image44.emf"/><Relationship Id="rId11" Type="http://schemas.openxmlformats.org/officeDocument/2006/relationships/image" Target="../media/image49.emf"/><Relationship Id="rId24" Type="http://schemas.openxmlformats.org/officeDocument/2006/relationships/image" Target="../media/image62.emf"/><Relationship Id="rId32" Type="http://schemas.openxmlformats.org/officeDocument/2006/relationships/image" Target="../media/image70.emf"/><Relationship Id="rId37" Type="http://schemas.openxmlformats.org/officeDocument/2006/relationships/image" Target="../media/image75.emf"/><Relationship Id="rId5" Type="http://schemas.openxmlformats.org/officeDocument/2006/relationships/image" Target="../media/image43.emf"/><Relationship Id="rId15" Type="http://schemas.openxmlformats.org/officeDocument/2006/relationships/image" Target="../media/image53.emf"/><Relationship Id="rId23" Type="http://schemas.openxmlformats.org/officeDocument/2006/relationships/image" Target="../media/image61.emf"/><Relationship Id="rId28" Type="http://schemas.openxmlformats.org/officeDocument/2006/relationships/image" Target="../media/image66.emf"/><Relationship Id="rId36" Type="http://schemas.openxmlformats.org/officeDocument/2006/relationships/image" Target="../media/image74.emf"/><Relationship Id="rId10" Type="http://schemas.openxmlformats.org/officeDocument/2006/relationships/image" Target="../media/image48.emf"/><Relationship Id="rId19" Type="http://schemas.openxmlformats.org/officeDocument/2006/relationships/image" Target="../media/image57.emf"/><Relationship Id="rId31" Type="http://schemas.openxmlformats.org/officeDocument/2006/relationships/image" Target="../media/image69.emf"/><Relationship Id="rId4" Type="http://schemas.openxmlformats.org/officeDocument/2006/relationships/image" Target="../media/image42.emf"/><Relationship Id="rId9" Type="http://schemas.openxmlformats.org/officeDocument/2006/relationships/image" Target="../media/image47.emf"/><Relationship Id="rId14" Type="http://schemas.openxmlformats.org/officeDocument/2006/relationships/image" Target="../media/image52.emf"/><Relationship Id="rId22" Type="http://schemas.openxmlformats.org/officeDocument/2006/relationships/image" Target="../media/image60.emf"/><Relationship Id="rId27" Type="http://schemas.openxmlformats.org/officeDocument/2006/relationships/image" Target="../media/image65.emf"/><Relationship Id="rId30" Type="http://schemas.openxmlformats.org/officeDocument/2006/relationships/image" Target="../media/image68.emf"/><Relationship Id="rId35" Type="http://schemas.openxmlformats.org/officeDocument/2006/relationships/image" Target="../media/image73.emf"/><Relationship Id="rId8" Type="http://schemas.openxmlformats.org/officeDocument/2006/relationships/image" Target="../media/image46.emf"/><Relationship Id="rId3" Type="http://schemas.openxmlformats.org/officeDocument/2006/relationships/image" Target="../media/image41.emf"/></Relationships>
</file>

<file path=xl/drawings/_rels/drawing2.xml.rels><?xml version="1.0" encoding="UTF-8" standalone="yes"?>
<Relationships xmlns="http://schemas.openxmlformats.org/package/2006/relationships"><Relationship Id="rId26" Type="http://schemas.openxmlformats.org/officeDocument/2006/relationships/image" Target="../media/image14.png"/><Relationship Id="rId21" Type="http://schemas.openxmlformats.org/officeDocument/2006/relationships/hyperlink" Target="#KALKULATION!A174"/><Relationship Id="rId34" Type="http://schemas.openxmlformats.org/officeDocument/2006/relationships/image" Target="../media/image18.png"/><Relationship Id="rId42" Type="http://schemas.openxmlformats.org/officeDocument/2006/relationships/image" Target="../media/image22.png"/><Relationship Id="rId47" Type="http://schemas.openxmlformats.org/officeDocument/2006/relationships/hyperlink" Target="#' K3 Regie1'!I47"/><Relationship Id="rId50" Type="http://schemas.openxmlformats.org/officeDocument/2006/relationships/hyperlink" Target="#' K3 Regie4'!I47"/><Relationship Id="rId55" Type="http://schemas.openxmlformats.org/officeDocument/2006/relationships/hyperlink" Target="#KALKULATION!D14"/><Relationship Id="rId63" Type="http://schemas.openxmlformats.org/officeDocument/2006/relationships/hyperlink" Target="#Stammdaten!A1"/><Relationship Id="rId68" Type="http://schemas.openxmlformats.org/officeDocument/2006/relationships/image" Target="../media/image34.png"/><Relationship Id="rId7" Type="http://schemas.openxmlformats.org/officeDocument/2006/relationships/hyperlink" Target="#' K3 Regie3'!A1"/><Relationship Id="rId2" Type="http://schemas.openxmlformats.org/officeDocument/2006/relationships/image" Target="../media/image2.emf"/><Relationship Id="rId16" Type="http://schemas.openxmlformats.org/officeDocument/2006/relationships/image" Target="../media/image9.png"/><Relationship Id="rId29" Type="http://schemas.openxmlformats.org/officeDocument/2006/relationships/hyperlink" Target="#KALKULATION!E345"/><Relationship Id="rId11" Type="http://schemas.openxmlformats.org/officeDocument/2006/relationships/hyperlink" Target="#' K3 Regie1'!A1"/><Relationship Id="rId24" Type="http://schemas.openxmlformats.org/officeDocument/2006/relationships/image" Target="../media/image13.png"/><Relationship Id="rId32" Type="http://schemas.openxmlformats.org/officeDocument/2006/relationships/image" Target="../media/image17.png"/><Relationship Id="rId37" Type="http://schemas.openxmlformats.org/officeDocument/2006/relationships/hyperlink" Target="#KALKULATION!A421"/><Relationship Id="rId40" Type="http://schemas.openxmlformats.org/officeDocument/2006/relationships/image" Target="../media/image21.png"/><Relationship Id="rId45" Type="http://schemas.openxmlformats.org/officeDocument/2006/relationships/hyperlink" Target="#KALKULATION!A695"/><Relationship Id="rId53" Type="http://schemas.openxmlformats.org/officeDocument/2006/relationships/image" Target="../media/image25.png"/><Relationship Id="rId58" Type="http://schemas.openxmlformats.org/officeDocument/2006/relationships/image" Target="../media/image28.png"/><Relationship Id="rId66" Type="http://schemas.openxmlformats.org/officeDocument/2006/relationships/hyperlink" Target="#KALKULATION!A845"/><Relationship Id="rId5" Type="http://schemas.openxmlformats.org/officeDocument/2006/relationships/hyperlink" Target="#' K3 Regie4'!A1"/><Relationship Id="rId61" Type="http://schemas.openxmlformats.org/officeDocument/2006/relationships/hyperlink" Target="#'Lizenz u lies mich'!A1"/><Relationship Id="rId19" Type="http://schemas.openxmlformats.org/officeDocument/2006/relationships/hyperlink" Target="#KALKULATION!A123"/><Relationship Id="rId14" Type="http://schemas.openxmlformats.org/officeDocument/2006/relationships/image" Target="../media/image8.png"/><Relationship Id="rId22" Type="http://schemas.openxmlformats.org/officeDocument/2006/relationships/image" Target="../media/image12.png"/><Relationship Id="rId27" Type="http://schemas.openxmlformats.org/officeDocument/2006/relationships/hyperlink" Target="#KALKULATION!A324"/><Relationship Id="rId30" Type="http://schemas.openxmlformats.org/officeDocument/2006/relationships/image" Target="../media/image16.png"/><Relationship Id="rId35" Type="http://schemas.openxmlformats.org/officeDocument/2006/relationships/hyperlink" Target="#Report!F7"/><Relationship Id="rId43" Type="http://schemas.openxmlformats.org/officeDocument/2006/relationships/hyperlink" Target="#KALKULATION!A625"/><Relationship Id="rId48" Type="http://schemas.openxmlformats.org/officeDocument/2006/relationships/hyperlink" Target="#' K3 Regie2'!I47"/><Relationship Id="rId56" Type="http://schemas.openxmlformats.org/officeDocument/2006/relationships/image" Target="../media/image27.png"/><Relationship Id="rId64" Type="http://schemas.openxmlformats.org/officeDocument/2006/relationships/image" Target="../media/image31.png"/><Relationship Id="rId8" Type="http://schemas.openxmlformats.org/officeDocument/2006/relationships/image" Target="../media/image5.png"/><Relationship Id="rId51" Type="http://schemas.openxmlformats.org/officeDocument/2006/relationships/hyperlink" Target="#' K3 Regie5'!I47"/><Relationship Id="rId3" Type="http://schemas.openxmlformats.org/officeDocument/2006/relationships/hyperlink" Target="#' K3 Regie5'!A1"/><Relationship Id="rId12" Type="http://schemas.openxmlformats.org/officeDocument/2006/relationships/image" Target="../media/image7.png"/><Relationship Id="rId17" Type="http://schemas.openxmlformats.org/officeDocument/2006/relationships/hyperlink" Target="#KALKULATION!H77"/><Relationship Id="rId25" Type="http://schemas.openxmlformats.org/officeDocument/2006/relationships/hyperlink" Target="#KALKULATION!A286"/><Relationship Id="rId33" Type="http://schemas.openxmlformats.org/officeDocument/2006/relationships/hyperlink" Target="#' K3 PP'!I47"/><Relationship Id="rId38" Type="http://schemas.openxmlformats.org/officeDocument/2006/relationships/image" Target="../media/image20.png"/><Relationship Id="rId46" Type="http://schemas.openxmlformats.org/officeDocument/2006/relationships/image" Target="../media/image24.png"/><Relationship Id="rId59" Type="http://schemas.openxmlformats.org/officeDocument/2006/relationships/image" Target="../media/image29.png"/><Relationship Id="rId67" Type="http://schemas.openxmlformats.org/officeDocument/2006/relationships/image" Target="../media/image33.png"/><Relationship Id="rId20" Type="http://schemas.openxmlformats.org/officeDocument/2006/relationships/image" Target="../media/image11.png"/><Relationship Id="rId41" Type="http://schemas.openxmlformats.org/officeDocument/2006/relationships/hyperlink" Target="#KALKULATION!A557"/><Relationship Id="rId54" Type="http://schemas.openxmlformats.org/officeDocument/2006/relationships/image" Target="../media/image26.png"/><Relationship Id="rId62" Type="http://schemas.openxmlformats.org/officeDocument/2006/relationships/image" Target="../media/image30.png"/><Relationship Id="rId1" Type="http://schemas.openxmlformats.org/officeDocument/2006/relationships/hyperlink" Target="http://www.bauwesen.at/k3" TargetMode="External"/><Relationship Id="rId6" Type="http://schemas.openxmlformats.org/officeDocument/2006/relationships/image" Target="../media/image4.png"/><Relationship Id="rId15" Type="http://schemas.openxmlformats.org/officeDocument/2006/relationships/hyperlink" Target="#KALKULATION!A36"/><Relationship Id="rId23" Type="http://schemas.openxmlformats.org/officeDocument/2006/relationships/hyperlink" Target="#KALKULATION!G242"/><Relationship Id="rId28" Type="http://schemas.openxmlformats.org/officeDocument/2006/relationships/image" Target="../media/image15.png"/><Relationship Id="rId36" Type="http://schemas.openxmlformats.org/officeDocument/2006/relationships/image" Target="../media/image19.png"/><Relationship Id="rId49" Type="http://schemas.openxmlformats.org/officeDocument/2006/relationships/hyperlink" Target="#' K3 Regie3'!I47"/><Relationship Id="rId57" Type="http://schemas.openxmlformats.org/officeDocument/2006/relationships/hyperlink" Target="#' K3 Regie6'!I47"/><Relationship Id="rId10" Type="http://schemas.openxmlformats.org/officeDocument/2006/relationships/image" Target="../media/image6.png"/><Relationship Id="rId31" Type="http://schemas.openxmlformats.org/officeDocument/2006/relationships/hyperlink" Target="#KALKULATION!F351"/><Relationship Id="rId44" Type="http://schemas.openxmlformats.org/officeDocument/2006/relationships/image" Target="../media/image23.png"/><Relationship Id="rId52" Type="http://schemas.openxmlformats.org/officeDocument/2006/relationships/hyperlink" Target="#KALKULATION!A769"/><Relationship Id="rId60" Type="http://schemas.openxmlformats.org/officeDocument/2006/relationships/chart" Target="../charts/chart1.xml"/><Relationship Id="rId65" Type="http://schemas.openxmlformats.org/officeDocument/2006/relationships/image" Target="../media/image32.png"/><Relationship Id="rId4" Type="http://schemas.openxmlformats.org/officeDocument/2006/relationships/image" Target="../media/image3.png"/><Relationship Id="rId9" Type="http://schemas.openxmlformats.org/officeDocument/2006/relationships/hyperlink" Target="#' K3 Regie2'!A1"/><Relationship Id="rId13" Type="http://schemas.openxmlformats.org/officeDocument/2006/relationships/hyperlink" Target="#'K2 GZ'!A1"/><Relationship Id="rId18" Type="http://schemas.openxmlformats.org/officeDocument/2006/relationships/image" Target="../media/image10.png"/><Relationship Id="rId39" Type="http://schemas.openxmlformats.org/officeDocument/2006/relationships/hyperlink" Target="#KALKULATION!A489"/></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8" Type="http://schemas.openxmlformats.org/officeDocument/2006/relationships/image" Target="../media/image36.png"/><Relationship Id="rId3" Type="http://schemas.openxmlformats.org/officeDocument/2006/relationships/hyperlink" Target="#KALKULATION!D14"/><Relationship Id="rId7" Type="http://schemas.openxmlformats.org/officeDocument/2006/relationships/hyperlink" Target="#'K2a Z f ...'!A1"/><Relationship Id="rId2" Type="http://schemas.openxmlformats.org/officeDocument/2006/relationships/image" Target="../media/image35.emf"/><Relationship Id="rId1" Type="http://schemas.openxmlformats.org/officeDocument/2006/relationships/hyperlink" Target="#'K2a Z f ...'!E6"/><Relationship Id="rId6" Type="http://schemas.openxmlformats.org/officeDocument/2006/relationships/image" Target="../media/image16.png"/><Relationship Id="rId5" Type="http://schemas.openxmlformats.org/officeDocument/2006/relationships/hyperlink" Target="#KALKULATION!F345"/><Relationship Id="rId4" Type="http://schemas.openxmlformats.org/officeDocument/2006/relationships/image" Target="../media/image27.png"/></Relationships>
</file>

<file path=xl/drawings/_rels/drawing5.xml.rels><?xml version="1.0" encoding="UTF-8" standalone="yes"?>
<Relationships xmlns="http://schemas.openxmlformats.org/package/2006/relationships"><Relationship Id="rId2" Type="http://schemas.openxmlformats.org/officeDocument/2006/relationships/image" Target="../media/image32.png"/><Relationship Id="rId1" Type="http://schemas.openxmlformats.org/officeDocument/2006/relationships/hyperlink" Target="#'K2 GZ'!A1"/></Relationships>
</file>

<file path=xl/drawings/_rels/drawing6.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hyperlink" Target="#KALKULATION!A1"/></Relationships>
</file>

<file path=xl/drawings/_rels/drawing7.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hyperlink" Target="#KALKULATION!A421"/></Relationships>
</file>

<file path=xl/drawings/_rels/drawing8.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hyperlink" Target="#KALKULATION!D486"/></Relationships>
</file>

<file path=xl/drawings/_rels/drawing9.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hyperlink" Target="#KALKULATION!D554"/></Relationships>
</file>

<file path=xl/drawings/drawing1.xml><?xml version="1.0" encoding="utf-8"?>
<xdr:wsDr xmlns:xdr="http://schemas.openxmlformats.org/drawingml/2006/spreadsheetDrawing" xmlns:a="http://schemas.openxmlformats.org/drawingml/2006/main">
  <xdr:twoCellAnchor editAs="oneCell">
    <xdr:from>
      <xdr:col>0</xdr:col>
      <xdr:colOff>309563</xdr:colOff>
      <xdr:row>170</xdr:row>
      <xdr:rowOff>101656</xdr:rowOff>
    </xdr:from>
    <xdr:to>
      <xdr:col>3</xdr:col>
      <xdr:colOff>838201</xdr:colOff>
      <xdr:row>180</xdr:row>
      <xdr:rowOff>109537</xdr:rowOff>
    </xdr:to>
    <xdr:pic>
      <xdr:nvPicPr>
        <xdr:cNvPr id="3" name="Grafik 2">
          <a:extLst>
            <a:ext uri="{FF2B5EF4-FFF2-40B4-BE49-F238E27FC236}">
              <a16:creationId xmlns:a16="http://schemas.microsoft.com/office/drawing/2014/main" id="{CC69CAE5-5E17-4EDD-A03B-6C0FE7665E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9563" y="34991731"/>
          <a:ext cx="3824288" cy="20081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xdr:row>
      <xdr:rowOff>0</xdr:rowOff>
    </xdr:from>
    <xdr:to>
      <xdr:col>4</xdr:col>
      <xdr:colOff>166688</xdr:colOff>
      <xdr:row>4</xdr:row>
      <xdr:rowOff>204787</xdr:rowOff>
    </xdr:to>
    <xdr:pic>
      <xdr:nvPicPr>
        <xdr:cNvPr id="15" name="Grafik 14">
          <a:hlinkClick xmlns:r="http://schemas.openxmlformats.org/officeDocument/2006/relationships" r:id="rId2" tooltip="Zur Seite:  bauwesen.at/k3"/>
          <a:extLst>
            <a:ext uri="{FF2B5EF4-FFF2-40B4-BE49-F238E27FC236}">
              <a16:creationId xmlns:a16="http://schemas.microsoft.com/office/drawing/2014/main" id="{405E5279-DA76-4705-A725-F7AF2A8D1C8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286125" y="800100"/>
          <a:ext cx="1138238" cy="204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32</xdr:row>
      <xdr:rowOff>0</xdr:rowOff>
    </xdr:from>
    <xdr:to>
      <xdr:col>2</xdr:col>
      <xdr:colOff>881063</xdr:colOff>
      <xdr:row>33</xdr:row>
      <xdr:rowOff>4762</xdr:rowOff>
    </xdr:to>
    <xdr:pic>
      <xdr:nvPicPr>
        <xdr:cNvPr id="17" name="Grafik 16">
          <a:hlinkClick xmlns:r="http://schemas.openxmlformats.org/officeDocument/2006/relationships" r:id="rId2" tooltip="Zur Seite:  bauwesen.at/k3"/>
          <a:extLst>
            <a:ext uri="{FF2B5EF4-FFF2-40B4-BE49-F238E27FC236}">
              <a16:creationId xmlns:a16="http://schemas.microsoft.com/office/drawing/2014/main" id="{02731DA4-837E-4700-B11E-FD1289049AE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57400" y="7219950"/>
          <a:ext cx="1138238" cy="204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57150</xdr:colOff>
      <xdr:row>26</xdr:row>
      <xdr:rowOff>38100</xdr:rowOff>
    </xdr:from>
    <xdr:to>
      <xdr:col>2</xdr:col>
      <xdr:colOff>938213</xdr:colOff>
      <xdr:row>26</xdr:row>
      <xdr:rowOff>242887</xdr:rowOff>
    </xdr:to>
    <xdr:pic>
      <xdr:nvPicPr>
        <xdr:cNvPr id="18" name="Grafik 17">
          <a:hlinkClick xmlns:r="http://schemas.openxmlformats.org/officeDocument/2006/relationships" r:id="rId2" tooltip="Zur Seite:  bauwesen.at/k3"/>
          <a:extLst>
            <a:ext uri="{FF2B5EF4-FFF2-40B4-BE49-F238E27FC236}">
              <a16:creationId xmlns:a16="http://schemas.microsoft.com/office/drawing/2014/main" id="{5AC98A24-3C07-4D2E-8D29-1C3B8F87E40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14550" y="9043988"/>
          <a:ext cx="1138238" cy="204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16</xdr:col>
      <xdr:colOff>409575</xdr:colOff>
      <xdr:row>39</xdr:row>
      <xdr:rowOff>80962</xdr:rowOff>
    </xdr:from>
    <xdr:to>
      <xdr:col>19</xdr:col>
      <xdr:colOff>20102</xdr:colOff>
      <xdr:row>39</xdr:row>
      <xdr:rowOff>271462</xdr:rowOff>
    </xdr:to>
    <xdr:pic>
      <xdr:nvPicPr>
        <xdr:cNvPr id="2" name="Grafik 1">
          <a:hlinkClick xmlns:r="http://schemas.openxmlformats.org/officeDocument/2006/relationships" r:id="rId1" tooltip="Zur Kalkulation"/>
          <a:extLst>
            <a:ext uri="{FF2B5EF4-FFF2-40B4-BE49-F238E27FC236}">
              <a16:creationId xmlns:a16="http://schemas.microsoft.com/office/drawing/2014/main" id="{18F0FC61-34A0-46B0-84D0-3E1D245D832B}"/>
            </a:ext>
          </a:extLst>
        </xdr:cNvPr>
        <xdr:cNvPicPr>
          <a:picLocks noChangeAspect="1"/>
        </xdr:cNvPicPr>
      </xdr:nvPicPr>
      <xdr:blipFill>
        <a:blip xmlns:r="http://schemas.openxmlformats.org/officeDocument/2006/relationships" r:embed="rId2"/>
        <a:stretch>
          <a:fillRect/>
        </a:stretch>
      </xdr:blipFill>
      <xdr:spPr>
        <a:xfrm>
          <a:off x="6657975" y="7705725"/>
          <a:ext cx="1158340" cy="190500"/>
        </a:xfrm>
        <a:prstGeom prst="rect">
          <a:avLst/>
        </a:prstGeom>
        <a:ln>
          <a:noFill/>
        </a:ln>
        <a:effectLst>
          <a:outerShdw blurRad="50800" dist="38100" dir="5400000" algn="t" rotWithShape="0">
            <a:prstClr val="black">
              <a:alpha val="40000"/>
            </a:prstClr>
          </a:outerShdw>
        </a:effec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16</xdr:col>
      <xdr:colOff>485775</xdr:colOff>
      <xdr:row>39</xdr:row>
      <xdr:rowOff>90488</xdr:rowOff>
    </xdr:from>
    <xdr:to>
      <xdr:col>19</xdr:col>
      <xdr:colOff>23813</xdr:colOff>
      <xdr:row>39</xdr:row>
      <xdr:rowOff>285751</xdr:rowOff>
    </xdr:to>
    <xdr:pic>
      <xdr:nvPicPr>
        <xdr:cNvPr id="3" name="Grafik 2">
          <a:hlinkClick xmlns:r="http://schemas.openxmlformats.org/officeDocument/2006/relationships" r:id="rId1" tooltip="Zur Regiekalkulation"/>
          <a:extLst>
            <a:ext uri="{FF2B5EF4-FFF2-40B4-BE49-F238E27FC236}">
              <a16:creationId xmlns:a16="http://schemas.microsoft.com/office/drawing/2014/main" id="{71355D26-F533-4784-8B8F-56B7D04B16C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34175" y="7724776"/>
          <a:ext cx="1162051" cy="195263"/>
        </a:xfrm>
        <a:prstGeom prst="rect">
          <a:avLst/>
        </a:prstGeom>
        <a:ln>
          <a:noFill/>
        </a:ln>
        <a:effectLst>
          <a:outerShdw blurRad="50800" dist="38100" dir="5400000" algn="t"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17</xdr:col>
      <xdr:colOff>85725</xdr:colOff>
      <xdr:row>39</xdr:row>
      <xdr:rowOff>57150</xdr:rowOff>
    </xdr:from>
    <xdr:to>
      <xdr:col>19</xdr:col>
      <xdr:colOff>111924</xdr:colOff>
      <xdr:row>39</xdr:row>
      <xdr:rowOff>252239</xdr:rowOff>
    </xdr:to>
    <xdr:pic>
      <xdr:nvPicPr>
        <xdr:cNvPr id="3" name="Grafik 2">
          <a:hlinkClick xmlns:r="http://schemas.openxmlformats.org/officeDocument/2006/relationships" r:id="rId1"/>
          <a:extLst>
            <a:ext uri="{FF2B5EF4-FFF2-40B4-BE49-F238E27FC236}">
              <a16:creationId xmlns:a16="http://schemas.microsoft.com/office/drawing/2014/main" id="{141117CD-6F8D-487B-937D-511125E37395}"/>
            </a:ext>
          </a:extLst>
        </xdr:cNvPr>
        <xdr:cNvPicPr>
          <a:picLocks noChangeAspect="1"/>
        </xdr:cNvPicPr>
      </xdr:nvPicPr>
      <xdr:blipFill>
        <a:blip xmlns:r="http://schemas.openxmlformats.org/officeDocument/2006/relationships" r:embed="rId2"/>
        <a:stretch>
          <a:fillRect/>
        </a:stretch>
      </xdr:blipFill>
      <xdr:spPr>
        <a:xfrm>
          <a:off x="6600825" y="7691438"/>
          <a:ext cx="1164437" cy="195089"/>
        </a:xfrm>
        <a:prstGeom prst="rect">
          <a:avLst/>
        </a:prstGeom>
        <a:ln>
          <a:noFill/>
        </a:ln>
        <a:effectLst>
          <a:outerShdw blurRad="50800" dist="38100" dir="5400000" algn="t" rotWithShape="0">
            <a:prstClr val="black">
              <a:alpha val="40000"/>
            </a:prstClr>
          </a:outerShdw>
        </a:effec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2</xdr:col>
      <xdr:colOff>4763</xdr:colOff>
      <xdr:row>4</xdr:row>
      <xdr:rowOff>14288</xdr:rowOff>
    </xdr:to>
    <xdr:pic>
      <xdr:nvPicPr>
        <xdr:cNvPr id="4" name="Grafik 3">
          <a:extLst>
            <a:ext uri="{FF2B5EF4-FFF2-40B4-BE49-F238E27FC236}">
              <a16:creationId xmlns:a16="http://schemas.microsoft.com/office/drawing/2014/main" id="{22F3C7D0-C1A8-4888-8FEF-2D1C9FC677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400" y="571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2</xdr:col>
      <xdr:colOff>4763</xdr:colOff>
      <xdr:row>5</xdr:row>
      <xdr:rowOff>14288</xdr:rowOff>
    </xdr:to>
    <xdr:pic>
      <xdr:nvPicPr>
        <xdr:cNvPr id="5" name="Grafik 4">
          <a:extLst>
            <a:ext uri="{FF2B5EF4-FFF2-40B4-BE49-F238E27FC236}">
              <a16:creationId xmlns:a16="http://schemas.microsoft.com/office/drawing/2014/main" id="{505AF2E9-4886-4795-B97E-8E7455D44D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762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2</xdr:col>
      <xdr:colOff>4763</xdr:colOff>
      <xdr:row>6</xdr:row>
      <xdr:rowOff>14288</xdr:rowOff>
    </xdr:to>
    <xdr:pic>
      <xdr:nvPicPr>
        <xdr:cNvPr id="6" name="Grafik 5">
          <a:extLst>
            <a:ext uri="{FF2B5EF4-FFF2-40B4-BE49-F238E27FC236}">
              <a16:creationId xmlns:a16="http://schemas.microsoft.com/office/drawing/2014/main" id="{B36140AA-93F1-4CF7-997D-0A76318350B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14400" y="952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xdr:row>
      <xdr:rowOff>0</xdr:rowOff>
    </xdr:from>
    <xdr:to>
      <xdr:col>2</xdr:col>
      <xdr:colOff>4763</xdr:colOff>
      <xdr:row>8</xdr:row>
      <xdr:rowOff>14288</xdr:rowOff>
    </xdr:to>
    <xdr:pic>
      <xdr:nvPicPr>
        <xdr:cNvPr id="7" name="Grafik 6">
          <a:extLst>
            <a:ext uri="{FF2B5EF4-FFF2-40B4-BE49-F238E27FC236}">
              <a16:creationId xmlns:a16="http://schemas.microsoft.com/office/drawing/2014/main" id="{99B17BE1-4B21-46B0-99BC-ACD2E233359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14400" y="1333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xdr:row>
      <xdr:rowOff>0</xdr:rowOff>
    </xdr:from>
    <xdr:to>
      <xdr:col>2</xdr:col>
      <xdr:colOff>4763</xdr:colOff>
      <xdr:row>10</xdr:row>
      <xdr:rowOff>14288</xdr:rowOff>
    </xdr:to>
    <xdr:pic>
      <xdr:nvPicPr>
        <xdr:cNvPr id="8" name="Grafik 7">
          <a:extLst>
            <a:ext uri="{FF2B5EF4-FFF2-40B4-BE49-F238E27FC236}">
              <a16:creationId xmlns:a16="http://schemas.microsoft.com/office/drawing/2014/main" id="{7727004E-20AA-4FD0-A1A3-5897BFB6BA9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14400" y="1714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xdr:row>
      <xdr:rowOff>0</xdr:rowOff>
    </xdr:from>
    <xdr:to>
      <xdr:col>4</xdr:col>
      <xdr:colOff>4763</xdr:colOff>
      <xdr:row>2</xdr:row>
      <xdr:rowOff>14288</xdr:rowOff>
    </xdr:to>
    <xdr:pic>
      <xdr:nvPicPr>
        <xdr:cNvPr id="9" name="Grafik 8">
          <a:extLst>
            <a:ext uri="{FF2B5EF4-FFF2-40B4-BE49-F238E27FC236}">
              <a16:creationId xmlns:a16="http://schemas.microsoft.com/office/drawing/2014/main" id="{15D26C90-F335-4BD8-B958-0477C30F82B6}"/>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228975" y="190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xdr:row>
      <xdr:rowOff>0</xdr:rowOff>
    </xdr:from>
    <xdr:to>
      <xdr:col>4</xdr:col>
      <xdr:colOff>4763</xdr:colOff>
      <xdr:row>3</xdr:row>
      <xdr:rowOff>14288</xdr:rowOff>
    </xdr:to>
    <xdr:pic>
      <xdr:nvPicPr>
        <xdr:cNvPr id="10" name="Grafik 9">
          <a:extLst>
            <a:ext uri="{FF2B5EF4-FFF2-40B4-BE49-F238E27FC236}">
              <a16:creationId xmlns:a16="http://schemas.microsoft.com/office/drawing/2014/main" id="{A474A7FF-F6CB-4BDD-9B44-46C85C83E359}"/>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228975" y="381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xdr:row>
      <xdr:rowOff>0</xdr:rowOff>
    </xdr:from>
    <xdr:to>
      <xdr:col>4</xdr:col>
      <xdr:colOff>4763</xdr:colOff>
      <xdr:row>4</xdr:row>
      <xdr:rowOff>14288</xdr:rowOff>
    </xdr:to>
    <xdr:pic>
      <xdr:nvPicPr>
        <xdr:cNvPr id="11" name="Grafik 10">
          <a:extLst>
            <a:ext uri="{FF2B5EF4-FFF2-40B4-BE49-F238E27FC236}">
              <a16:creationId xmlns:a16="http://schemas.microsoft.com/office/drawing/2014/main" id="{159006E7-8D5C-4640-B501-93C48A2B26C7}"/>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228975" y="571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xdr:row>
      <xdr:rowOff>0</xdr:rowOff>
    </xdr:from>
    <xdr:to>
      <xdr:col>4</xdr:col>
      <xdr:colOff>4763</xdr:colOff>
      <xdr:row>5</xdr:row>
      <xdr:rowOff>14288</xdr:rowOff>
    </xdr:to>
    <xdr:pic>
      <xdr:nvPicPr>
        <xdr:cNvPr id="12" name="Grafik 11">
          <a:extLst>
            <a:ext uri="{FF2B5EF4-FFF2-40B4-BE49-F238E27FC236}">
              <a16:creationId xmlns:a16="http://schemas.microsoft.com/office/drawing/2014/main" id="{20F0ABB1-0C95-4A29-9056-0CB99837D474}"/>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228975" y="762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xdr:row>
      <xdr:rowOff>0</xdr:rowOff>
    </xdr:from>
    <xdr:to>
      <xdr:col>4</xdr:col>
      <xdr:colOff>4763</xdr:colOff>
      <xdr:row>6</xdr:row>
      <xdr:rowOff>14288</xdr:rowOff>
    </xdr:to>
    <xdr:pic>
      <xdr:nvPicPr>
        <xdr:cNvPr id="13" name="Grafik 12">
          <a:extLst>
            <a:ext uri="{FF2B5EF4-FFF2-40B4-BE49-F238E27FC236}">
              <a16:creationId xmlns:a16="http://schemas.microsoft.com/office/drawing/2014/main" id="{5B249F09-3683-428D-BCB8-237BA2CF44D1}"/>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228975" y="952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xdr:row>
      <xdr:rowOff>0</xdr:rowOff>
    </xdr:from>
    <xdr:to>
      <xdr:col>4</xdr:col>
      <xdr:colOff>4763</xdr:colOff>
      <xdr:row>7</xdr:row>
      <xdr:rowOff>14288</xdr:rowOff>
    </xdr:to>
    <xdr:pic>
      <xdr:nvPicPr>
        <xdr:cNvPr id="14" name="Grafik 13">
          <a:extLst>
            <a:ext uri="{FF2B5EF4-FFF2-40B4-BE49-F238E27FC236}">
              <a16:creationId xmlns:a16="http://schemas.microsoft.com/office/drawing/2014/main" id="{5593221D-9EAB-4F9C-AD5B-7EA8BAFDA7F9}"/>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3228975" y="1143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7</xdr:row>
      <xdr:rowOff>0</xdr:rowOff>
    </xdr:from>
    <xdr:to>
      <xdr:col>4</xdr:col>
      <xdr:colOff>4763</xdr:colOff>
      <xdr:row>8</xdr:row>
      <xdr:rowOff>14288</xdr:rowOff>
    </xdr:to>
    <xdr:pic>
      <xdr:nvPicPr>
        <xdr:cNvPr id="15" name="Grafik 14">
          <a:extLst>
            <a:ext uri="{FF2B5EF4-FFF2-40B4-BE49-F238E27FC236}">
              <a16:creationId xmlns:a16="http://schemas.microsoft.com/office/drawing/2014/main" id="{8787B497-D9E8-43DE-BC98-F544D3E1D196}"/>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3228975" y="1333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8</xdr:row>
      <xdr:rowOff>0</xdr:rowOff>
    </xdr:from>
    <xdr:to>
      <xdr:col>4</xdr:col>
      <xdr:colOff>4763</xdr:colOff>
      <xdr:row>9</xdr:row>
      <xdr:rowOff>14288</xdr:rowOff>
    </xdr:to>
    <xdr:pic>
      <xdr:nvPicPr>
        <xdr:cNvPr id="16" name="Grafik 15">
          <a:extLst>
            <a:ext uri="{FF2B5EF4-FFF2-40B4-BE49-F238E27FC236}">
              <a16:creationId xmlns:a16="http://schemas.microsoft.com/office/drawing/2014/main" id="{47719A59-5630-4773-9F9F-C0960BC20A49}"/>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228975" y="1524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9</xdr:row>
      <xdr:rowOff>0</xdr:rowOff>
    </xdr:from>
    <xdr:to>
      <xdr:col>4</xdr:col>
      <xdr:colOff>4763</xdr:colOff>
      <xdr:row>10</xdr:row>
      <xdr:rowOff>14288</xdr:rowOff>
    </xdr:to>
    <xdr:pic>
      <xdr:nvPicPr>
        <xdr:cNvPr id="17" name="Grafik 16">
          <a:extLst>
            <a:ext uri="{FF2B5EF4-FFF2-40B4-BE49-F238E27FC236}">
              <a16:creationId xmlns:a16="http://schemas.microsoft.com/office/drawing/2014/main" id="{C7FDB3FA-C490-4C06-8624-EACCF8A105C9}"/>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3228975" y="1714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19</xdr:row>
      <xdr:rowOff>0</xdr:rowOff>
    </xdr:from>
    <xdr:to>
      <xdr:col>4</xdr:col>
      <xdr:colOff>4763</xdr:colOff>
      <xdr:row>20</xdr:row>
      <xdr:rowOff>14288</xdr:rowOff>
    </xdr:to>
    <xdr:pic>
      <xdr:nvPicPr>
        <xdr:cNvPr id="24" name="Grafik 23">
          <a:extLst>
            <a:ext uri="{FF2B5EF4-FFF2-40B4-BE49-F238E27FC236}">
              <a16:creationId xmlns:a16="http://schemas.microsoft.com/office/drawing/2014/main" id="{30B680D9-405B-46CB-914F-21C2B4492B08}"/>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3228975" y="3619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11</xdr:row>
      <xdr:rowOff>0</xdr:rowOff>
    </xdr:from>
    <xdr:to>
      <xdr:col>4</xdr:col>
      <xdr:colOff>4763</xdr:colOff>
      <xdr:row>12</xdr:row>
      <xdr:rowOff>14288</xdr:rowOff>
    </xdr:to>
    <xdr:pic>
      <xdr:nvPicPr>
        <xdr:cNvPr id="25" name="Grafik 24">
          <a:extLst>
            <a:ext uri="{FF2B5EF4-FFF2-40B4-BE49-F238E27FC236}">
              <a16:creationId xmlns:a16="http://schemas.microsoft.com/office/drawing/2014/main" id="{5FB43DE5-CFAE-4EBA-9A47-08AA0331DB99}"/>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3228975" y="2095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16</xdr:row>
      <xdr:rowOff>0</xdr:rowOff>
    </xdr:from>
    <xdr:to>
      <xdr:col>4</xdr:col>
      <xdr:colOff>4763</xdr:colOff>
      <xdr:row>17</xdr:row>
      <xdr:rowOff>14288</xdr:rowOff>
    </xdr:to>
    <xdr:pic>
      <xdr:nvPicPr>
        <xdr:cNvPr id="29" name="Grafik 28">
          <a:extLst>
            <a:ext uri="{FF2B5EF4-FFF2-40B4-BE49-F238E27FC236}">
              <a16:creationId xmlns:a16="http://schemas.microsoft.com/office/drawing/2014/main" id="{0CA58DB4-F5D5-4DF3-9913-E8E5C8B468B8}"/>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3228975" y="3048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2</xdr:col>
      <xdr:colOff>4763</xdr:colOff>
      <xdr:row>2</xdr:row>
      <xdr:rowOff>14288</xdr:rowOff>
    </xdr:to>
    <xdr:pic>
      <xdr:nvPicPr>
        <xdr:cNvPr id="31" name="Grafik 30">
          <a:extLst>
            <a:ext uri="{FF2B5EF4-FFF2-40B4-BE49-F238E27FC236}">
              <a16:creationId xmlns:a16="http://schemas.microsoft.com/office/drawing/2014/main" id="{28B05D48-0D4E-471D-A3D1-4DDFD98B8E7B}"/>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914400" y="190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xdr:row>
      <xdr:rowOff>0</xdr:rowOff>
    </xdr:from>
    <xdr:to>
      <xdr:col>2</xdr:col>
      <xdr:colOff>4763</xdr:colOff>
      <xdr:row>3</xdr:row>
      <xdr:rowOff>14288</xdr:rowOff>
    </xdr:to>
    <xdr:pic>
      <xdr:nvPicPr>
        <xdr:cNvPr id="32" name="Grafik 31">
          <a:extLst>
            <a:ext uri="{FF2B5EF4-FFF2-40B4-BE49-F238E27FC236}">
              <a16:creationId xmlns:a16="http://schemas.microsoft.com/office/drawing/2014/main" id="{50EA39EF-4979-4395-B618-5ED2DB6798AC}"/>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914400" y="381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18</xdr:row>
      <xdr:rowOff>0</xdr:rowOff>
    </xdr:from>
    <xdr:to>
      <xdr:col>4</xdr:col>
      <xdr:colOff>4763</xdr:colOff>
      <xdr:row>19</xdr:row>
      <xdr:rowOff>14288</xdr:rowOff>
    </xdr:to>
    <xdr:pic>
      <xdr:nvPicPr>
        <xdr:cNvPr id="35" name="Grafik 34">
          <a:extLst>
            <a:ext uri="{FF2B5EF4-FFF2-40B4-BE49-F238E27FC236}">
              <a16:creationId xmlns:a16="http://schemas.microsoft.com/office/drawing/2014/main" id="{C7A591CF-3671-4F65-85F4-0CBF743CE972}"/>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3228975" y="3429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17</xdr:row>
      <xdr:rowOff>0</xdr:rowOff>
    </xdr:from>
    <xdr:to>
      <xdr:col>4</xdr:col>
      <xdr:colOff>4763</xdr:colOff>
      <xdr:row>18</xdr:row>
      <xdr:rowOff>14288</xdr:rowOff>
    </xdr:to>
    <xdr:pic>
      <xdr:nvPicPr>
        <xdr:cNvPr id="36" name="Grafik 35">
          <a:extLst>
            <a:ext uri="{FF2B5EF4-FFF2-40B4-BE49-F238E27FC236}">
              <a16:creationId xmlns:a16="http://schemas.microsoft.com/office/drawing/2014/main" id="{6451DE5F-315B-423F-ACE5-A084438A27D6}"/>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3228975" y="3238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15</xdr:row>
      <xdr:rowOff>0</xdr:rowOff>
    </xdr:from>
    <xdr:to>
      <xdr:col>4</xdr:col>
      <xdr:colOff>4763</xdr:colOff>
      <xdr:row>16</xdr:row>
      <xdr:rowOff>14288</xdr:rowOff>
    </xdr:to>
    <xdr:pic>
      <xdr:nvPicPr>
        <xdr:cNvPr id="38" name="Grafik 37">
          <a:extLst>
            <a:ext uri="{FF2B5EF4-FFF2-40B4-BE49-F238E27FC236}">
              <a16:creationId xmlns:a16="http://schemas.microsoft.com/office/drawing/2014/main" id="{CF84B677-BCDF-448F-BD7E-F6D8C95E2C63}"/>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3228975" y="2857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14</xdr:row>
      <xdr:rowOff>0</xdr:rowOff>
    </xdr:from>
    <xdr:to>
      <xdr:col>4</xdr:col>
      <xdr:colOff>4763</xdr:colOff>
      <xdr:row>15</xdr:row>
      <xdr:rowOff>14288</xdr:rowOff>
    </xdr:to>
    <xdr:pic>
      <xdr:nvPicPr>
        <xdr:cNvPr id="39" name="Grafik 38">
          <a:extLst>
            <a:ext uri="{FF2B5EF4-FFF2-40B4-BE49-F238E27FC236}">
              <a16:creationId xmlns:a16="http://schemas.microsoft.com/office/drawing/2014/main" id="{71770254-2FB0-4D50-943D-DD63EEC3A9C7}"/>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3228975" y="2667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13</xdr:row>
      <xdr:rowOff>0</xdr:rowOff>
    </xdr:from>
    <xdr:to>
      <xdr:col>4</xdr:col>
      <xdr:colOff>4763</xdr:colOff>
      <xdr:row>14</xdr:row>
      <xdr:rowOff>14288</xdr:rowOff>
    </xdr:to>
    <xdr:pic>
      <xdr:nvPicPr>
        <xdr:cNvPr id="40" name="Grafik 39">
          <a:extLst>
            <a:ext uri="{FF2B5EF4-FFF2-40B4-BE49-F238E27FC236}">
              <a16:creationId xmlns:a16="http://schemas.microsoft.com/office/drawing/2014/main" id="{56F46467-8986-47B8-9B25-A31DF3782C62}"/>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3228975" y="2476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xdr:row>
      <xdr:rowOff>0</xdr:rowOff>
    </xdr:from>
    <xdr:to>
      <xdr:col>2</xdr:col>
      <xdr:colOff>4763</xdr:colOff>
      <xdr:row>7</xdr:row>
      <xdr:rowOff>14288</xdr:rowOff>
    </xdr:to>
    <xdr:pic>
      <xdr:nvPicPr>
        <xdr:cNvPr id="41" name="Grafik 40">
          <a:extLst>
            <a:ext uri="{FF2B5EF4-FFF2-40B4-BE49-F238E27FC236}">
              <a16:creationId xmlns:a16="http://schemas.microsoft.com/office/drawing/2014/main" id="{73231E63-0764-48FE-A8D0-BA1B22899014}"/>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914400" y="1143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6</xdr:row>
      <xdr:rowOff>0</xdr:rowOff>
    </xdr:from>
    <xdr:to>
      <xdr:col>6</xdr:col>
      <xdr:colOff>4763</xdr:colOff>
      <xdr:row>7</xdr:row>
      <xdr:rowOff>23813</xdr:rowOff>
    </xdr:to>
    <xdr:pic>
      <xdr:nvPicPr>
        <xdr:cNvPr id="60" name="Grafik 59">
          <a:extLst>
            <a:ext uri="{FF2B5EF4-FFF2-40B4-BE49-F238E27FC236}">
              <a16:creationId xmlns:a16="http://schemas.microsoft.com/office/drawing/2014/main" id="{A37EFC8E-4F0E-4EB4-AA75-01977F83FE9C}"/>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5300663" y="1152525"/>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7</xdr:row>
      <xdr:rowOff>0</xdr:rowOff>
    </xdr:from>
    <xdr:to>
      <xdr:col>6</xdr:col>
      <xdr:colOff>4763</xdr:colOff>
      <xdr:row>8</xdr:row>
      <xdr:rowOff>23813</xdr:rowOff>
    </xdr:to>
    <xdr:pic>
      <xdr:nvPicPr>
        <xdr:cNvPr id="61" name="Grafik 60">
          <a:extLst>
            <a:ext uri="{FF2B5EF4-FFF2-40B4-BE49-F238E27FC236}">
              <a16:creationId xmlns:a16="http://schemas.microsoft.com/office/drawing/2014/main" id="{BD35B788-DA04-45ED-B358-8541B6246BE6}"/>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5300663" y="1352550"/>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8</xdr:row>
      <xdr:rowOff>0</xdr:rowOff>
    </xdr:from>
    <xdr:to>
      <xdr:col>6</xdr:col>
      <xdr:colOff>4763</xdr:colOff>
      <xdr:row>9</xdr:row>
      <xdr:rowOff>23813</xdr:rowOff>
    </xdr:to>
    <xdr:pic>
      <xdr:nvPicPr>
        <xdr:cNvPr id="62" name="Grafik 61">
          <a:extLst>
            <a:ext uri="{FF2B5EF4-FFF2-40B4-BE49-F238E27FC236}">
              <a16:creationId xmlns:a16="http://schemas.microsoft.com/office/drawing/2014/main" id="{F017F56B-0206-4C02-BD5E-2F498F883207}"/>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5300663" y="1552575"/>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9</xdr:row>
      <xdr:rowOff>0</xdr:rowOff>
    </xdr:from>
    <xdr:to>
      <xdr:col>6</xdr:col>
      <xdr:colOff>4763</xdr:colOff>
      <xdr:row>10</xdr:row>
      <xdr:rowOff>23813</xdr:rowOff>
    </xdr:to>
    <xdr:pic>
      <xdr:nvPicPr>
        <xdr:cNvPr id="63" name="Grafik 62">
          <a:extLst>
            <a:ext uri="{FF2B5EF4-FFF2-40B4-BE49-F238E27FC236}">
              <a16:creationId xmlns:a16="http://schemas.microsoft.com/office/drawing/2014/main" id="{51E15E43-4A37-4093-8227-3AA3043F1605}"/>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5300663" y="1752600"/>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10</xdr:row>
      <xdr:rowOff>0</xdr:rowOff>
    </xdr:from>
    <xdr:to>
      <xdr:col>6</xdr:col>
      <xdr:colOff>4763</xdr:colOff>
      <xdr:row>11</xdr:row>
      <xdr:rowOff>23813</xdr:rowOff>
    </xdr:to>
    <xdr:pic>
      <xdr:nvPicPr>
        <xdr:cNvPr id="64" name="Grafik 63">
          <a:extLst>
            <a:ext uri="{FF2B5EF4-FFF2-40B4-BE49-F238E27FC236}">
              <a16:creationId xmlns:a16="http://schemas.microsoft.com/office/drawing/2014/main" id="{016E7B87-023E-49DA-AE49-FED68311E63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5300663" y="1952625"/>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11</xdr:row>
      <xdr:rowOff>0</xdr:rowOff>
    </xdr:from>
    <xdr:to>
      <xdr:col>6</xdr:col>
      <xdr:colOff>4763</xdr:colOff>
      <xdr:row>12</xdr:row>
      <xdr:rowOff>23813</xdr:rowOff>
    </xdr:to>
    <xdr:pic>
      <xdr:nvPicPr>
        <xdr:cNvPr id="65" name="Grafik 64">
          <a:extLst>
            <a:ext uri="{FF2B5EF4-FFF2-40B4-BE49-F238E27FC236}">
              <a16:creationId xmlns:a16="http://schemas.microsoft.com/office/drawing/2014/main" id="{E57EFA40-CFBC-4501-AC8E-B1A872F8A43B}"/>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5300663" y="2152650"/>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14</xdr:row>
      <xdr:rowOff>0</xdr:rowOff>
    </xdr:from>
    <xdr:to>
      <xdr:col>2</xdr:col>
      <xdr:colOff>4763</xdr:colOff>
      <xdr:row>15</xdr:row>
      <xdr:rowOff>4763</xdr:rowOff>
    </xdr:to>
    <xdr:pic>
      <xdr:nvPicPr>
        <xdr:cNvPr id="33" name="Grafik 32">
          <a:extLst>
            <a:ext uri="{FF2B5EF4-FFF2-40B4-BE49-F238E27FC236}">
              <a16:creationId xmlns:a16="http://schemas.microsoft.com/office/drawing/2014/main" id="{1A0C9988-9B57-403C-AE97-DE11DBEF8A73}"/>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914400" y="2533650"/>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15</xdr:row>
      <xdr:rowOff>0</xdr:rowOff>
    </xdr:from>
    <xdr:to>
      <xdr:col>2</xdr:col>
      <xdr:colOff>4763</xdr:colOff>
      <xdr:row>16</xdr:row>
      <xdr:rowOff>4763</xdr:rowOff>
    </xdr:to>
    <xdr:pic>
      <xdr:nvPicPr>
        <xdr:cNvPr id="34" name="Grafik 33">
          <a:extLst>
            <a:ext uri="{FF2B5EF4-FFF2-40B4-BE49-F238E27FC236}">
              <a16:creationId xmlns:a16="http://schemas.microsoft.com/office/drawing/2014/main" id="{7DA7C84A-8F9C-4FED-A47C-6D980B1993C8}"/>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914400" y="2714625"/>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xdr:row>
      <xdr:rowOff>0</xdr:rowOff>
    </xdr:from>
    <xdr:to>
      <xdr:col>2</xdr:col>
      <xdr:colOff>4763</xdr:colOff>
      <xdr:row>17</xdr:row>
      <xdr:rowOff>4763</xdr:rowOff>
    </xdr:to>
    <xdr:pic>
      <xdr:nvPicPr>
        <xdr:cNvPr id="37" name="Grafik 36">
          <a:extLst>
            <a:ext uri="{FF2B5EF4-FFF2-40B4-BE49-F238E27FC236}">
              <a16:creationId xmlns:a16="http://schemas.microsoft.com/office/drawing/2014/main" id="{B477D27C-E21C-4DDD-907E-1CDA217CCB91}"/>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914400" y="2895600"/>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17</xdr:row>
      <xdr:rowOff>0</xdr:rowOff>
    </xdr:from>
    <xdr:to>
      <xdr:col>2</xdr:col>
      <xdr:colOff>4763</xdr:colOff>
      <xdr:row>18</xdr:row>
      <xdr:rowOff>4763</xdr:rowOff>
    </xdr:to>
    <xdr:pic>
      <xdr:nvPicPr>
        <xdr:cNvPr id="42" name="Grafik 41">
          <a:extLst>
            <a:ext uri="{FF2B5EF4-FFF2-40B4-BE49-F238E27FC236}">
              <a16:creationId xmlns:a16="http://schemas.microsoft.com/office/drawing/2014/main" id="{C33F9032-FFAF-4C6A-AD50-27BFE1DE92AD}"/>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914400" y="3076575"/>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18</xdr:row>
      <xdr:rowOff>0</xdr:rowOff>
    </xdr:from>
    <xdr:to>
      <xdr:col>2</xdr:col>
      <xdr:colOff>4763</xdr:colOff>
      <xdr:row>19</xdr:row>
      <xdr:rowOff>4763</xdr:rowOff>
    </xdr:to>
    <xdr:pic>
      <xdr:nvPicPr>
        <xdr:cNvPr id="43" name="Grafik 42">
          <a:extLst>
            <a:ext uri="{FF2B5EF4-FFF2-40B4-BE49-F238E27FC236}">
              <a16:creationId xmlns:a16="http://schemas.microsoft.com/office/drawing/2014/main" id="{F3822D8B-9E57-47B3-B758-576ED5241222}"/>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914400" y="3257550"/>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876300</xdr:colOff>
      <xdr:row>21</xdr:row>
      <xdr:rowOff>71438</xdr:rowOff>
    </xdr:from>
    <xdr:to>
      <xdr:col>1</xdr:col>
      <xdr:colOff>1123951</xdr:colOff>
      <xdr:row>22</xdr:row>
      <xdr:rowOff>76201</xdr:rowOff>
    </xdr:to>
    <xdr:pic>
      <xdr:nvPicPr>
        <xdr:cNvPr id="45" name="Grafik 44">
          <a:extLst>
            <a:ext uri="{FF2B5EF4-FFF2-40B4-BE49-F238E27FC236}">
              <a16:creationId xmlns:a16="http://schemas.microsoft.com/office/drawing/2014/main" id="{3383AA26-38C0-4118-A282-BA5901600245}"/>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876300" y="3871913"/>
          <a:ext cx="1162051"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2</xdr:col>
      <xdr:colOff>4763</xdr:colOff>
      <xdr:row>11</xdr:row>
      <xdr:rowOff>4763</xdr:rowOff>
    </xdr:to>
    <xdr:pic>
      <xdr:nvPicPr>
        <xdr:cNvPr id="44" name="Grafik 43">
          <a:extLst>
            <a:ext uri="{FF2B5EF4-FFF2-40B4-BE49-F238E27FC236}">
              <a16:creationId xmlns:a16="http://schemas.microsoft.com/office/drawing/2014/main" id="{23D0F624-8DF1-49D1-91F0-83F15276FAB8}"/>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914400" y="1809750"/>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22</xdr:row>
      <xdr:rowOff>0</xdr:rowOff>
    </xdr:from>
    <xdr:to>
      <xdr:col>4</xdr:col>
      <xdr:colOff>4763</xdr:colOff>
      <xdr:row>23</xdr:row>
      <xdr:rowOff>4763</xdr:rowOff>
    </xdr:to>
    <xdr:pic>
      <xdr:nvPicPr>
        <xdr:cNvPr id="46" name="Grafik 45">
          <a:extLst>
            <a:ext uri="{FF2B5EF4-FFF2-40B4-BE49-F238E27FC236}">
              <a16:creationId xmlns:a16="http://schemas.microsoft.com/office/drawing/2014/main" id="{F68BC481-4673-43D7-93E3-02C4559101A4}"/>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3228975" y="3981450"/>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24</xdr:row>
      <xdr:rowOff>0</xdr:rowOff>
    </xdr:from>
    <xdr:to>
      <xdr:col>5</xdr:col>
      <xdr:colOff>4763</xdr:colOff>
      <xdr:row>25</xdr:row>
      <xdr:rowOff>4763</xdr:rowOff>
    </xdr:to>
    <xdr:pic>
      <xdr:nvPicPr>
        <xdr:cNvPr id="48" name="Grafik 47">
          <a:extLst>
            <a:ext uri="{FF2B5EF4-FFF2-40B4-BE49-F238E27FC236}">
              <a16:creationId xmlns:a16="http://schemas.microsoft.com/office/drawing/2014/main" id="{F47E16E4-A94E-4A58-B182-EA3CFAC0DC4B}"/>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3228975" y="4343400"/>
          <a:ext cx="20764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180975</xdr:colOff>
      <xdr:row>19</xdr:row>
      <xdr:rowOff>0</xdr:rowOff>
    </xdr:from>
    <xdr:to>
      <xdr:col>6</xdr:col>
      <xdr:colOff>538163</xdr:colOff>
      <xdr:row>19</xdr:row>
      <xdr:rowOff>204787</xdr:rowOff>
    </xdr:to>
    <xdr:pic>
      <xdr:nvPicPr>
        <xdr:cNvPr id="7" name="Grafik 6">
          <a:hlinkClick xmlns:r="http://schemas.openxmlformats.org/officeDocument/2006/relationships" r:id="rId1" tooltip="Zur Seite:  bauwesen.at/k3"/>
          <a:extLst>
            <a:ext uri="{FF2B5EF4-FFF2-40B4-BE49-F238E27FC236}">
              <a16:creationId xmlns:a16="http://schemas.microsoft.com/office/drawing/2014/main" id="{CF9C296F-2F4A-47FE-8BA2-8DC5498ADA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52875" y="3500438"/>
          <a:ext cx="1138238" cy="204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71437</xdr:colOff>
      <xdr:row>750</xdr:row>
      <xdr:rowOff>204787</xdr:rowOff>
    </xdr:from>
    <xdr:to>
      <xdr:col>10</xdr:col>
      <xdr:colOff>1235874</xdr:colOff>
      <xdr:row>751</xdr:row>
      <xdr:rowOff>176039</xdr:rowOff>
    </xdr:to>
    <xdr:pic>
      <xdr:nvPicPr>
        <xdr:cNvPr id="2" name="Grafik 1">
          <a:hlinkClick xmlns:r="http://schemas.openxmlformats.org/officeDocument/2006/relationships" r:id="rId3" tooltip="Zum K3-Blatt"/>
          <a:extLst>
            <a:ext uri="{FF2B5EF4-FFF2-40B4-BE49-F238E27FC236}">
              <a16:creationId xmlns:a16="http://schemas.microsoft.com/office/drawing/2014/main" id="{7AB7EDA4-8E45-4008-B191-8C3679F82967}"/>
            </a:ext>
          </a:extLst>
        </xdr:cNvPr>
        <xdr:cNvPicPr>
          <a:picLocks noChangeAspect="1"/>
        </xdr:cNvPicPr>
      </xdr:nvPicPr>
      <xdr:blipFill>
        <a:blip xmlns:r="http://schemas.openxmlformats.org/officeDocument/2006/relationships" r:embed="rId4"/>
        <a:stretch>
          <a:fillRect/>
        </a:stretch>
      </xdr:blipFill>
      <xdr:spPr>
        <a:xfrm>
          <a:off x="7820025" y="165696900"/>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38101</xdr:colOff>
      <xdr:row>676</xdr:row>
      <xdr:rowOff>204789</xdr:rowOff>
    </xdr:from>
    <xdr:to>
      <xdr:col>10</xdr:col>
      <xdr:colOff>1202538</xdr:colOff>
      <xdr:row>677</xdr:row>
      <xdr:rowOff>176040</xdr:rowOff>
    </xdr:to>
    <xdr:pic>
      <xdr:nvPicPr>
        <xdr:cNvPr id="4" name="Grafik 3">
          <a:hlinkClick xmlns:r="http://schemas.openxmlformats.org/officeDocument/2006/relationships" r:id="rId5" tooltip="Zum K3-Blatt"/>
          <a:extLst>
            <a:ext uri="{FF2B5EF4-FFF2-40B4-BE49-F238E27FC236}">
              <a16:creationId xmlns:a16="http://schemas.microsoft.com/office/drawing/2014/main" id="{A8A34F41-96B2-4C7E-98CA-0E6902A3EA32}"/>
            </a:ext>
          </a:extLst>
        </xdr:cNvPr>
        <xdr:cNvPicPr>
          <a:picLocks noChangeAspect="1"/>
        </xdr:cNvPicPr>
      </xdr:nvPicPr>
      <xdr:blipFill>
        <a:blip xmlns:r="http://schemas.openxmlformats.org/officeDocument/2006/relationships" r:embed="rId6"/>
        <a:stretch>
          <a:fillRect/>
        </a:stretch>
      </xdr:blipFill>
      <xdr:spPr>
        <a:xfrm>
          <a:off x="7786689" y="148766214"/>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61912</xdr:colOff>
      <xdr:row>608</xdr:row>
      <xdr:rowOff>157161</xdr:rowOff>
    </xdr:from>
    <xdr:to>
      <xdr:col>10</xdr:col>
      <xdr:colOff>1226349</xdr:colOff>
      <xdr:row>609</xdr:row>
      <xdr:rowOff>128413</xdr:rowOff>
    </xdr:to>
    <xdr:pic>
      <xdr:nvPicPr>
        <xdr:cNvPr id="6" name="Grafik 5">
          <a:hlinkClick xmlns:r="http://schemas.openxmlformats.org/officeDocument/2006/relationships" r:id="rId7" tooltip="Zum K3-Blatt"/>
          <a:extLst>
            <a:ext uri="{FF2B5EF4-FFF2-40B4-BE49-F238E27FC236}">
              <a16:creationId xmlns:a16="http://schemas.microsoft.com/office/drawing/2014/main" id="{99853D7F-C4FB-43C4-853F-4A1C66A91B62}"/>
            </a:ext>
          </a:extLst>
        </xdr:cNvPr>
        <xdr:cNvPicPr>
          <a:picLocks noChangeAspect="1"/>
        </xdr:cNvPicPr>
      </xdr:nvPicPr>
      <xdr:blipFill>
        <a:blip xmlns:r="http://schemas.openxmlformats.org/officeDocument/2006/relationships" r:embed="rId8"/>
        <a:stretch>
          <a:fillRect/>
        </a:stretch>
      </xdr:blipFill>
      <xdr:spPr>
        <a:xfrm>
          <a:off x="7810500" y="133221411"/>
          <a:ext cx="1164437"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66675</xdr:colOff>
      <xdr:row>540</xdr:row>
      <xdr:rowOff>185737</xdr:rowOff>
    </xdr:from>
    <xdr:to>
      <xdr:col>10</xdr:col>
      <xdr:colOff>1231112</xdr:colOff>
      <xdr:row>541</xdr:row>
      <xdr:rowOff>156987</xdr:rowOff>
    </xdr:to>
    <xdr:pic>
      <xdr:nvPicPr>
        <xdr:cNvPr id="8" name="Grafik 7">
          <a:hlinkClick xmlns:r="http://schemas.openxmlformats.org/officeDocument/2006/relationships" r:id="rId9" tooltip="Zum K3-Blatt"/>
          <a:extLst>
            <a:ext uri="{FF2B5EF4-FFF2-40B4-BE49-F238E27FC236}">
              <a16:creationId xmlns:a16="http://schemas.microsoft.com/office/drawing/2014/main" id="{BEFB4E8A-F953-4BA8-BD25-B0CEDFB99BDC}"/>
            </a:ext>
          </a:extLst>
        </xdr:cNvPr>
        <xdr:cNvPicPr>
          <a:picLocks noChangeAspect="1"/>
        </xdr:cNvPicPr>
      </xdr:nvPicPr>
      <xdr:blipFill>
        <a:blip xmlns:r="http://schemas.openxmlformats.org/officeDocument/2006/relationships" r:embed="rId10"/>
        <a:stretch>
          <a:fillRect/>
        </a:stretch>
      </xdr:blipFill>
      <xdr:spPr>
        <a:xfrm>
          <a:off x="7815263" y="117752812"/>
          <a:ext cx="1164437" cy="195088"/>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19050</xdr:colOff>
      <xdr:row>472</xdr:row>
      <xdr:rowOff>119062</xdr:rowOff>
    </xdr:from>
    <xdr:to>
      <xdr:col>10</xdr:col>
      <xdr:colOff>1183487</xdr:colOff>
      <xdr:row>473</xdr:row>
      <xdr:rowOff>90314</xdr:rowOff>
    </xdr:to>
    <xdr:pic>
      <xdr:nvPicPr>
        <xdr:cNvPr id="10" name="Grafik 9">
          <a:hlinkClick xmlns:r="http://schemas.openxmlformats.org/officeDocument/2006/relationships" r:id="rId11" tooltip="Zum K3-Blatt"/>
          <a:extLst>
            <a:ext uri="{FF2B5EF4-FFF2-40B4-BE49-F238E27FC236}">
              <a16:creationId xmlns:a16="http://schemas.microsoft.com/office/drawing/2014/main" id="{5123DBA6-B7C4-4F52-8C87-934DD18A313F}"/>
            </a:ext>
          </a:extLst>
        </xdr:cNvPr>
        <xdr:cNvPicPr>
          <a:picLocks noChangeAspect="1"/>
        </xdr:cNvPicPr>
      </xdr:nvPicPr>
      <xdr:blipFill>
        <a:blip xmlns:r="http://schemas.openxmlformats.org/officeDocument/2006/relationships" r:embed="rId12"/>
        <a:stretch>
          <a:fillRect/>
        </a:stretch>
      </xdr:blipFill>
      <xdr:spPr>
        <a:xfrm>
          <a:off x="7767638" y="101988937"/>
          <a:ext cx="1164437"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1323975</xdr:colOff>
      <xdr:row>342</xdr:row>
      <xdr:rowOff>66676</xdr:rowOff>
    </xdr:from>
    <xdr:to>
      <xdr:col>10</xdr:col>
      <xdr:colOff>1097761</xdr:colOff>
      <xdr:row>342</xdr:row>
      <xdr:rowOff>261765</xdr:rowOff>
    </xdr:to>
    <xdr:pic>
      <xdr:nvPicPr>
        <xdr:cNvPr id="12" name="Grafik 11">
          <a:hlinkClick xmlns:r="http://schemas.openxmlformats.org/officeDocument/2006/relationships" r:id="rId13" tooltip="Zum K2-Blatt"/>
          <a:extLst>
            <a:ext uri="{FF2B5EF4-FFF2-40B4-BE49-F238E27FC236}">
              <a16:creationId xmlns:a16="http://schemas.microsoft.com/office/drawing/2014/main" id="{69863A5B-F76C-4AC9-9A98-89EA8D2AFEF1}"/>
            </a:ext>
          </a:extLst>
        </xdr:cNvPr>
        <xdr:cNvPicPr>
          <a:picLocks noChangeAspect="1"/>
        </xdr:cNvPicPr>
      </xdr:nvPicPr>
      <xdr:blipFill>
        <a:blip xmlns:r="http://schemas.openxmlformats.org/officeDocument/2006/relationships" r:embed="rId14"/>
        <a:stretch>
          <a:fillRect/>
        </a:stretch>
      </xdr:blipFill>
      <xdr:spPr>
        <a:xfrm>
          <a:off x="7729538" y="80543401"/>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1300162</xdr:colOff>
      <xdr:row>468</xdr:row>
      <xdr:rowOff>33338</xdr:rowOff>
    </xdr:from>
    <xdr:to>
      <xdr:col>10</xdr:col>
      <xdr:colOff>1073948</xdr:colOff>
      <xdr:row>469</xdr:row>
      <xdr:rowOff>4591</xdr:rowOff>
    </xdr:to>
    <xdr:pic>
      <xdr:nvPicPr>
        <xdr:cNvPr id="61" name="Grafik 60">
          <a:hlinkClick xmlns:r="http://schemas.openxmlformats.org/officeDocument/2006/relationships" r:id="rId13" tooltip="Zum K2-Blatt"/>
          <a:extLst>
            <a:ext uri="{FF2B5EF4-FFF2-40B4-BE49-F238E27FC236}">
              <a16:creationId xmlns:a16="http://schemas.microsoft.com/office/drawing/2014/main" id="{9C4F1636-1BC5-450C-9EA5-6B3D0FB51E7C}"/>
            </a:ext>
          </a:extLst>
        </xdr:cNvPr>
        <xdr:cNvPicPr>
          <a:picLocks noChangeAspect="1"/>
        </xdr:cNvPicPr>
      </xdr:nvPicPr>
      <xdr:blipFill>
        <a:blip xmlns:r="http://schemas.openxmlformats.org/officeDocument/2006/relationships" r:embed="rId14"/>
        <a:stretch>
          <a:fillRect/>
        </a:stretch>
      </xdr:blipFill>
      <xdr:spPr>
        <a:xfrm>
          <a:off x="7705725" y="101007863"/>
          <a:ext cx="1164437"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1295399</xdr:colOff>
      <xdr:row>535</xdr:row>
      <xdr:rowOff>152400</xdr:rowOff>
    </xdr:from>
    <xdr:to>
      <xdr:col>10</xdr:col>
      <xdr:colOff>1069185</xdr:colOff>
      <xdr:row>536</xdr:row>
      <xdr:rowOff>123651</xdr:rowOff>
    </xdr:to>
    <xdr:pic>
      <xdr:nvPicPr>
        <xdr:cNvPr id="62" name="Grafik 61">
          <a:hlinkClick xmlns:r="http://schemas.openxmlformats.org/officeDocument/2006/relationships" r:id="rId13" tooltip="Zum K2-Blatt"/>
          <a:extLst>
            <a:ext uri="{FF2B5EF4-FFF2-40B4-BE49-F238E27FC236}">
              <a16:creationId xmlns:a16="http://schemas.microsoft.com/office/drawing/2014/main" id="{D3D5263B-766C-47BB-8E85-01CF6F5191DA}"/>
            </a:ext>
          </a:extLst>
        </xdr:cNvPr>
        <xdr:cNvPicPr>
          <a:picLocks noChangeAspect="1"/>
        </xdr:cNvPicPr>
      </xdr:nvPicPr>
      <xdr:blipFill>
        <a:blip xmlns:r="http://schemas.openxmlformats.org/officeDocument/2006/relationships" r:embed="rId14"/>
        <a:stretch>
          <a:fillRect/>
        </a:stretch>
      </xdr:blipFill>
      <xdr:spPr>
        <a:xfrm>
          <a:off x="7700962" y="116600288"/>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1328736</xdr:colOff>
      <xdr:row>604</xdr:row>
      <xdr:rowOff>33338</xdr:rowOff>
    </xdr:from>
    <xdr:to>
      <xdr:col>10</xdr:col>
      <xdr:colOff>1102522</xdr:colOff>
      <xdr:row>605</xdr:row>
      <xdr:rowOff>4590</xdr:rowOff>
    </xdr:to>
    <xdr:pic>
      <xdr:nvPicPr>
        <xdr:cNvPr id="63" name="Grafik 62">
          <a:hlinkClick xmlns:r="http://schemas.openxmlformats.org/officeDocument/2006/relationships" r:id="rId13" tooltip="Zum K2-Blatt"/>
          <a:extLst>
            <a:ext uri="{FF2B5EF4-FFF2-40B4-BE49-F238E27FC236}">
              <a16:creationId xmlns:a16="http://schemas.microsoft.com/office/drawing/2014/main" id="{EEA8B548-492D-4AF7-BD94-8EA0607A561A}"/>
            </a:ext>
          </a:extLst>
        </xdr:cNvPr>
        <xdr:cNvPicPr>
          <a:picLocks noChangeAspect="1"/>
        </xdr:cNvPicPr>
      </xdr:nvPicPr>
      <xdr:blipFill>
        <a:blip xmlns:r="http://schemas.openxmlformats.org/officeDocument/2006/relationships" r:embed="rId14"/>
        <a:stretch>
          <a:fillRect/>
        </a:stretch>
      </xdr:blipFill>
      <xdr:spPr>
        <a:xfrm>
          <a:off x="7734299" y="132202238"/>
          <a:ext cx="1164437"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19049</xdr:colOff>
      <xdr:row>672</xdr:row>
      <xdr:rowOff>9525</xdr:rowOff>
    </xdr:from>
    <xdr:to>
      <xdr:col>10</xdr:col>
      <xdr:colOff>1183486</xdr:colOff>
      <xdr:row>672</xdr:row>
      <xdr:rowOff>204614</xdr:rowOff>
    </xdr:to>
    <xdr:pic>
      <xdr:nvPicPr>
        <xdr:cNvPr id="64" name="Grafik 63">
          <a:hlinkClick xmlns:r="http://schemas.openxmlformats.org/officeDocument/2006/relationships" r:id="rId13" tooltip="Zum K2-Blatt"/>
          <a:extLst>
            <a:ext uri="{FF2B5EF4-FFF2-40B4-BE49-F238E27FC236}">
              <a16:creationId xmlns:a16="http://schemas.microsoft.com/office/drawing/2014/main" id="{1DEB59A2-8F76-43DE-AE34-0208884DD309}"/>
            </a:ext>
          </a:extLst>
        </xdr:cNvPr>
        <xdr:cNvPicPr>
          <a:picLocks noChangeAspect="1"/>
        </xdr:cNvPicPr>
      </xdr:nvPicPr>
      <xdr:blipFill>
        <a:blip xmlns:r="http://schemas.openxmlformats.org/officeDocument/2006/relationships" r:embed="rId14"/>
        <a:stretch>
          <a:fillRect/>
        </a:stretch>
      </xdr:blipFill>
      <xdr:spPr>
        <a:xfrm>
          <a:off x="7767637" y="147675600"/>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1304923</xdr:colOff>
      <xdr:row>746</xdr:row>
      <xdr:rowOff>14287</xdr:rowOff>
    </xdr:from>
    <xdr:to>
      <xdr:col>10</xdr:col>
      <xdr:colOff>1078709</xdr:colOff>
      <xdr:row>746</xdr:row>
      <xdr:rowOff>209376</xdr:rowOff>
    </xdr:to>
    <xdr:pic>
      <xdr:nvPicPr>
        <xdr:cNvPr id="65" name="Grafik 64">
          <a:hlinkClick xmlns:r="http://schemas.openxmlformats.org/officeDocument/2006/relationships" r:id="rId13" tooltip="Zum K2-Blatt"/>
          <a:extLst>
            <a:ext uri="{FF2B5EF4-FFF2-40B4-BE49-F238E27FC236}">
              <a16:creationId xmlns:a16="http://schemas.microsoft.com/office/drawing/2014/main" id="{E8BE39FD-C5A1-4202-8A6D-FA8089D8A398}"/>
            </a:ext>
          </a:extLst>
        </xdr:cNvPr>
        <xdr:cNvPicPr>
          <a:picLocks noChangeAspect="1"/>
        </xdr:cNvPicPr>
      </xdr:nvPicPr>
      <xdr:blipFill>
        <a:blip xmlns:r="http://schemas.openxmlformats.org/officeDocument/2006/relationships" r:embed="rId14"/>
        <a:stretch>
          <a:fillRect/>
        </a:stretch>
      </xdr:blipFill>
      <xdr:spPr>
        <a:xfrm>
          <a:off x="7710486" y="164611050"/>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0</xdr:col>
      <xdr:colOff>0</xdr:colOff>
      <xdr:row>2</xdr:row>
      <xdr:rowOff>187137</xdr:rowOff>
    </xdr:from>
    <xdr:to>
      <xdr:col>1</xdr:col>
      <xdr:colOff>377290</xdr:colOff>
      <xdr:row>2</xdr:row>
      <xdr:rowOff>382226</xdr:rowOff>
    </xdr:to>
    <xdr:pic>
      <xdr:nvPicPr>
        <xdr:cNvPr id="67" name="Grafik 66">
          <a:hlinkClick xmlns:r="http://schemas.openxmlformats.org/officeDocument/2006/relationships" r:id="rId15" tooltip="Zur Festlegung der Personalstruktur"/>
          <a:extLst>
            <a:ext uri="{FF2B5EF4-FFF2-40B4-BE49-F238E27FC236}">
              <a16:creationId xmlns:a16="http://schemas.microsoft.com/office/drawing/2014/main" id="{5E723FAF-1AAD-4A14-844F-054836025B62}"/>
            </a:ext>
          </a:extLst>
        </xdr:cNvPr>
        <xdr:cNvPicPr>
          <a:picLocks noChangeAspect="1"/>
        </xdr:cNvPicPr>
      </xdr:nvPicPr>
      <xdr:blipFill>
        <a:blip xmlns:r="http://schemas.openxmlformats.org/officeDocument/2006/relationships" r:embed="rId16"/>
        <a:stretch>
          <a:fillRect/>
        </a:stretch>
      </xdr:blipFill>
      <xdr:spPr>
        <a:xfrm>
          <a:off x="0" y="1503829"/>
          <a:ext cx="1156099"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xdr:col>
      <xdr:colOff>569258</xdr:colOff>
      <xdr:row>2</xdr:row>
      <xdr:rowOff>173129</xdr:rowOff>
    </xdr:from>
    <xdr:to>
      <xdr:col>3</xdr:col>
      <xdr:colOff>167739</xdr:colOff>
      <xdr:row>2</xdr:row>
      <xdr:rowOff>369619</xdr:rowOff>
    </xdr:to>
    <xdr:pic>
      <xdr:nvPicPr>
        <xdr:cNvPr id="68" name="Grafik 67">
          <a:hlinkClick xmlns:r="http://schemas.openxmlformats.org/officeDocument/2006/relationships" r:id="rId17" tooltip="Zur Festlegung von Mehrarbeit"/>
          <a:extLst>
            <a:ext uri="{FF2B5EF4-FFF2-40B4-BE49-F238E27FC236}">
              <a16:creationId xmlns:a16="http://schemas.microsoft.com/office/drawing/2014/main" id="{6DAE5DC4-5DBF-41EB-8395-B43BC792CA9E}"/>
            </a:ext>
          </a:extLst>
        </xdr:cNvPr>
        <xdr:cNvPicPr>
          <a:picLocks noChangeAspect="1"/>
        </xdr:cNvPicPr>
      </xdr:nvPicPr>
      <xdr:blipFill>
        <a:blip xmlns:r="http://schemas.openxmlformats.org/officeDocument/2006/relationships" r:embed="rId18"/>
        <a:stretch>
          <a:fillRect/>
        </a:stretch>
      </xdr:blipFill>
      <xdr:spPr>
        <a:xfrm>
          <a:off x="1348067" y="1489821"/>
          <a:ext cx="1156099"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0</xdr:col>
      <xdr:colOff>0</xdr:colOff>
      <xdr:row>2</xdr:row>
      <xdr:rowOff>564495</xdr:rowOff>
    </xdr:from>
    <xdr:to>
      <xdr:col>1</xdr:col>
      <xdr:colOff>377290</xdr:colOff>
      <xdr:row>3</xdr:row>
      <xdr:rowOff>4589</xdr:rowOff>
    </xdr:to>
    <xdr:pic>
      <xdr:nvPicPr>
        <xdr:cNvPr id="71" name="Grafik 70">
          <a:hlinkClick xmlns:r="http://schemas.openxmlformats.org/officeDocument/2006/relationships" r:id="rId19" tooltip="Zur Festlegung der Zulagen"/>
          <a:extLst>
            <a:ext uri="{FF2B5EF4-FFF2-40B4-BE49-F238E27FC236}">
              <a16:creationId xmlns:a16="http://schemas.microsoft.com/office/drawing/2014/main" id="{7AC7D8BC-B8EE-4A41-AB66-2473DEECDDCF}"/>
            </a:ext>
          </a:extLst>
        </xdr:cNvPr>
        <xdr:cNvPicPr>
          <a:picLocks noChangeAspect="1"/>
        </xdr:cNvPicPr>
      </xdr:nvPicPr>
      <xdr:blipFill>
        <a:blip xmlns:r="http://schemas.openxmlformats.org/officeDocument/2006/relationships" r:embed="rId20"/>
        <a:stretch>
          <a:fillRect/>
        </a:stretch>
      </xdr:blipFill>
      <xdr:spPr>
        <a:xfrm>
          <a:off x="0" y="1881187"/>
          <a:ext cx="1156099"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xdr:col>
      <xdr:colOff>542084</xdr:colOff>
      <xdr:row>2</xdr:row>
      <xdr:rowOff>564216</xdr:rowOff>
    </xdr:from>
    <xdr:to>
      <xdr:col>3</xdr:col>
      <xdr:colOff>140565</xdr:colOff>
      <xdr:row>3</xdr:row>
      <xdr:rowOff>2909</xdr:rowOff>
    </xdr:to>
    <xdr:pic>
      <xdr:nvPicPr>
        <xdr:cNvPr id="72" name="Grafik 71">
          <a:hlinkClick xmlns:r="http://schemas.openxmlformats.org/officeDocument/2006/relationships" r:id="rId21" tooltip="Entschädigungen, Taggeld usw."/>
          <a:extLst>
            <a:ext uri="{FF2B5EF4-FFF2-40B4-BE49-F238E27FC236}">
              <a16:creationId xmlns:a16="http://schemas.microsoft.com/office/drawing/2014/main" id="{41A07E95-66FF-4178-B6E7-6E08D511F5FF}"/>
            </a:ext>
          </a:extLst>
        </xdr:cNvPr>
        <xdr:cNvPicPr>
          <a:picLocks noChangeAspect="1"/>
        </xdr:cNvPicPr>
      </xdr:nvPicPr>
      <xdr:blipFill>
        <a:blip xmlns:r="http://schemas.openxmlformats.org/officeDocument/2006/relationships" r:embed="rId22"/>
        <a:stretch>
          <a:fillRect/>
        </a:stretch>
      </xdr:blipFill>
      <xdr:spPr>
        <a:xfrm>
          <a:off x="1320893" y="1880908"/>
          <a:ext cx="1156099"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0</xdr:col>
      <xdr:colOff>0</xdr:colOff>
      <xdr:row>3</xdr:row>
      <xdr:rowOff>240928</xdr:rowOff>
    </xdr:from>
    <xdr:to>
      <xdr:col>1</xdr:col>
      <xdr:colOff>377290</xdr:colOff>
      <xdr:row>3</xdr:row>
      <xdr:rowOff>436017</xdr:rowOff>
    </xdr:to>
    <xdr:pic>
      <xdr:nvPicPr>
        <xdr:cNvPr id="74" name="Grafik 73">
          <a:hlinkClick xmlns:r="http://schemas.openxmlformats.org/officeDocument/2006/relationships" r:id="rId23" tooltip="Direkt, Umgelegte PNK"/>
          <a:extLst>
            <a:ext uri="{FF2B5EF4-FFF2-40B4-BE49-F238E27FC236}">
              <a16:creationId xmlns:a16="http://schemas.microsoft.com/office/drawing/2014/main" id="{DE11C346-1F9B-424C-82CD-2209C789B0E0}"/>
            </a:ext>
          </a:extLst>
        </xdr:cNvPr>
        <xdr:cNvPicPr>
          <a:picLocks noChangeAspect="1"/>
        </xdr:cNvPicPr>
      </xdr:nvPicPr>
      <xdr:blipFill>
        <a:blip xmlns:r="http://schemas.openxmlformats.org/officeDocument/2006/relationships" r:embed="rId24"/>
        <a:stretch>
          <a:fillRect/>
        </a:stretch>
      </xdr:blipFill>
      <xdr:spPr>
        <a:xfrm>
          <a:off x="0" y="2314016"/>
          <a:ext cx="1156099"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xdr:col>
      <xdr:colOff>572060</xdr:colOff>
      <xdr:row>3</xdr:row>
      <xdr:rowOff>233642</xdr:rowOff>
    </xdr:from>
    <xdr:to>
      <xdr:col>3</xdr:col>
      <xdr:colOff>168300</xdr:colOff>
      <xdr:row>3</xdr:row>
      <xdr:rowOff>428731</xdr:rowOff>
    </xdr:to>
    <xdr:pic>
      <xdr:nvPicPr>
        <xdr:cNvPr id="76" name="Grafik 75">
          <a:hlinkClick xmlns:r="http://schemas.openxmlformats.org/officeDocument/2006/relationships" r:id="rId25" tooltip="PGK (Kleingerät, Werkzeug usw)"/>
          <a:extLst>
            <a:ext uri="{FF2B5EF4-FFF2-40B4-BE49-F238E27FC236}">
              <a16:creationId xmlns:a16="http://schemas.microsoft.com/office/drawing/2014/main" id="{5332125E-D0DF-4E96-9694-1B71CE68E1E2}"/>
            </a:ext>
          </a:extLst>
        </xdr:cNvPr>
        <xdr:cNvPicPr>
          <a:picLocks noChangeAspect="1"/>
        </xdr:cNvPicPr>
      </xdr:nvPicPr>
      <xdr:blipFill>
        <a:blip xmlns:r="http://schemas.openxmlformats.org/officeDocument/2006/relationships" r:embed="rId26"/>
        <a:stretch>
          <a:fillRect/>
        </a:stretch>
      </xdr:blipFill>
      <xdr:spPr>
        <a:xfrm>
          <a:off x="1350869" y="2306730"/>
          <a:ext cx="1153858"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0</xdr:col>
      <xdr:colOff>5603</xdr:colOff>
      <xdr:row>3</xdr:row>
      <xdr:rowOff>564497</xdr:rowOff>
    </xdr:from>
    <xdr:to>
      <xdr:col>1</xdr:col>
      <xdr:colOff>380652</xdr:colOff>
      <xdr:row>4</xdr:row>
      <xdr:rowOff>4589</xdr:rowOff>
    </xdr:to>
    <xdr:pic>
      <xdr:nvPicPr>
        <xdr:cNvPr id="78" name="Grafik 77">
          <a:hlinkClick xmlns:r="http://schemas.openxmlformats.org/officeDocument/2006/relationships" r:id="rId27" tooltip="Umlagen (Bauleitung, Planung usw)"/>
          <a:extLst>
            <a:ext uri="{FF2B5EF4-FFF2-40B4-BE49-F238E27FC236}">
              <a16:creationId xmlns:a16="http://schemas.microsoft.com/office/drawing/2014/main" id="{EDD7A39A-7001-40C2-AA4C-18B55E5F6397}"/>
            </a:ext>
          </a:extLst>
        </xdr:cNvPr>
        <xdr:cNvPicPr>
          <a:picLocks noChangeAspect="1"/>
        </xdr:cNvPicPr>
      </xdr:nvPicPr>
      <xdr:blipFill>
        <a:blip xmlns:r="http://schemas.openxmlformats.org/officeDocument/2006/relationships" r:embed="rId28"/>
        <a:stretch>
          <a:fillRect/>
        </a:stretch>
      </xdr:blipFill>
      <xdr:spPr>
        <a:xfrm>
          <a:off x="5603" y="2637585"/>
          <a:ext cx="1153858"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xdr:col>
      <xdr:colOff>530038</xdr:colOff>
      <xdr:row>3</xdr:row>
      <xdr:rowOff>558053</xdr:rowOff>
    </xdr:from>
    <xdr:to>
      <xdr:col>3</xdr:col>
      <xdr:colOff>126278</xdr:colOff>
      <xdr:row>4</xdr:row>
      <xdr:rowOff>2068</xdr:rowOff>
    </xdr:to>
    <xdr:pic>
      <xdr:nvPicPr>
        <xdr:cNvPr id="80" name="Grafik 79">
          <a:hlinkClick xmlns:r="http://schemas.openxmlformats.org/officeDocument/2006/relationships" r:id="rId29" tooltip="Zuordnung Gesamtzuschlag"/>
          <a:extLst>
            <a:ext uri="{FF2B5EF4-FFF2-40B4-BE49-F238E27FC236}">
              <a16:creationId xmlns:a16="http://schemas.microsoft.com/office/drawing/2014/main" id="{74F9C0C2-C172-47FE-A184-F9831FE05F68}"/>
            </a:ext>
          </a:extLst>
        </xdr:cNvPr>
        <xdr:cNvPicPr>
          <a:picLocks noChangeAspect="1"/>
        </xdr:cNvPicPr>
      </xdr:nvPicPr>
      <xdr:blipFill>
        <a:blip xmlns:r="http://schemas.openxmlformats.org/officeDocument/2006/relationships" r:embed="rId30"/>
        <a:stretch>
          <a:fillRect/>
        </a:stretch>
      </xdr:blipFill>
      <xdr:spPr>
        <a:xfrm>
          <a:off x="1308847" y="2631141"/>
          <a:ext cx="1153858"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0</xdr:col>
      <xdr:colOff>621926</xdr:colOff>
      <xdr:row>4</xdr:row>
      <xdr:rowOff>242609</xdr:rowOff>
    </xdr:from>
    <xdr:to>
      <xdr:col>2</xdr:col>
      <xdr:colOff>218166</xdr:colOff>
      <xdr:row>4</xdr:row>
      <xdr:rowOff>437698</xdr:rowOff>
    </xdr:to>
    <xdr:pic>
      <xdr:nvPicPr>
        <xdr:cNvPr id="83" name="Grafik 82">
          <a:hlinkClick xmlns:r="http://schemas.openxmlformats.org/officeDocument/2006/relationships" r:id="rId31" tooltip="Diverse Einstellungen (Ansicht, Rundung)"/>
          <a:extLst>
            <a:ext uri="{FF2B5EF4-FFF2-40B4-BE49-F238E27FC236}">
              <a16:creationId xmlns:a16="http://schemas.microsoft.com/office/drawing/2014/main" id="{3C7A5C32-BC89-4A0C-ABDE-7AAA641F9786}"/>
            </a:ext>
          </a:extLst>
        </xdr:cNvPr>
        <xdr:cNvPicPr>
          <a:picLocks noChangeAspect="1"/>
        </xdr:cNvPicPr>
      </xdr:nvPicPr>
      <xdr:blipFill>
        <a:blip xmlns:r="http://schemas.openxmlformats.org/officeDocument/2006/relationships" r:embed="rId32"/>
        <a:stretch>
          <a:fillRect/>
        </a:stretch>
      </xdr:blipFill>
      <xdr:spPr>
        <a:xfrm>
          <a:off x="621926" y="3072095"/>
          <a:ext cx="1153858"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6</xdr:col>
      <xdr:colOff>566739</xdr:colOff>
      <xdr:row>0</xdr:row>
      <xdr:rowOff>557491</xdr:rowOff>
    </xdr:from>
    <xdr:to>
      <xdr:col>9</xdr:col>
      <xdr:colOff>14434</xdr:colOff>
      <xdr:row>1</xdr:row>
      <xdr:rowOff>193687</xdr:rowOff>
    </xdr:to>
    <xdr:pic>
      <xdr:nvPicPr>
        <xdr:cNvPr id="87" name="Grafik 86">
          <a:hlinkClick xmlns:r="http://schemas.openxmlformats.org/officeDocument/2006/relationships" r:id="rId33" tooltip="Zum K3-Blatt (Blatt K3 PP)"/>
          <a:extLst>
            <a:ext uri="{FF2B5EF4-FFF2-40B4-BE49-F238E27FC236}">
              <a16:creationId xmlns:a16="http://schemas.microsoft.com/office/drawing/2014/main" id="{B114151B-149E-468E-A674-DEDED002DDE4}"/>
            </a:ext>
          </a:extLst>
        </xdr:cNvPr>
        <xdr:cNvPicPr>
          <a:picLocks noChangeAspect="1"/>
        </xdr:cNvPicPr>
      </xdr:nvPicPr>
      <xdr:blipFill>
        <a:blip xmlns:r="http://schemas.openxmlformats.org/officeDocument/2006/relationships" r:embed="rId34"/>
        <a:stretch>
          <a:fillRect/>
        </a:stretch>
      </xdr:blipFill>
      <xdr:spPr>
        <a:xfrm>
          <a:off x="5239592" y="557491"/>
          <a:ext cx="1162195"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3</xdr:col>
      <xdr:colOff>333095</xdr:colOff>
      <xdr:row>0</xdr:row>
      <xdr:rowOff>547126</xdr:rowOff>
    </xdr:from>
    <xdr:to>
      <xdr:col>4</xdr:col>
      <xdr:colOff>710385</xdr:colOff>
      <xdr:row>1</xdr:row>
      <xdr:rowOff>181921</xdr:rowOff>
    </xdr:to>
    <xdr:pic>
      <xdr:nvPicPr>
        <xdr:cNvPr id="89" name="Grafik 88">
          <a:hlinkClick xmlns:r="http://schemas.openxmlformats.org/officeDocument/2006/relationships" r:id="rId35" tooltip="Zum Blatt REPORT"/>
          <a:extLst>
            <a:ext uri="{FF2B5EF4-FFF2-40B4-BE49-F238E27FC236}">
              <a16:creationId xmlns:a16="http://schemas.microsoft.com/office/drawing/2014/main" id="{9F46F3DA-D601-4451-8A59-8C90DBF8DA20}"/>
            </a:ext>
          </a:extLst>
        </xdr:cNvPr>
        <xdr:cNvPicPr>
          <a:picLocks noChangeAspect="1"/>
        </xdr:cNvPicPr>
      </xdr:nvPicPr>
      <xdr:blipFill>
        <a:blip xmlns:r="http://schemas.openxmlformats.org/officeDocument/2006/relationships" r:embed="rId36"/>
        <a:stretch>
          <a:fillRect/>
        </a:stretch>
      </xdr:blipFill>
      <xdr:spPr>
        <a:xfrm>
          <a:off x="2669522" y="547126"/>
          <a:ext cx="1156098"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4</xdr:col>
      <xdr:colOff>754437</xdr:colOff>
      <xdr:row>1</xdr:row>
      <xdr:rowOff>564216</xdr:rowOff>
    </xdr:from>
    <xdr:to>
      <xdr:col>6</xdr:col>
      <xdr:colOff>352917</xdr:colOff>
      <xdr:row>2</xdr:row>
      <xdr:rowOff>2907</xdr:rowOff>
    </xdr:to>
    <xdr:pic>
      <xdr:nvPicPr>
        <xdr:cNvPr id="91" name="Grafik 90">
          <a:hlinkClick xmlns:r="http://schemas.openxmlformats.org/officeDocument/2006/relationships" r:id="rId37" tooltip="Zur Regiekalkulation 1"/>
          <a:extLst>
            <a:ext uri="{FF2B5EF4-FFF2-40B4-BE49-F238E27FC236}">
              <a16:creationId xmlns:a16="http://schemas.microsoft.com/office/drawing/2014/main" id="{A74C4F13-9BFF-41B2-A9D2-841C13FD08A6}"/>
            </a:ext>
          </a:extLst>
        </xdr:cNvPr>
        <xdr:cNvPicPr>
          <a:picLocks noChangeAspect="1"/>
        </xdr:cNvPicPr>
      </xdr:nvPicPr>
      <xdr:blipFill>
        <a:blip xmlns:r="http://schemas.openxmlformats.org/officeDocument/2006/relationships" r:embed="rId38"/>
        <a:stretch>
          <a:fillRect/>
        </a:stretch>
      </xdr:blipFill>
      <xdr:spPr>
        <a:xfrm>
          <a:off x="3869672" y="1124510"/>
          <a:ext cx="1156098"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4</xdr:col>
      <xdr:colOff>771246</xdr:colOff>
      <xdr:row>2</xdr:row>
      <xdr:rowOff>198622</xdr:rowOff>
    </xdr:from>
    <xdr:to>
      <xdr:col>6</xdr:col>
      <xdr:colOff>369726</xdr:colOff>
      <xdr:row>2</xdr:row>
      <xdr:rowOff>395112</xdr:rowOff>
    </xdr:to>
    <xdr:pic>
      <xdr:nvPicPr>
        <xdr:cNvPr id="93" name="Grafik 92">
          <a:hlinkClick xmlns:r="http://schemas.openxmlformats.org/officeDocument/2006/relationships" r:id="rId39" tooltip="Zur Regiekalkulation 2"/>
          <a:extLst>
            <a:ext uri="{FF2B5EF4-FFF2-40B4-BE49-F238E27FC236}">
              <a16:creationId xmlns:a16="http://schemas.microsoft.com/office/drawing/2014/main" id="{089507BD-39A3-4E04-BBA2-91356288FF2B}"/>
            </a:ext>
          </a:extLst>
        </xdr:cNvPr>
        <xdr:cNvPicPr>
          <a:picLocks noChangeAspect="1"/>
        </xdr:cNvPicPr>
      </xdr:nvPicPr>
      <xdr:blipFill>
        <a:blip xmlns:r="http://schemas.openxmlformats.org/officeDocument/2006/relationships" r:embed="rId40"/>
        <a:stretch>
          <a:fillRect/>
        </a:stretch>
      </xdr:blipFill>
      <xdr:spPr>
        <a:xfrm>
          <a:off x="3886481" y="1515314"/>
          <a:ext cx="1156098"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4</xdr:col>
      <xdr:colOff>767324</xdr:colOff>
      <xdr:row>2</xdr:row>
      <xdr:rowOff>556932</xdr:rowOff>
    </xdr:from>
    <xdr:to>
      <xdr:col>6</xdr:col>
      <xdr:colOff>365804</xdr:colOff>
      <xdr:row>2</xdr:row>
      <xdr:rowOff>752021</xdr:rowOff>
    </xdr:to>
    <xdr:pic>
      <xdr:nvPicPr>
        <xdr:cNvPr id="95" name="Grafik 94">
          <a:hlinkClick xmlns:r="http://schemas.openxmlformats.org/officeDocument/2006/relationships" r:id="rId41" tooltip="Zur Regiekalkulation 3"/>
          <a:extLst>
            <a:ext uri="{FF2B5EF4-FFF2-40B4-BE49-F238E27FC236}">
              <a16:creationId xmlns:a16="http://schemas.microsoft.com/office/drawing/2014/main" id="{C4394CA5-10EE-4794-A6AD-E69809C4D337}"/>
            </a:ext>
          </a:extLst>
        </xdr:cNvPr>
        <xdr:cNvPicPr>
          <a:picLocks noChangeAspect="1"/>
        </xdr:cNvPicPr>
      </xdr:nvPicPr>
      <xdr:blipFill>
        <a:blip xmlns:r="http://schemas.openxmlformats.org/officeDocument/2006/relationships" r:embed="rId42"/>
        <a:stretch>
          <a:fillRect/>
        </a:stretch>
      </xdr:blipFill>
      <xdr:spPr>
        <a:xfrm>
          <a:off x="3882559" y="1873624"/>
          <a:ext cx="1156098"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4</xdr:col>
      <xdr:colOff>778531</xdr:colOff>
      <xdr:row>3</xdr:row>
      <xdr:rowOff>195824</xdr:rowOff>
    </xdr:from>
    <xdr:to>
      <xdr:col>6</xdr:col>
      <xdr:colOff>377011</xdr:colOff>
      <xdr:row>3</xdr:row>
      <xdr:rowOff>392314</xdr:rowOff>
    </xdr:to>
    <xdr:pic>
      <xdr:nvPicPr>
        <xdr:cNvPr id="96" name="Grafik 95">
          <a:hlinkClick xmlns:r="http://schemas.openxmlformats.org/officeDocument/2006/relationships" r:id="rId43" tooltip="Zur Regiekalkulation 4"/>
          <a:extLst>
            <a:ext uri="{FF2B5EF4-FFF2-40B4-BE49-F238E27FC236}">
              <a16:creationId xmlns:a16="http://schemas.microsoft.com/office/drawing/2014/main" id="{CE14DA9B-C5B2-4B62-B23B-3909328DDD3A}"/>
            </a:ext>
          </a:extLst>
        </xdr:cNvPr>
        <xdr:cNvPicPr>
          <a:picLocks noChangeAspect="1"/>
        </xdr:cNvPicPr>
      </xdr:nvPicPr>
      <xdr:blipFill>
        <a:blip xmlns:r="http://schemas.openxmlformats.org/officeDocument/2006/relationships" r:embed="rId44"/>
        <a:stretch>
          <a:fillRect/>
        </a:stretch>
      </xdr:blipFill>
      <xdr:spPr>
        <a:xfrm>
          <a:off x="3893766" y="2268912"/>
          <a:ext cx="1156098"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4</xdr:col>
      <xdr:colOff>761721</xdr:colOff>
      <xdr:row>3</xdr:row>
      <xdr:rowOff>553291</xdr:rowOff>
    </xdr:from>
    <xdr:to>
      <xdr:col>6</xdr:col>
      <xdr:colOff>360201</xdr:colOff>
      <xdr:row>3</xdr:row>
      <xdr:rowOff>749780</xdr:rowOff>
    </xdr:to>
    <xdr:pic>
      <xdr:nvPicPr>
        <xdr:cNvPr id="98" name="Grafik 97">
          <a:hlinkClick xmlns:r="http://schemas.openxmlformats.org/officeDocument/2006/relationships" r:id="rId45" tooltip="Zur Regiekalkulation 5"/>
          <a:extLst>
            <a:ext uri="{FF2B5EF4-FFF2-40B4-BE49-F238E27FC236}">
              <a16:creationId xmlns:a16="http://schemas.microsoft.com/office/drawing/2014/main" id="{A4F55722-C4A8-490D-A7BC-E5A49047D859}"/>
            </a:ext>
          </a:extLst>
        </xdr:cNvPr>
        <xdr:cNvPicPr>
          <a:picLocks noChangeAspect="1"/>
        </xdr:cNvPicPr>
      </xdr:nvPicPr>
      <xdr:blipFill>
        <a:blip xmlns:r="http://schemas.openxmlformats.org/officeDocument/2006/relationships" r:embed="rId46"/>
        <a:stretch>
          <a:fillRect/>
        </a:stretch>
      </xdr:blipFill>
      <xdr:spPr>
        <a:xfrm>
          <a:off x="3876956" y="2626379"/>
          <a:ext cx="1156098" cy="1964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572062</xdr:colOff>
      <xdr:row>1</xdr:row>
      <xdr:rowOff>564216</xdr:rowOff>
    </xdr:from>
    <xdr:to>
      <xdr:col>9</xdr:col>
      <xdr:colOff>17517</xdr:colOff>
      <xdr:row>2</xdr:row>
      <xdr:rowOff>2907</xdr:rowOff>
    </xdr:to>
    <xdr:pic>
      <xdr:nvPicPr>
        <xdr:cNvPr id="100" name="Grafik 99">
          <a:hlinkClick xmlns:r="http://schemas.openxmlformats.org/officeDocument/2006/relationships" r:id="rId47" tooltip="K3-Blatt Regie 1"/>
          <a:extLst>
            <a:ext uri="{FF2B5EF4-FFF2-40B4-BE49-F238E27FC236}">
              <a16:creationId xmlns:a16="http://schemas.microsoft.com/office/drawing/2014/main" id="{89A57939-3C2E-4968-9BB5-F4DECF1C402A}"/>
            </a:ext>
          </a:extLst>
        </xdr:cNvPr>
        <xdr:cNvPicPr>
          <a:picLocks noChangeAspect="1"/>
        </xdr:cNvPicPr>
      </xdr:nvPicPr>
      <xdr:blipFill>
        <a:blip xmlns:r="http://schemas.openxmlformats.org/officeDocument/2006/relationships" r:embed="rId12"/>
        <a:stretch>
          <a:fillRect/>
        </a:stretch>
      </xdr:blipFill>
      <xdr:spPr>
        <a:xfrm>
          <a:off x="5244915" y="1124510"/>
          <a:ext cx="1159955"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560854</xdr:colOff>
      <xdr:row>2</xdr:row>
      <xdr:rowOff>204227</xdr:rowOff>
    </xdr:from>
    <xdr:to>
      <xdr:col>9</xdr:col>
      <xdr:colOff>6309</xdr:colOff>
      <xdr:row>2</xdr:row>
      <xdr:rowOff>400717</xdr:rowOff>
    </xdr:to>
    <xdr:pic>
      <xdr:nvPicPr>
        <xdr:cNvPr id="102" name="Grafik 101">
          <a:hlinkClick xmlns:r="http://schemas.openxmlformats.org/officeDocument/2006/relationships" r:id="rId48" tooltip="K3-Blatt Regie 2"/>
          <a:extLst>
            <a:ext uri="{FF2B5EF4-FFF2-40B4-BE49-F238E27FC236}">
              <a16:creationId xmlns:a16="http://schemas.microsoft.com/office/drawing/2014/main" id="{028AA71B-3ADE-4A72-BDE8-6B9F01462297}"/>
            </a:ext>
          </a:extLst>
        </xdr:cNvPr>
        <xdr:cNvPicPr>
          <a:picLocks noChangeAspect="1"/>
        </xdr:cNvPicPr>
      </xdr:nvPicPr>
      <xdr:blipFill>
        <a:blip xmlns:r="http://schemas.openxmlformats.org/officeDocument/2006/relationships" r:embed="rId10"/>
        <a:stretch>
          <a:fillRect/>
        </a:stretch>
      </xdr:blipFill>
      <xdr:spPr>
        <a:xfrm>
          <a:off x="5233707" y="1520919"/>
          <a:ext cx="1159955"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573741</xdr:colOff>
      <xdr:row>2</xdr:row>
      <xdr:rowOff>567298</xdr:rowOff>
    </xdr:from>
    <xdr:to>
      <xdr:col>9</xdr:col>
      <xdr:colOff>19196</xdr:colOff>
      <xdr:row>3</xdr:row>
      <xdr:rowOff>6551</xdr:rowOff>
    </xdr:to>
    <xdr:pic>
      <xdr:nvPicPr>
        <xdr:cNvPr id="104" name="Grafik 103">
          <a:hlinkClick xmlns:r="http://schemas.openxmlformats.org/officeDocument/2006/relationships" r:id="rId49" tooltip="K3-Blatt Regie 3"/>
          <a:extLst>
            <a:ext uri="{FF2B5EF4-FFF2-40B4-BE49-F238E27FC236}">
              <a16:creationId xmlns:a16="http://schemas.microsoft.com/office/drawing/2014/main" id="{3332CE49-F32E-49BC-806F-832ED716269D}"/>
            </a:ext>
          </a:extLst>
        </xdr:cNvPr>
        <xdr:cNvPicPr>
          <a:picLocks noChangeAspect="1"/>
        </xdr:cNvPicPr>
      </xdr:nvPicPr>
      <xdr:blipFill>
        <a:blip xmlns:r="http://schemas.openxmlformats.org/officeDocument/2006/relationships" r:embed="rId8"/>
        <a:stretch>
          <a:fillRect/>
        </a:stretch>
      </xdr:blipFill>
      <xdr:spPr>
        <a:xfrm>
          <a:off x="5246594" y="1883990"/>
          <a:ext cx="1159955" cy="19564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575422</xdr:colOff>
      <xdr:row>3</xdr:row>
      <xdr:rowOff>194143</xdr:rowOff>
    </xdr:from>
    <xdr:to>
      <xdr:col>9</xdr:col>
      <xdr:colOff>20877</xdr:colOff>
      <xdr:row>3</xdr:row>
      <xdr:rowOff>390633</xdr:rowOff>
    </xdr:to>
    <xdr:pic>
      <xdr:nvPicPr>
        <xdr:cNvPr id="106" name="Grafik 105">
          <a:hlinkClick xmlns:r="http://schemas.openxmlformats.org/officeDocument/2006/relationships" r:id="rId50" tooltip="K3-Blatt Regie 4"/>
          <a:extLst>
            <a:ext uri="{FF2B5EF4-FFF2-40B4-BE49-F238E27FC236}">
              <a16:creationId xmlns:a16="http://schemas.microsoft.com/office/drawing/2014/main" id="{31E53542-8C8D-41EC-8964-430DF0DEC1C4}"/>
            </a:ext>
          </a:extLst>
        </xdr:cNvPr>
        <xdr:cNvPicPr>
          <a:picLocks noChangeAspect="1"/>
        </xdr:cNvPicPr>
      </xdr:nvPicPr>
      <xdr:blipFill>
        <a:blip xmlns:r="http://schemas.openxmlformats.org/officeDocument/2006/relationships" r:embed="rId6"/>
        <a:stretch>
          <a:fillRect/>
        </a:stretch>
      </xdr:blipFill>
      <xdr:spPr>
        <a:xfrm>
          <a:off x="5248275" y="2267231"/>
          <a:ext cx="1159955"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574582</xdr:colOff>
      <xdr:row>3</xdr:row>
      <xdr:rowOff>587749</xdr:rowOff>
    </xdr:from>
    <xdr:to>
      <xdr:col>9</xdr:col>
      <xdr:colOff>20037</xdr:colOff>
      <xdr:row>4</xdr:row>
      <xdr:rowOff>26440</xdr:rowOff>
    </xdr:to>
    <xdr:pic>
      <xdr:nvPicPr>
        <xdr:cNvPr id="108" name="Grafik 107">
          <a:hlinkClick xmlns:r="http://schemas.openxmlformats.org/officeDocument/2006/relationships" r:id="rId51" tooltip="K3-Blatt Regie 5"/>
          <a:extLst>
            <a:ext uri="{FF2B5EF4-FFF2-40B4-BE49-F238E27FC236}">
              <a16:creationId xmlns:a16="http://schemas.microsoft.com/office/drawing/2014/main" id="{85CB8DD9-D6D9-4D25-A1B9-EADDF8C7662B}"/>
            </a:ext>
          </a:extLst>
        </xdr:cNvPr>
        <xdr:cNvPicPr>
          <a:picLocks noChangeAspect="1"/>
        </xdr:cNvPicPr>
      </xdr:nvPicPr>
      <xdr:blipFill>
        <a:blip xmlns:r="http://schemas.openxmlformats.org/officeDocument/2006/relationships" r:embed="rId4"/>
        <a:stretch>
          <a:fillRect/>
        </a:stretch>
      </xdr:blipFill>
      <xdr:spPr>
        <a:xfrm>
          <a:off x="5247435" y="2660837"/>
          <a:ext cx="1159955"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oneCellAnchor>
    <xdr:from>
      <xdr:col>10</xdr:col>
      <xdr:colOff>57149</xdr:colOff>
      <xdr:row>820</xdr:row>
      <xdr:rowOff>85725</xdr:rowOff>
    </xdr:from>
    <xdr:ext cx="1164437" cy="195089"/>
    <xdr:pic>
      <xdr:nvPicPr>
        <xdr:cNvPr id="110" name="Grafik 109">
          <a:hlinkClick xmlns:r="http://schemas.openxmlformats.org/officeDocument/2006/relationships" r:id="rId13" tooltip="Zum K2-Blatt"/>
          <a:extLst>
            <a:ext uri="{FF2B5EF4-FFF2-40B4-BE49-F238E27FC236}">
              <a16:creationId xmlns:a16="http://schemas.microsoft.com/office/drawing/2014/main" id="{B8B3413B-31FA-4C8A-8E89-6E821CD35F45}"/>
            </a:ext>
          </a:extLst>
        </xdr:cNvPr>
        <xdr:cNvPicPr>
          <a:picLocks noChangeAspect="1"/>
        </xdr:cNvPicPr>
      </xdr:nvPicPr>
      <xdr:blipFill>
        <a:blip xmlns:r="http://schemas.openxmlformats.org/officeDocument/2006/relationships" r:embed="rId14"/>
        <a:stretch>
          <a:fillRect/>
        </a:stretch>
      </xdr:blipFill>
      <xdr:spPr>
        <a:xfrm>
          <a:off x="7805737" y="181432200"/>
          <a:ext cx="1164437" cy="195089"/>
        </a:xfrm>
        <a:prstGeom prst="rect">
          <a:avLst/>
        </a:prstGeom>
        <a:ln>
          <a:noFill/>
        </a:ln>
        <a:effectLst>
          <a:outerShdw blurRad="50800" dist="38100" dir="5400000" algn="t" rotWithShape="0">
            <a:prstClr val="black">
              <a:alpha val="40000"/>
            </a:prstClr>
          </a:outerShdw>
        </a:effectLst>
      </xdr:spPr>
    </xdr:pic>
    <xdr:clientData/>
  </xdr:oneCellAnchor>
  <xdr:twoCellAnchor editAs="oneCell">
    <xdr:from>
      <xdr:col>10</xdr:col>
      <xdr:colOff>19050</xdr:colOff>
      <xdr:row>871</xdr:row>
      <xdr:rowOff>88248</xdr:rowOff>
    </xdr:from>
    <xdr:to>
      <xdr:col>10</xdr:col>
      <xdr:colOff>1175990</xdr:colOff>
      <xdr:row>872</xdr:row>
      <xdr:rowOff>59502</xdr:rowOff>
    </xdr:to>
    <xdr:pic>
      <xdr:nvPicPr>
        <xdr:cNvPr id="11" name="Grafik 10">
          <a:hlinkClick xmlns:r="http://schemas.openxmlformats.org/officeDocument/2006/relationships" r:id="rId52" tooltip="Zur Kalkulation Regie 6"/>
          <a:extLst>
            <a:ext uri="{FF2B5EF4-FFF2-40B4-BE49-F238E27FC236}">
              <a16:creationId xmlns:a16="http://schemas.microsoft.com/office/drawing/2014/main" id="{DC3C692E-206E-451A-9151-7BFA9A8FBE26}"/>
            </a:ext>
          </a:extLst>
        </xdr:cNvPr>
        <xdr:cNvPicPr>
          <a:picLocks noChangeAspect="1"/>
        </xdr:cNvPicPr>
      </xdr:nvPicPr>
      <xdr:blipFill>
        <a:blip xmlns:r="http://schemas.openxmlformats.org/officeDocument/2006/relationships" r:embed="rId53"/>
        <a:stretch>
          <a:fillRect/>
        </a:stretch>
      </xdr:blipFill>
      <xdr:spPr>
        <a:xfrm>
          <a:off x="7767638" y="192940923"/>
          <a:ext cx="1156940" cy="19509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15128</xdr:colOff>
      <xdr:row>865</xdr:row>
      <xdr:rowOff>172571</xdr:rowOff>
    </xdr:from>
    <xdr:to>
      <xdr:col>10</xdr:col>
      <xdr:colOff>1173468</xdr:colOff>
      <xdr:row>866</xdr:row>
      <xdr:rowOff>143823</xdr:rowOff>
    </xdr:to>
    <xdr:pic>
      <xdr:nvPicPr>
        <xdr:cNvPr id="14" name="Grafik 13">
          <a:hlinkClick xmlns:r="http://schemas.openxmlformats.org/officeDocument/2006/relationships" r:id="rId45" tooltip="Zur Kalkulation Regie 5"/>
          <a:extLst>
            <a:ext uri="{FF2B5EF4-FFF2-40B4-BE49-F238E27FC236}">
              <a16:creationId xmlns:a16="http://schemas.microsoft.com/office/drawing/2014/main" id="{9CFE2733-1073-4402-85C0-435D379D238C}"/>
            </a:ext>
          </a:extLst>
        </xdr:cNvPr>
        <xdr:cNvPicPr>
          <a:picLocks noChangeAspect="1"/>
        </xdr:cNvPicPr>
      </xdr:nvPicPr>
      <xdr:blipFill>
        <a:blip xmlns:r="http://schemas.openxmlformats.org/officeDocument/2006/relationships" r:embed="rId46"/>
        <a:stretch>
          <a:fillRect/>
        </a:stretch>
      </xdr:blipFill>
      <xdr:spPr>
        <a:xfrm>
          <a:off x="7763716" y="191682221"/>
          <a:ext cx="1158340"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12607</xdr:colOff>
      <xdr:row>860</xdr:row>
      <xdr:rowOff>214312</xdr:rowOff>
    </xdr:from>
    <xdr:to>
      <xdr:col>10</xdr:col>
      <xdr:colOff>1170947</xdr:colOff>
      <xdr:row>861</xdr:row>
      <xdr:rowOff>185567</xdr:rowOff>
    </xdr:to>
    <xdr:pic>
      <xdr:nvPicPr>
        <xdr:cNvPr id="15" name="Grafik 14">
          <a:hlinkClick xmlns:r="http://schemas.openxmlformats.org/officeDocument/2006/relationships" r:id="rId43" tooltip="Zur Kalkulation Regie 4"/>
          <a:extLst>
            <a:ext uri="{FF2B5EF4-FFF2-40B4-BE49-F238E27FC236}">
              <a16:creationId xmlns:a16="http://schemas.microsoft.com/office/drawing/2014/main" id="{6A7F2122-8B8C-497B-B5F5-76865C83C69D}"/>
            </a:ext>
          </a:extLst>
        </xdr:cNvPr>
        <xdr:cNvPicPr>
          <a:picLocks noChangeAspect="1"/>
        </xdr:cNvPicPr>
      </xdr:nvPicPr>
      <xdr:blipFill>
        <a:blip xmlns:r="http://schemas.openxmlformats.org/officeDocument/2006/relationships" r:embed="rId54"/>
        <a:stretch>
          <a:fillRect/>
        </a:stretch>
      </xdr:blipFill>
      <xdr:spPr>
        <a:xfrm>
          <a:off x="7761195" y="190604775"/>
          <a:ext cx="1158340" cy="195091"/>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34178</xdr:colOff>
      <xdr:row>855</xdr:row>
      <xdr:rowOff>205628</xdr:rowOff>
    </xdr:from>
    <xdr:to>
      <xdr:col>10</xdr:col>
      <xdr:colOff>1191118</xdr:colOff>
      <xdr:row>856</xdr:row>
      <xdr:rowOff>176880</xdr:rowOff>
    </xdr:to>
    <xdr:pic>
      <xdr:nvPicPr>
        <xdr:cNvPr id="16" name="Grafik 15">
          <a:hlinkClick xmlns:r="http://schemas.openxmlformats.org/officeDocument/2006/relationships" r:id="rId41" tooltip="Zur Kalkulation Regie 3"/>
          <a:extLst>
            <a:ext uri="{FF2B5EF4-FFF2-40B4-BE49-F238E27FC236}">
              <a16:creationId xmlns:a16="http://schemas.microsoft.com/office/drawing/2014/main" id="{35FF8B0F-8671-4B1D-B6E6-68852BC344F5}"/>
            </a:ext>
          </a:extLst>
        </xdr:cNvPr>
        <xdr:cNvPicPr>
          <a:picLocks noChangeAspect="1"/>
        </xdr:cNvPicPr>
      </xdr:nvPicPr>
      <xdr:blipFill>
        <a:blip xmlns:r="http://schemas.openxmlformats.org/officeDocument/2006/relationships" r:embed="rId42"/>
        <a:stretch>
          <a:fillRect/>
        </a:stretch>
      </xdr:blipFill>
      <xdr:spPr>
        <a:xfrm>
          <a:off x="7782766" y="189476903"/>
          <a:ext cx="1156940"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17650</xdr:colOff>
      <xdr:row>850</xdr:row>
      <xdr:rowOff>180975</xdr:rowOff>
    </xdr:from>
    <xdr:to>
      <xdr:col>10</xdr:col>
      <xdr:colOff>1175990</xdr:colOff>
      <xdr:row>851</xdr:row>
      <xdr:rowOff>152225</xdr:rowOff>
    </xdr:to>
    <xdr:pic>
      <xdr:nvPicPr>
        <xdr:cNvPr id="18" name="Grafik 17">
          <a:hlinkClick xmlns:r="http://schemas.openxmlformats.org/officeDocument/2006/relationships" r:id="rId39" tooltip="Zur Kalkulation Regie 2"/>
          <a:extLst>
            <a:ext uri="{FF2B5EF4-FFF2-40B4-BE49-F238E27FC236}">
              <a16:creationId xmlns:a16="http://schemas.microsoft.com/office/drawing/2014/main" id="{C7B6F7E3-86A8-4501-AAE4-41E96D82A715}"/>
            </a:ext>
          </a:extLst>
        </xdr:cNvPr>
        <xdr:cNvPicPr>
          <a:picLocks noChangeAspect="1"/>
        </xdr:cNvPicPr>
      </xdr:nvPicPr>
      <xdr:blipFill>
        <a:blip xmlns:r="http://schemas.openxmlformats.org/officeDocument/2006/relationships" r:embed="rId40"/>
        <a:stretch>
          <a:fillRect/>
        </a:stretch>
      </xdr:blipFill>
      <xdr:spPr>
        <a:xfrm>
          <a:off x="7766238" y="188333063"/>
          <a:ext cx="1158340" cy="195087"/>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13726</xdr:colOff>
      <xdr:row>841</xdr:row>
      <xdr:rowOff>26334</xdr:rowOff>
    </xdr:from>
    <xdr:to>
      <xdr:col>10</xdr:col>
      <xdr:colOff>1172066</xdr:colOff>
      <xdr:row>842</xdr:row>
      <xdr:rowOff>2348</xdr:rowOff>
    </xdr:to>
    <xdr:pic>
      <xdr:nvPicPr>
        <xdr:cNvPr id="22" name="Grafik 21">
          <a:hlinkClick xmlns:r="http://schemas.openxmlformats.org/officeDocument/2006/relationships" r:id="rId55" tooltip="Zur Grundkalkulation"/>
          <a:extLst>
            <a:ext uri="{FF2B5EF4-FFF2-40B4-BE49-F238E27FC236}">
              <a16:creationId xmlns:a16="http://schemas.microsoft.com/office/drawing/2014/main" id="{82D6FC67-9E03-4412-93B9-F0341B877929}"/>
            </a:ext>
          </a:extLst>
        </xdr:cNvPr>
        <xdr:cNvPicPr>
          <a:picLocks noChangeAspect="1"/>
        </xdr:cNvPicPr>
      </xdr:nvPicPr>
      <xdr:blipFill>
        <a:blip xmlns:r="http://schemas.openxmlformats.org/officeDocument/2006/relationships" r:embed="rId56"/>
        <a:stretch>
          <a:fillRect/>
        </a:stretch>
      </xdr:blipFill>
      <xdr:spPr>
        <a:xfrm>
          <a:off x="7762314" y="186163884"/>
          <a:ext cx="1158340"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4</xdr:col>
      <xdr:colOff>750516</xdr:colOff>
      <xdr:row>4</xdr:row>
      <xdr:rowOff>199183</xdr:rowOff>
    </xdr:from>
    <xdr:to>
      <xdr:col>6</xdr:col>
      <xdr:colOff>348996</xdr:colOff>
      <xdr:row>4</xdr:row>
      <xdr:rowOff>394272</xdr:rowOff>
    </xdr:to>
    <xdr:pic>
      <xdr:nvPicPr>
        <xdr:cNvPr id="24" name="Grafik 23">
          <a:hlinkClick xmlns:r="http://schemas.openxmlformats.org/officeDocument/2006/relationships" r:id="rId52" tooltip="Zur Regiekalkulation 6"/>
          <a:extLst>
            <a:ext uri="{FF2B5EF4-FFF2-40B4-BE49-F238E27FC236}">
              <a16:creationId xmlns:a16="http://schemas.microsoft.com/office/drawing/2014/main" id="{38BD5B0B-E7A1-4009-B9A2-7F4D63CCFA47}"/>
            </a:ext>
          </a:extLst>
        </xdr:cNvPr>
        <xdr:cNvPicPr>
          <a:picLocks noChangeAspect="1"/>
        </xdr:cNvPicPr>
      </xdr:nvPicPr>
      <xdr:blipFill>
        <a:blip xmlns:r="http://schemas.openxmlformats.org/officeDocument/2006/relationships" r:embed="rId53"/>
        <a:stretch>
          <a:fillRect/>
        </a:stretch>
      </xdr:blipFill>
      <xdr:spPr>
        <a:xfrm>
          <a:off x="3865751" y="3028669"/>
          <a:ext cx="1156098"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568420</xdr:colOff>
      <xdr:row>4</xdr:row>
      <xdr:rowOff>201706</xdr:rowOff>
    </xdr:from>
    <xdr:to>
      <xdr:col>9</xdr:col>
      <xdr:colOff>13875</xdr:colOff>
      <xdr:row>4</xdr:row>
      <xdr:rowOff>396795</xdr:rowOff>
    </xdr:to>
    <xdr:pic>
      <xdr:nvPicPr>
        <xdr:cNvPr id="26" name="Grafik 25">
          <a:hlinkClick xmlns:r="http://schemas.openxmlformats.org/officeDocument/2006/relationships" r:id="rId57" tooltip="K3-Blatt Regie 6"/>
          <a:extLst>
            <a:ext uri="{FF2B5EF4-FFF2-40B4-BE49-F238E27FC236}">
              <a16:creationId xmlns:a16="http://schemas.microsoft.com/office/drawing/2014/main" id="{847B5E19-01D6-4004-8EF9-0EEDA494F277}"/>
            </a:ext>
          </a:extLst>
        </xdr:cNvPr>
        <xdr:cNvPicPr>
          <a:picLocks noChangeAspect="1"/>
        </xdr:cNvPicPr>
      </xdr:nvPicPr>
      <xdr:blipFill>
        <a:blip xmlns:r="http://schemas.openxmlformats.org/officeDocument/2006/relationships" r:embed="rId58"/>
        <a:stretch>
          <a:fillRect/>
        </a:stretch>
      </xdr:blipFill>
      <xdr:spPr>
        <a:xfrm>
          <a:off x="5241273" y="3031192"/>
          <a:ext cx="1159955"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9</xdr:col>
      <xdr:colOff>1060916</xdr:colOff>
      <xdr:row>29</xdr:row>
      <xdr:rowOff>176774</xdr:rowOff>
    </xdr:from>
    <xdr:to>
      <xdr:col>9</xdr:col>
      <xdr:colOff>1378469</xdr:colOff>
      <xdr:row>30</xdr:row>
      <xdr:rowOff>160219</xdr:rowOff>
    </xdr:to>
    <xdr:pic>
      <xdr:nvPicPr>
        <xdr:cNvPr id="28" name="Grafik 27">
          <a:hlinkClick xmlns:r="http://schemas.openxmlformats.org/officeDocument/2006/relationships" r:id="rId55" tooltip="Zum Beginn der Kalkulation"/>
          <a:extLst>
            <a:ext uri="{FF2B5EF4-FFF2-40B4-BE49-F238E27FC236}">
              <a16:creationId xmlns:a16="http://schemas.microsoft.com/office/drawing/2014/main" id="{7B33C572-E884-4F7E-B4EB-9F2D6170B73C}"/>
            </a:ext>
          </a:extLst>
        </xdr:cNvPr>
        <xdr:cNvPicPr>
          <a:picLocks noChangeAspect="1"/>
        </xdr:cNvPicPr>
      </xdr:nvPicPr>
      <xdr:blipFill>
        <a:blip xmlns:r="http://schemas.openxmlformats.org/officeDocument/2006/relationships" r:embed="rId59"/>
        <a:stretch>
          <a:fillRect/>
        </a:stretch>
      </xdr:blipFill>
      <xdr:spPr>
        <a:xfrm>
          <a:off x="7448269" y="9264745"/>
          <a:ext cx="317019" cy="20756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1154766</xdr:colOff>
      <xdr:row>74</xdr:row>
      <xdr:rowOff>44544</xdr:rowOff>
    </xdr:from>
    <xdr:to>
      <xdr:col>10</xdr:col>
      <xdr:colOff>82534</xdr:colOff>
      <xdr:row>75</xdr:row>
      <xdr:rowOff>27708</xdr:rowOff>
    </xdr:to>
    <xdr:pic>
      <xdr:nvPicPr>
        <xdr:cNvPr id="60" name="Grafik 59">
          <a:hlinkClick xmlns:r="http://schemas.openxmlformats.org/officeDocument/2006/relationships" r:id="rId55" tooltip="Zum Beginn der Kalkulation"/>
          <a:extLst>
            <a:ext uri="{FF2B5EF4-FFF2-40B4-BE49-F238E27FC236}">
              <a16:creationId xmlns:a16="http://schemas.microsoft.com/office/drawing/2014/main" id="{D83F8957-8A3B-4AF8-8496-53180278B4C9}"/>
            </a:ext>
          </a:extLst>
        </xdr:cNvPr>
        <xdr:cNvPicPr>
          <a:picLocks noChangeAspect="1"/>
        </xdr:cNvPicPr>
      </xdr:nvPicPr>
      <xdr:blipFill>
        <a:blip xmlns:r="http://schemas.openxmlformats.org/officeDocument/2006/relationships" r:embed="rId59"/>
        <a:stretch>
          <a:fillRect/>
        </a:stretch>
      </xdr:blipFill>
      <xdr:spPr>
        <a:xfrm>
          <a:off x="7542119" y="19352279"/>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1123110</xdr:colOff>
      <xdr:row>116</xdr:row>
      <xdr:rowOff>283</xdr:rowOff>
    </xdr:from>
    <xdr:to>
      <xdr:col>10</xdr:col>
      <xdr:colOff>50878</xdr:colOff>
      <xdr:row>116</xdr:row>
      <xdr:rowOff>207565</xdr:rowOff>
    </xdr:to>
    <xdr:pic>
      <xdr:nvPicPr>
        <xdr:cNvPr id="66" name="Grafik 65">
          <a:hlinkClick xmlns:r="http://schemas.openxmlformats.org/officeDocument/2006/relationships" r:id="rId55" tooltip="Zum Beginn der Kalkulation"/>
          <a:extLst>
            <a:ext uri="{FF2B5EF4-FFF2-40B4-BE49-F238E27FC236}">
              <a16:creationId xmlns:a16="http://schemas.microsoft.com/office/drawing/2014/main" id="{EE7B1853-A656-4DAD-B86F-8C0B08D89BDD}"/>
            </a:ext>
          </a:extLst>
        </xdr:cNvPr>
        <xdr:cNvPicPr>
          <a:picLocks noChangeAspect="1"/>
        </xdr:cNvPicPr>
      </xdr:nvPicPr>
      <xdr:blipFill>
        <a:blip xmlns:r="http://schemas.openxmlformats.org/officeDocument/2006/relationships" r:embed="rId59"/>
        <a:stretch>
          <a:fillRect/>
        </a:stretch>
      </xdr:blipFill>
      <xdr:spPr>
        <a:xfrm>
          <a:off x="7510463" y="28922665"/>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10924</xdr:colOff>
      <xdr:row>168</xdr:row>
      <xdr:rowOff>20173</xdr:rowOff>
    </xdr:from>
    <xdr:to>
      <xdr:col>10</xdr:col>
      <xdr:colOff>327943</xdr:colOff>
      <xdr:row>169</xdr:row>
      <xdr:rowOff>3337</xdr:rowOff>
    </xdr:to>
    <xdr:pic>
      <xdr:nvPicPr>
        <xdr:cNvPr id="69" name="Grafik 68">
          <a:hlinkClick xmlns:r="http://schemas.openxmlformats.org/officeDocument/2006/relationships" r:id="rId55" tooltip="Zum Beginn der Kalkulation"/>
          <a:extLst>
            <a:ext uri="{FF2B5EF4-FFF2-40B4-BE49-F238E27FC236}">
              <a16:creationId xmlns:a16="http://schemas.microsoft.com/office/drawing/2014/main" id="{E14C6952-F219-48E5-AED3-3CD1F9539CDA}"/>
            </a:ext>
          </a:extLst>
        </xdr:cNvPr>
        <xdr:cNvPicPr>
          <a:picLocks noChangeAspect="1"/>
        </xdr:cNvPicPr>
      </xdr:nvPicPr>
      <xdr:blipFill>
        <a:blip xmlns:r="http://schemas.openxmlformats.org/officeDocument/2006/relationships" r:embed="rId59"/>
        <a:stretch>
          <a:fillRect/>
        </a:stretch>
      </xdr:blipFill>
      <xdr:spPr>
        <a:xfrm>
          <a:off x="7563689" y="42283159"/>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1153925</xdr:colOff>
      <xdr:row>229</xdr:row>
      <xdr:rowOff>232803</xdr:rowOff>
    </xdr:from>
    <xdr:to>
      <xdr:col>10</xdr:col>
      <xdr:colOff>81693</xdr:colOff>
      <xdr:row>230</xdr:row>
      <xdr:rowOff>187950</xdr:rowOff>
    </xdr:to>
    <xdr:pic>
      <xdr:nvPicPr>
        <xdr:cNvPr id="70" name="Grafik 69">
          <a:hlinkClick xmlns:r="http://schemas.openxmlformats.org/officeDocument/2006/relationships" r:id="rId55" tooltip="Zum Beginn der Kalkulation"/>
          <a:extLst>
            <a:ext uri="{FF2B5EF4-FFF2-40B4-BE49-F238E27FC236}">
              <a16:creationId xmlns:a16="http://schemas.microsoft.com/office/drawing/2014/main" id="{20A33DED-4735-48F5-927F-73090DFFF2EF}"/>
            </a:ext>
          </a:extLst>
        </xdr:cNvPr>
        <xdr:cNvPicPr>
          <a:picLocks noChangeAspect="1"/>
        </xdr:cNvPicPr>
      </xdr:nvPicPr>
      <xdr:blipFill>
        <a:blip xmlns:r="http://schemas.openxmlformats.org/officeDocument/2006/relationships" r:embed="rId59"/>
        <a:stretch>
          <a:fillRect/>
        </a:stretch>
      </xdr:blipFill>
      <xdr:spPr>
        <a:xfrm>
          <a:off x="7541278" y="56452715"/>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1097615</xdr:colOff>
      <xdr:row>277</xdr:row>
      <xdr:rowOff>251011</xdr:rowOff>
    </xdr:from>
    <xdr:to>
      <xdr:col>10</xdr:col>
      <xdr:colOff>25383</xdr:colOff>
      <xdr:row>278</xdr:row>
      <xdr:rowOff>206161</xdr:rowOff>
    </xdr:to>
    <xdr:pic>
      <xdr:nvPicPr>
        <xdr:cNvPr id="73" name="Grafik 72">
          <a:hlinkClick xmlns:r="http://schemas.openxmlformats.org/officeDocument/2006/relationships" r:id="rId55" tooltip="Zum Beginn der Kalkulation"/>
          <a:extLst>
            <a:ext uri="{FF2B5EF4-FFF2-40B4-BE49-F238E27FC236}">
              <a16:creationId xmlns:a16="http://schemas.microsoft.com/office/drawing/2014/main" id="{5298C7BF-E4CD-43B9-978B-5DF1669C1F53}"/>
            </a:ext>
          </a:extLst>
        </xdr:cNvPr>
        <xdr:cNvPicPr>
          <a:picLocks noChangeAspect="1"/>
        </xdr:cNvPicPr>
      </xdr:nvPicPr>
      <xdr:blipFill>
        <a:blip xmlns:r="http://schemas.openxmlformats.org/officeDocument/2006/relationships" r:embed="rId59"/>
        <a:stretch>
          <a:fillRect/>
        </a:stretch>
      </xdr:blipFill>
      <xdr:spPr>
        <a:xfrm>
          <a:off x="7484968" y="67458291"/>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1153926</xdr:colOff>
      <xdr:row>309</xdr:row>
      <xdr:rowOff>242890</xdr:rowOff>
    </xdr:from>
    <xdr:to>
      <xdr:col>10</xdr:col>
      <xdr:colOff>81694</xdr:colOff>
      <xdr:row>310</xdr:row>
      <xdr:rowOff>198039</xdr:rowOff>
    </xdr:to>
    <xdr:pic>
      <xdr:nvPicPr>
        <xdr:cNvPr id="75" name="Grafik 74">
          <a:hlinkClick xmlns:r="http://schemas.openxmlformats.org/officeDocument/2006/relationships" r:id="rId55" tooltip="Zum Beginn der Kalkulation"/>
          <a:extLst>
            <a:ext uri="{FF2B5EF4-FFF2-40B4-BE49-F238E27FC236}">
              <a16:creationId xmlns:a16="http://schemas.microsoft.com/office/drawing/2014/main" id="{2FA80AD9-A7EF-44BF-8EC4-1059696F42B9}"/>
            </a:ext>
          </a:extLst>
        </xdr:cNvPr>
        <xdr:cNvPicPr>
          <a:picLocks noChangeAspect="1"/>
        </xdr:cNvPicPr>
      </xdr:nvPicPr>
      <xdr:blipFill>
        <a:blip xmlns:r="http://schemas.openxmlformats.org/officeDocument/2006/relationships" r:embed="rId59"/>
        <a:stretch>
          <a:fillRect/>
        </a:stretch>
      </xdr:blipFill>
      <xdr:spPr>
        <a:xfrm>
          <a:off x="7541279" y="74767611"/>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1680</xdr:colOff>
      <xdr:row>340</xdr:row>
      <xdr:rowOff>241208</xdr:rowOff>
    </xdr:from>
    <xdr:to>
      <xdr:col>10</xdr:col>
      <xdr:colOff>318699</xdr:colOff>
      <xdr:row>341</xdr:row>
      <xdr:rowOff>196358</xdr:rowOff>
    </xdr:to>
    <xdr:pic>
      <xdr:nvPicPr>
        <xdr:cNvPr id="77" name="Grafik 76">
          <a:hlinkClick xmlns:r="http://schemas.openxmlformats.org/officeDocument/2006/relationships" r:id="rId55" tooltip="Zum Beginn der Kalkulation"/>
          <a:extLst>
            <a:ext uri="{FF2B5EF4-FFF2-40B4-BE49-F238E27FC236}">
              <a16:creationId xmlns:a16="http://schemas.microsoft.com/office/drawing/2014/main" id="{6EC135A5-62F8-40E4-BCD4-E45C17643288}"/>
            </a:ext>
          </a:extLst>
        </xdr:cNvPr>
        <xdr:cNvPicPr>
          <a:picLocks noChangeAspect="1"/>
        </xdr:cNvPicPr>
      </xdr:nvPicPr>
      <xdr:blipFill>
        <a:blip xmlns:r="http://schemas.openxmlformats.org/officeDocument/2006/relationships" r:embed="rId59"/>
        <a:stretch>
          <a:fillRect/>
        </a:stretch>
      </xdr:blipFill>
      <xdr:spPr>
        <a:xfrm>
          <a:off x="7554445" y="80296032"/>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4481</xdr:colOff>
      <xdr:row>347</xdr:row>
      <xdr:rowOff>6165</xdr:rowOff>
    </xdr:from>
    <xdr:to>
      <xdr:col>10</xdr:col>
      <xdr:colOff>321500</xdr:colOff>
      <xdr:row>347</xdr:row>
      <xdr:rowOff>213727</xdr:rowOff>
    </xdr:to>
    <xdr:pic>
      <xdr:nvPicPr>
        <xdr:cNvPr id="79" name="Grafik 78">
          <a:hlinkClick xmlns:r="http://schemas.openxmlformats.org/officeDocument/2006/relationships" r:id="rId55" tooltip="Zum Beginn der Kalkulation"/>
          <a:extLst>
            <a:ext uri="{FF2B5EF4-FFF2-40B4-BE49-F238E27FC236}">
              <a16:creationId xmlns:a16="http://schemas.microsoft.com/office/drawing/2014/main" id="{23476F7A-BAA3-4BFA-93BE-3444873D5940}"/>
            </a:ext>
          </a:extLst>
        </xdr:cNvPr>
        <xdr:cNvPicPr>
          <a:picLocks noChangeAspect="1"/>
        </xdr:cNvPicPr>
      </xdr:nvPicPr>
      <xdr:blipFill>
        <a:blip xmlns:r="http://schemas.openxmlformats.org/officeDocument/2006/relationships" r:embed="rId59"/>
        <a:stretch>
          <a:fillRect/>
        </a:stretch>
      </xdr:blipFill>
      <xdr:spPr>
        <a:xfrm>
          <a:off x="7557246" y="81775489"/>
          <a:ext cx="317019" cy="20756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82644</xdr:colOff>
      <xdr:row>482</xdr:row>
      <xdr:rowOff>188258</xdr:rowOff>
    </xdr:from>
    <xdr:to>
      <xdr:col>10</xdr:col>
      <xdr:colOff>399663</xdr:colOff>
      <xdr:row>483</xdr:row>
      <xdr:rowOff>171701</xdr:rowOff>
    </xdr:to>
    <xdr:pic>
      <xdr:nvPicPr>
        <xdr:cNvPr id="81" name="Grafik 80">
          <a:hlinkClick xmlns:r="http://schemas.openxmlformats.org/officeDocument/2006/relationships" r:id="rId55" tooltip="Zum Beginn der Kalkulation"/>
          <a:extLst>
            <a:ext uri="{FF2B5EF4-FFF2-40B4-BE49-F238E27FC236}">
              <a16:creationId xmlns:a16="http://schemas.microsoft.com/office/drawing/2014/main" id="{FE606DD1-1944-4EDF-A695-CBBE17CB6D1A}"/>
            </a:ext>
          </a:extLst>
        </xdr:cNvPr>
        <xdr:cNvPicPr>
          <a:picLocks noChangeAspect="1"/>
        </xdr:cNvPicPr>
      </xdr:nvPicPr>
      <xdr:blipFill>
        <a:blip xmlns:r="http://schemas.openxmlformats.org/officeDocument/2006/relationships" r:embed="rId59"/>
        <a:stretch>
          <a:fillRect/>
        </a:stretch>
      </xdr:blipFill>
      <xdr:spPr>
        <a:xfrm>
          <a:off x="7831232" y="104353658"/>
          <a:ext cx="317019" cy="207281"/>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53226</xdr:colOff>
      <xdr:row>550</xdr:row>
      <xdr:rowOff>218518</xdr:rowOff>
    </xdr:from>
    <xdr:to>
      <xdr:col>10</xdr:col>
      <xdr:colOff>370245</xdr:colOff>
      <xdr:row>551</xdr:row>
      <xdr:rowOff>201682</xdr:rowOff>
    </xdr:to>
    <xdr:pic>
      <xdr:nvPicPr>
        <xdr:cNvPr id="82" name="Grafik 81">
          <a:hlinkClick xmlns:r="http://schemas.openxmlformats.org/officeDocument/2006/relationships" r:id="rId55" tooltip="Zum Beginn der Kalkulation"/>
          <a:extLst>
            <a:ext uri="{FF2B5EF4-FFF2-40B4-BE49-F238E27FC236}">
              <a16:creationId xmlns:a16="http://schemas.microsoft.com/office/drawing/2014/main" id="{AA850CAC-3EC4-40D2-BCC4-CDC5C3A73BE1}"/>
            </a:ext>
          </a:extLst>
        </xdr:cNvPr>
        <xdr:cNvPicPr>
          <a:picLocks noChangeAspect="1"/>
        </xdr:cNvPicPr>
      </xdr:nvPicPr>
      <xdr:blipFill>
        <a:blip xmlns:r="http://schemas.openxmlformats.org/officeDocument/2006/relationships" r:embed="rId59"/>
        <a:stretch>
          <a:fillRect/>
        </a:stretch>
      </xdr:blipFill>
      <xdr:spPr>
        <a:xfrm>
          <a:off x="7605991" y="119572371"/>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99451</xdr:colOff>
      <xdr:row>618</xdr:row>
      <xdr:rowOff>214036</xdr:rowOff>
    </xdr:from>
    <xdr:to>
      <xdr:col>10</xdr:col>
      <xdr:colOff>417870</xdr:colOff>
      <xdr:row>619</xdr:row>
      <xdr:rowOff>197479</xdr:rowOff>
    </xdr:to>
    <xdr:pic>
      <xdr:nvPicPr>
        <xdr:cNvPr id="84" name="Grafik 83">
          <a:hlinkClick xmlns:r="http://schemas.openxmlformats.org/officeDocument/2006/relationships" r:id="rId55" tooltip="Zum Beginn der Kalkulation"/>
          <a:extLst>
            <a:ext uri="{FF2B5EF4-FFF2-40B4-BE49-F238E27FC236}">
              <a16:creationId xmlns:a16="http://schemas.microsoft.com/office/drawing/2014/main" id="{78DD05D7-98AB-4313-91A3-7A9F1051435B}"/>
            </a:ext>
          </a:extLst>
        </xdr:cNvPr>
        <xdr:cNvPicPr>
          <a:picLocks noChangeAspect="1"/>
        </xdr:cNvPicPr>
      </xdr:nvPicPr>
      <xdr:blipFill>
        <a:blip xmlns:r="http://schemas.openxmlformats.org/officeDocument/2006/relationships" r:embed="rId59"/>
        <a:stretch>
          <a:fillRect/>
        </a:stretch>
      </xdr:blipFill>
      <xdr:spPr>
        <a:xfrm>
          <a:off x="7848039" y="135545236"/>
          <a:ext cx="318419" cy="207281"/>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1336861</xdr:colOff>
      <xdr:row>687</xdr:row>
      <xdr:rowOff>4767</xdr:rowOff>
    </xdr:from>
    <xdr:to>
      <xdr:col>10</xdr:col>
      <xdr:colOff>264629</xdr:colOff>
      <xdr:row>687</xdr:row>
      <xdr:rowOff>212048</xdr:rowOff>
    </xdr:to>
    <xdr:pic>
      <xdr:nvPicPr>
        <xdr:cNvPr id="85" name="Grafik 84">
          <a:hlinkClick xmlns:r="http://schemas.openxmlformats.org/officeDocument/2006/relationships" r:id="rId55" tooltip="Zum Beginn der Kalkulation"/>
          <a:extLst>
            <a:ext uri="{FF2B5EF4-FFF2-40B4-BE49-F238E27FC236}">
              <a16:creationId xmlns:a16="http://schemas.microsoft.com/office/drawing/2014/main" id="{A7BE83A8-EF8E-4CD3-89EA-25D874299469}"/>
            </a:ext>
          </a:extLst>
        </xdr:cNvPr>
        <xdr:cNvPicPr>
          <a:picLocks noChangeAspect="1"/>
        </xdr:cNvPicPr>
      </xdr:nvPicPr>
      <xdr:blipFill>
        <a:blip xmlns:r="http://schemas.openxmlformats.org/officeDocument/2006/relationships" r:embed="rId59"/>
        <a:stretch>
          <a:fillRect/>
        </a:stretch>
      </xdr:blipFill>
      <xdr:spPr>
        <a:xfrm>
          <a:off x="7742424" y="151056980"/>
          <a:ext cx="318419" cy="207281"/>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15128</xdr:colOff>
      <xdr:row>761</xdr:row>
      <xdr:rowOff>14291</xdr:rowOff>
    </xdr:from>
    <xdr:to>
      <xdr:col>10</xdr:col>
      <xdr:colOff>333547</xdr:colOff>
      <xdr:row>762</xdr:row>
      <xdr:rowOff>2778</xdr:rowOff>
    </xdr:to>
    <xdr:pic>
      <xdr:nvPicPr>
        <xdr:cNvPr id="88" name="Grafik 87">
          <a:hlinkClick xmlns:r="http://schemas.openxmlformats.org/officeDocument/2006/relationships" r:id="rId55" tooltip="Zum Beginn der Kalkulation"/>
          <a:extLst>
            <a:ext uri="{FF2B5EF4-FFF2-40B4-BE49-F238E27FC236}">
              <a16:creationId xmlns:a16="http://schemas.microsoft.com/office/drawing/2014/main" id="{6173D88D-A0FE-46EF-9DEC-E6389A56F13D}"/>
            </a:ext>
          </a:extLst>
        </xdr:cNvPr>
        <xdr:cNvPicPr>
          <a:picLocks noChangeAspect="1"/>
        </xdr:cNvPicPr>
      </xdr:nvPicPr>
      <xdr:blipFill>
        <a:blip xmlns:r="http://schemas.openxmlformats.org/officeDocument/2006/relationships" r:embed="rId59"/>
        <a:stretch>
          <a:fillRect/>
        </a:stretch>
      </xdr:blipFill>
      <xdr:spPr>
        <a:xfrm>
          <a:off x="7763716" y="167997191"/>
          <a:ext cx="318419" cy="20756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1335740</xdr:colOff>
      <xdr:row>835</xdr:row>
      <xdr:rowOff>6446</xdr:rowOff>
    </xdr:from>
    <xdr:to>
      <xdr:col>10</xdr:col>
      <xdr:colOff>263508</xdr:colOff>
      <xdr:row>835</xdr:row>
      <xdr:rowOff>213730</xdr:rowOff>
    </xdr:to>
    <xdr:pic>
      <xdr:nvPicPr>
        <xdr:cNvPr id="92" name="Grafik 91">
          <a:hlinkClick xmlns:r="http://schemas.openxmlformats.org/officeDocument/2006/relationships" r:id="rId55" tooltip="Zum Beginn der Kalkulation"/>
          <a:extLst>
            <a:ext uri="{FF2B5EF4-FFF2-40B4-BE49-F238E27FC236}">
              <a16:creationId xmlns:a16="http://schemas.microsoft.com/office/drawing/2014/main" id="{139A0E9B-7248-4C62-A2BE-3358193B138D}"/>
            </a:ext>
          </a:extLst>
        </xdr:cNvPr>
        <xdr:cNvPicPr>
          <a:picLocks noChangeAspect="1"/>
        </xdr:cNvPicPr>
      </xdr:nvPicPr>
      <xdr:blipFill>
        <a:blip xmlns:r="http://schemas.openxmlformats.org/officeDocument/2006/relationships" r:embed="rId59"/>
        <a:stretch>
          <a:fillRect/>
        </a:stretch>
      </xdr:blipFill>
      <xdr:spPr>
        <a:xfrm>
          <a:off x="7741303" y="184710484"/>
          <a:ext cx="318419" cy="207284"/>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80962</xdr:colOff>
      <xdr:row>824</xdr:row>
      <xdr:rowOff>152401</xdr:rowOff>
    </xdr:from>
    <xdr:to>
      <xdr:col>10</xdr:col>
      <xdr:colOff>1245399</xdr:colOff>
      <xdr:row>825</xdr:row>
      <xdr:rowOff>123653</xdr:rowOff>
    </xdr:to>
    <xdr:pic>
      <xdr:nvPicPr>
        <xdr:cNvPr id="30" name="Grafik 29">
          <a:hlinkClick xmlns:r="http://schemas.openxmlformats.org/officeDocument/2006/relationships" r:id="rId57" tooltip="Zum K3-Blatt"/>
          <a:extLst>
            <a:ext uri="{FF2B5EF4-FFF2-40B4-BE49-F238E27FC236}">
              <a16:creationId xmlns:a16="http://schemas.microsoft.com/office/drawing/2014/main" id="{4F13A826-D36D-49EA-AD6A-2F49977B0BC7}"/>
            </a:ext>
          </a:extLst>
        </xdr:cNvPr>
        <xdr:cNvPicPr>
          <a:picLocks noChangeAspect="1"/>
        </xdr:cNvPicPr>
      </xdr:nvPicPr>
      <xdr:blipFill>
        <a:blip xmlns:r="http://schemas.openxmlformats.org/officeDocument/2006/relationships" r:embed="rId58"/>
        <a:stretch>
          <a:fillRect/>
        </a:stretch>
      </xdr:blipFill>
      <xdr:spPr>
        <a:xfrm>
          <a:off x="7829550" y="182394226"/>
          <a:ext cx="1164437"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15407</xdr:colOff>
      <xdr:row>845</xdr:row>
      <xdr:rowOff>204788</xdr:rowOff>
    </xdr:from>
    <xdr:to>
      <xdr:col>10</xdr:col>
      <xdr:colOff>1172347</xdr:colOff>
      <xdr:row>846</xdr:row>
      <xdr:rowOff>176041</xdr:rowOff>
    </xdr:to>
    <xdr:pic>
      <xdr:nvPicPr>
        <xdr:cNvPr id="90" name="Grafik 89">
          <a:hlinkClick xmlns:r="http://schemas.openxmlformats.org/officeDocument/2006/relationships" r:id="rId37" tooltip="Zur Regiekalkulation 1"/>
          <a:extLst>
            <a:ext uri="{FF2B5EF4-FFF2-40B4-BE49-F238E27FC236}">
              <a16:creationId xmlns:a16="http://schemas.microsoft.com/office/drawing/2014/main" id="{6748366C-9298-43E9-A50D-2600913423A5}"/>
            </a:ext>
          </a:extLst>
        </xdr:cNvPr>
        <xdr:cNvPicPr>
          <a:picLocks noChangeAspect="1"/>
        </xdr:cNvPicPr>
      </xdr:nvPicPr>
      <xdr:blipFill>
        <a:blip xmlns:r="http://schemas.openxmlformats.org/officeDocument/2006/relationships" r:embed="rId38"/>
        <a:stretch>
          <a:fillRect/>
        </a:stretch>
      </xdr:blipFill>
      <xdr:spPr>
        <a:xfrm>
          <a:off x="7763995" y="187237688"/>
          <a:ext cx="1156940" cy="195091"/>
        </a:xfrm>
        <a:prstGeom prst="rect">
          <a:avLst/>
        </a:prstGeom>
        <a:ln>
          <a:noFill/>
        </a:ln>
        <a:effectLst>
          <a:outerShdw blurRad="50800" dist="38100" dir="5400000" algn="t" rotWithShape="0">
            <a:prstClr val="black">
              <a:alpha val="40000"/>
            </a:prstClr>
          </a:outerShdw>
        </a:effectLst>
      </xdr:spPr>
    </xdr:pic>
    <xdr:clientData/>
  </xdr:twoCellAnchor>
  <xdr:twoCellAnchor>
    <xdr:from>
      <xdr:col>9</xdr:col>
      <xdr:colOff>114300</xdr:colOff>
      <xdr:row>63</xdr:row>
      <xdr:rowOff>47625</xdr:rowOff>
    </xdr:from>
    <xdr:to>
      <xdr:col>11</xdr:col>
      <xdr:colOff>1228725</xdr:colOff>
      <xdr:row>68</xdr:row>
      <xdr:rowOff>219075</xdr:rowOff>
    </xdr:to>
    <xdr:graphicFrame macro="">
      <xdr:nvGraphicFramePr>
        <xdr:cNvPr id="19" name="Diagramm 18">
          <a:extLst>
            <a:ext uri="{FF2B5EF4-FFF2-40B4-BE49-F238E27FC236}">
              <a16:creationId xmlns:a16="http://schemas.microsoft.com/office/drawing/2014/main" id="{AFD183FB-75F9-4789-8AAC-67A01427858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editAs="oneCell">
    <xdr:from>
      <xdr:col>0</xdr:col>
      <xdr:colOff>0</xdr:colOff>
      <xdr:row>0</xdr:row>
      <xdr:rowOff>560292</xdr:rowOff>
    </xdr:from>
    <xdr:to>
      <xdr:col>1</xdr:col>
      <xdr:colOff>385628</xdr:colOff>
      <xdr:row>1</xdr:row>
      <xdr:rowOff>182894</xdr:rowOff>
    </xdr:to>
    <xdr:pic>
      <xdr:nvPicPr>
        <xdr:cNvPr id="9" name="Grafik 8">
          <a:hlinkClick xmlns:r="http://schemas.openxmlformats.org/officeDocument/2006/relationships" r:id="rId61" tooltip="Zum Blatt LIZENZ UND LIES MICH"/>
          <a:extLst>
            <a:ext uri="{FF2B5EF4-FFF2-40B4-BE49-F238E27FC236}">
              <a16:creationId xmlns:a16="http://schemas.microsoft.com/office/drawing/2014/main" id="{12495658-63F9-41D1-A690-005F1F59EE4D}"/>
            </a:ext>
          </a:extLst>
        </xdr:cNvPr>
        <xdr:cNvPicPr>
          <a:picLocks noChangeAspect="1"/>
        </xdr:cNvPicPr>
      </xdr:nvPicPr>
      <xdr:blipFill>
        <a:blip xmlns:r="http://schemas.openxmlformats.org/officeDocument/2006/relationships" r:embed="rId62"/>
        <a:stretch>
          <a:fillRect/>
        </a:stretch>
      </xdr:blipFill>
      <xdr:spPr>
        <a:xfrm>
          <a:off x="0" y="560292"/>
          <a:ext cx="1164437" cy="182896"/>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xdr:col>
      <xdr:colOff>588309</xdr:colOff>
      <xdr:row>0</xdr:row>
      <xdr:rowOff>549088</xdr:rowOff>
    </xdr:from>
    <xdr:to>
      <xdr:col>3</xdr:col>
      <xdr:colOff>195128</xdr:colOff>
      <xdr:row>1</xdr:row>
      <xdr:rowOff>177786</xdr:rowOff>
    </xdr:to>
    <xdr:pic>
      <xdr:nvPicPr>
        <xdr:cNvPr id="13" name="Grafik 12">
          <a:hlinkClick xmlns:r="http://schemas.openxmlformats.org/officeDocument/2006/relationships" r:id="rId63" tooltip="Zum Blatt STAMMDATEN"/>
          <a:extLst>
            <a:ext uri="{FF2B5EF4-FFF2-40B4-BE49-F238E27FC236}">
              <a16:creationId xmlns:a16="http://schemas.microsoft.com/office/drawing/2014/main" id="{53503E8A-B0D6-4B6B-A0F6-16B1CBBC54D1}"/>
            </a:ext>
          </a:extLst>
        </xdr:cNvPr>
        <xdr:cNvPicPr>
          <a:picLocks noChangeAspect="1"/>
        </xdr:cNvPicPr>
      </xdr:nvPicPr>
      <xdr:blipFill>
        <a:blip xmlns:r="http://schemas.openxmlformats.org/officeDocument/2006/relationships" r:embed="rId64"/>
        <a:stretch>
          <a:fillRect/>
        </a:stretch>
      </xdr:blipFill>
      <xdr:spPr>
        <a:xfrm>
          <a:off x="1367118" y="549088"/>
          <a:ext cx="1164437" cy="188992"/>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5</xdr:col>
      <xdr:colOff>5603</xdr:colOff>
      <xdr:row>1</xdr:row>
      <xdr:rowOff>11207</xdr:rowOff>
    </xdr:from>
    <xdr:to>
      <xdr:col>6</xdr:col>
      <xdr:colOff>391232</xdr:colOff>
      <xdr:row>1</xdr:row>
      <xdr:rowOff>194103</xdr:rowOff>
    </xdr:to>
    <xdr:pic>
      <xdr:nvPicPr>
        <xdr:cNvPr id="21" name="Grafik 20">
          <a:hlinkClick xmlns:r="http://schemas.openxmlformats.org/officeDocument/2006/relationships" r:id="rId13" tooltip="Zum K2-Blatt (Blatt K2 GZ)"/>
          <a:extLst>
            <a:ext uri="{FF2B5EF4-FFF2-40B4-BE49-F238E27FC236}">
              <a16:creationId xmlns:a16="http://schemas.microsoft.com/office/drawing/2014/main" id="{E20B8BAB-8071-44ED-89B5-5791B8995A15}"/>
            </a:ext>
          </a:extLst>
        </xdr:cNvPr>
        <xdr:cNvPicPr>
          <a:picLocks noChangeAspect="1"/>
        </xdr:cNvPicPr>
      </xdr:nvPicPr>
      <xdr:blipFill>
        <a:blip xmlns:r="http://schemas.openxmlformats.org/officeDocument/2006/relationships" r:embed="rId65"/>
        <a:stretch>
          <a:fillRect/>
        </a:stretch>
      </xdr:blipFill>
      <xdr:spPr>
        <a:xfrm>
          <a:off x="3899648" y="571501"/>
          <a:ext cx="1164437" cy="182896"/>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10</xdr:col>
      <xdr:colOff>34636</xdr:colOff>
      <xdr:row>410</xdr:row>
      <xdr:rowOff>17319</xdr:rowOff>
    </xdr:from>
    <xdr:to>
      <xdr:col>10</xdr:col>
      <xdr:colOff>1192976</xdr:colOff>
      <xdr:row>410</xdr:row>
      <xdr:rowOff>206311</xdr:rowOff>
    </xdr:to>
    <xdr:pic>
      <xdr:nvPicPr>
        <xdr:cNvPr id="5" name="Grafik 4">
          <a:hlinkClick xmlns:r="http://schemas.openxmlformats.org/officeDocument/2006/relationships" r:id="rId66" tooltip="Zur Zusamnenfassung"/>
          <a:extLst>
            <a:ext uri="{FF2B5EF4-FFF2-40B4-BE49-F238E27FC236}">
              <a16:creationId xmlns:a16="http://schemas.microsoft.com/office/drawing/2014/main" id="{361F6B97-ED8C-4D41-B060-C49A38D5483F}"/>
            </a:ext>
          </a:extLst>
        </xdr:cNvPr>
        <xdr:cNvPicPr>
          <a:picLocks noChangeAspect="1"/>
        </xdr:cNvPicPr>
      </xdr:nvPicPr>
      <xdr:blipFill>
        <a:blip xmlns:r="http://schemas.openxmlformats.org/officeDocument/2006/relationships" r:embed="rId67"/>
        <a:stretch>
          <a:fillRect/>
        </a:stretch>
      </xdr:blipFill>
      <xdr:spPr>
        <a:xfrm>
          <a:off x="7814830" y="89673546"/>
          <a:ext cx="1158340" cy="188992"/>
        </a:xfrm>
        <a:prstGeom prst="rect">
          <a:avLst/>
        </a:prstGeom>
        <a:effectLst>
          <a:outerShdw blurRad="50800" dist="38100" dir="5400000" algn="t" rotWithShape="0">
            <a:prstClr val="black">
              <a:alpha val="40000"/>
            </a:prstClr>
          </a:outerShdw>
        </a:effectLst>
      </xdr:spPr>
    </xdr:pic>
    <xdr:clientData/>
  </xdr:twoCellAnchor>
  <xdr:twoCellAnchor editAs="oneCell">
    <xdr:from>
      <xdr:col>10</xdr:col>
      <xdr:colOff>1372464</xdr:colOff>
      <xdr:row>410</xdr:row>
      <xdr:rowOff>30308</xdr:rowOff>
    </xdr:from>
    <xdr:to>
      <xdr:col>11</xdr:col>
      <xdr:colOff>1141021</xdr:colOff>
      <xdr:row>411</xdr:row>
      <xdr:rowOff>260</xdr:rowOff>
    </xdr:to>
    <xdr:pic>
      <xdr:nvPicPr>
        <xdr:cNvPr id="20" name="Grafik 19">
          <a:hlinkClick xmlns:r="http://schemas.openxmlformats.org/officeDocument/2006/relationships" r:id="rId35" tooltip="Zum Report"/>
          <a:extLst>
            <a:ext uri="{FF2B5EF4-FFF2-40B4-BE49-F238E27FC236}">
              <a16:creationId xmlns:a16="http://schemas.microsoft.com/office/drawing/2014/main" id="{74CAB573-A050-4DA2-B91B-06EC55DB2001}"/>
            </a:ext>
          </a:extLst>
        </xdr:cNvPr>
        <xdr:cNvPicPr>
          <a:picLocks noChangeAspect="1"/>
        </xdr:cNvPicPr>
      </xdr:nvPicPr>
      <xdr:blipFill>
        <a:blip xmlns:r="http://schemas.openxmlformats.org/officeDocument/2006/relationships" r:embed="rId36"/>
        <a:stretch>
          <a:fillRect/>
        </a:stretch>
      </xdr:blipFill>
      <xdr:spPr>
        <a:xfrm>
          <a:off x="9152658" y="89686535"/>
          <a:ext cx="1158340" cy="195089"/>
        </a:xfrm>
        <a:prstGeom prst="rect">
          <a:avLst/>
        </a:prstGeom>
        <a:effectLst>
          <a:outerShdw blurRad="50800" dist="38100" dir="5400000" algn="t" rotWithShape="0">
            <a:prstClr val="black">
              <a:alpha val="40000"/>
            </a:prstClr>
          </a:outerShdw>
        </a:effectLst>
      </xdr:spPr>
    </xdr:pic>
    <xdr:clientData/>
  </xdr:twoCellAnchor>
  <xdr:twoCellAnchor editAs="oneCell">
    <xdr:from>
      <xdr:col>2</xdr:col>
      <xdr:colOff>468039</xdr:colOff>
      <xdr:row>4</xdr:row>
      <xdr:rowOff>513200</xdr:rowOff>
    </xdr:from>
    <xdr:to>
      <xdr:col>5</xdr:col>
      <xdr:colOff>200665</xdr:colOff>
      <xdr:row>4</xdr:row>
      <xdr:rowOff>696096</xdr:rowOff>
    </xdr:to>
    <xdr:pic>
      <xdr:nvPicPr>
        <xdr:cNvPr id="17" name="Grafik 16">
          <a:hlinkClick xmlns:r="http://schemas.openxmlformats.org/officeDocument/2006/relationships" r:id="rId1" tooltip="Zur Webseite"/>
          <a:extLst>
            <a:ext uri="{FF2B5EF4-FFF2-40B4-BE49-F238E27FC236}">
              <a16:creationId xmlns:a16="http://schemas.microsoft.com/office/drawing/2014/main" id="{C71348F3-3559-4D36-9BA1-FCF754DA112A}"/>
            </a:ext>
          </a:extLst>
        </xdr:cNvPr>
        <xdr:cNvPicPr>
          <a:picLocks noChangeAspect="1"/>
        </xdr:cNvPicPr>
      </xdr:nvPicPr>
      <xdr:blipFill>
        <a:blip xmlns:r="http://schemas.openxmlformats.org/officeDocument/2006/relationships" r:embed="rId68"/>
        <a:stretch>
          <a:fillRect/>
        </a:stretch>
      </xdr:blipFill>
      <xdr:spPr>
        <a:xfrm>
          <a:off x="2028168" y="3341961"/>
          <a:ext cx="2072820" cy="182896"/>
        </a:xfrm>
        <a:prstGeom prst="rect">
          <a:avLst/>
        </a:prstGeom>
        <a:effectLst>
          <a:outerShdw blurRad="50800" dist="38100" dir="5400000" algn="t" rotWithShape="0">
            <a:prstClr val="black">
              <a:alpha val="40000"/>
            </a:prstClr>
          </a:outerShdw>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94</xdr:row>
      <xdr:rowOff>61913</xdr:rowOff>
    </xdr:from>
    <xdr:to>
      <xdr:col>8</xdr:col>
      <xdr:colOff>209550</xdr:colOff>
      <xdr:row>106</xdr:row>
      <xdr:rowOff>4763</xdr:rowOff>
    </xdr:to>
    <xdr:graphicFrame macro="">
      <xdr:nvGraphicFramePr>
        <xdr:cNvPr id="4" name="Diagramm 3">
          <a:extLst>
            <a:ext uri="{FF2B5EF4-FFF2-40B4-BE49-F238E27FC236}">
              <a16:creationId xmlns:a16="http://schemas.microsoft.com/office/drawing/2014/main" id="{7DD85801-B900-42D6-B107-0796CB6868D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6</xdr:row>
      <xdr:rowOff>0</xdr:rowOff>
    </xdr:from>
    <xdr:to>
      <xdr:col>6</xdr:col>
      <xdr:colOff>481013</xdr:colOff>
      <xdr:row>7</xdr:row>
      <xdr:rowOff>4763</xdr:rowOff>
    </xdr:to>
    <xdr:pic>
      <xdr:nvPicPr>
        <xdr:cNvPr id="2" name="Grafik 1">
          <a:hlinkClick xmlns:r="http://schemas.openxmlformats.org/officeDocument/2006/relationships" r:id="rId1" tooltip="Zum K2a-Blatt"/>
          <a:extLst>
            <a:ext uri="{FF2B5EF4-FFF2-40B4-BE49-F238E27FC236}">
              <a16:creationId xmlns:a16="http://schemas.microsoft.com/office/drawing/2014/main" id="{D6D7DFF4-E39E-40E6-9EF8-9BFAE9579E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62150" y="885825"/>
          <a:ext cx="1052513" cy="295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15</xdr:row>
      <xdr:rowOff>0</xdr:rowOff>
    </xdr:from>
    <xdr:to>
      <xdr:col>15</xdr:col>
      <xdr:colOff>233855</xdr:colOff>
      <xdr:row>15</xdr:row>
      <xdr:rowOff>195089</xdr:rowOff>
    </xdr:to>
    <xdr:pic>
      <xdr:nvPicPr>
        <xdr:cNvPr id="6" name="Grafik 5">
          <a:hlinkClick xmlns:r="http://schemas.openxmlformats.org/officeDocument/2006/relationships" r:id="rId3" tooltip="Zur Kalkulation"/>
          <a:extLst>
            <a:ext uri="{FF2B5EF4-FFF2-40B4-BE49-F238E27FC236}">
              <a16:creationId xmlns:a16="http://schemas.microsoft.com/office/drawing/2014/main" id="{A94769EB-BBBC-49B3-8374-1657BAC61262}"/>
            </a:ext>
          </a:extLst>
        </xdr:cNvPr>
        <xdr:cNvPicPr>
          <a:picLocks noChangeAspect="1"/>
        </xdr:cNvPicPr>
      </xdr:nvPicPr>
      <xdr:blipFill>
        <a:blip xmlns:r="http://schemas.openxmlformats.org/officeDocument/2006/relationships" r:embed="rId4"/>
        <a:stretch>
          <a:fillRect/>
        </a:stretch>
      </xdr:blipFill>
      <xdr:spPr>
        <a:xfrm>
          <a:off x="6617074" y="3894045"/>
          <a:ext cx="1158340" cy="195089"/>
        </a:xfrm>
        <a:prstGeom prst="rect">
          <a:avLst/>
        </a:prstGeom>
        <a:effectLst>
          <a:outerShdw blurRad="50800" dist="38100" dir="5400000" algn="t" rotWithShape="0">
            <a:prstClr val="black">
              <a:alpha val="40000"/>
            </a:prstClr>
          </a:outerShdw>
        </a:effectLst>
      </xdr:spPr>
    </xdr:pic>
    <xdr:clientData/>
  </xdr:twoCellAnchor>
  <xdr:twoCellAnchor editAs="oneCell">
    <xdr:from>
      <xdr:col>14</xdr:col>
      <xdr:colOff>0</xdr:colOff>
      <xdr:row>16</xdr:row>
      <xdr:rowOff>0</xdr:rowOff>
    </xdr:from>
    <xdr:to>
      <xdr:col>15</xdr:col>
      <xdr:colOff>233855</xdr:colOff>
      <xdr:row>16</xdr:row>
      <xdr:rowOff>195089</xdr:rowOff>
    </xdr:to>
    <xdr:pic>
      <xdr:nvPicPr>
        <xdr:cNvPr id="7" name="Grafik 6">
          <a:hlinkClick xmlns:r="http://schemas.openxmlformats.org/officeDocument/2006/relationships" r:id="rId5"/>
          <a:extLst>
            <a:ext uri="{FF2B5EF4-FFF2-40B4-BE49-F238E27FC236}">
              <a16:creationId xmlns:a16="http://schemas.microsoft.com/office/drawing/2014/main" id="{BA51319F-EFA0-4872-BD9D-62FFBBE872DF}"/>
            </a:ext>
          </a:extLst>
        </xdr:cNvPr>
        <xdr:cNvPicPr>
          <a:picLocks noChangeAspect="1"/>
        </xdr:cNvPicPr>
      </xdr:nvPicPr>
      <xdr:blipFill>
        <a:blip xmlns:r="http://schemas.openxmlformats.org/officeDocument/2006/relationships" r:embed="rId6"/>
        <a:stretch>
          <a:fillRect/>
        </a:stretch>
      </xdr:blipFill>
      <xdr:spPr>
        <a:xfrm>
          <a:off x="6617074" y="4202206"/>
          <a:ext cx="1158340" cy="195089"/>
        </a:xfrm>
        <a:prstGeom prst="rect">
          <a:avLst/>
        </a:prstGeom>
        <a:effectLst>
          <a:outerShdw blurRad="50800" dist="38100" dir="5400000" algn="t" rotWithShape="0">
            <a:prstClr val="black">
              <a:alpha val="40000"/>
            </a:prstClr>
          </a:outerShdw>
        </a:effectLst>
      </xdr:spPr>
    </xdr:pic>
    <xdr:clientData/>
  </xdr:twoCellAnchor>
  <xdr:twoCellAnchor editAs="oneCell">
    <xdr:from>
      <xdr:col>14</xdr:col>
      <xdr:colOff>0</xdr:colOff>
      <xdr:row>7</xdr:row>
      <xdr:rowOff>0</xdr:rowOff>
    </xdr:from>
    <xdr:to>
      <xdr:col>15</xdr:col>
      <xdr:colOff>239952</xdr:colOff>
      <xdr:row>7</xdr:row>
      <xdr:rowOff>182896</xdr:rowOff>
    </xdr:to>
    <xdr:pic>
      <xdr:nvPicPr>
        <xdr:cNvPr id="8" name="Grafik 7">
          <a:hlinkClick xmlns:r="http://schemas.openxmlformats.org/officeDocument/2006/relationships" r:id="rId7" tooltip="Zum K2a Blatt"/>
          <a:extLst>
            <a:ext uri="{FF2B5EF4-FFF2-40B4-BE49-F238E27FC236}">
              <a16:creationId xmlns:a16="http://schemas.microsoft.com/office/drawing/2014/main" id="{85262BFB-77AC-4CEE-8C0A-779BC6F25C1F}"/>
            </a:ext>
          </a:extLst>
        </xdr:cNvPr>
        <xdr:cNvPicPr>
          <a:picLocks noChangeAspect="1"/>
        </xdr:cNvPicPr>
      </xdr:nvPicPr>
      <xdr:blipFill>
        <a:blip xmlns:r="http://schemas.openxmlformats.org/officeDocument/2006/relationships" r:embed="rId8"/>
        <a:stretch>
          <a:fillRect/>
        </a:stretch>
      </xdr:blipFill>
      <xdr:spPr>
        <a:xfrm>
          <a:off x="6617074" y="1714500"/>
          <a:ext cx="1164437" cy="182896"/>
        </a:xfrm>
        <a:prstGeom prst="rect">
          <a:avLst/>
        </a:prstGeom>
        <a:effectLst>
          <a:outerShdw blurRad="50800" dist="38100" dir="5400000" algn="t" rotWithShape="0">
            <a:prstClr val="black">
              <a:alpha val="40000"/>
            </a:prstClr>
          </a:outerShdw>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0</xdr:colOff>
      <xdr:row>16</xdr:row>
      <xdr:rowOff>0</xdr:rowOff>
    </xdr:from>
    <xdr:to>
      <xdr:col>14</xdr:col>
      <xdr:colOff>250037</xdr:colOff>
      <xdr:row>16</xdr:row>
      <xdr:rowOff>182896</xdr:rowOff>
    </xdr:to>
    <xdr:pic>
      <xdr:nvPicPr>
        <xdr:cNvPr id="3" name="Grafik 2">
          <a:hlinkClick xmlns:r="http://schemas.openxmlformats.org/officeDocument/2006/relationships" r:id="rId1" tooltip="Zum K2-Blatt"/>
          <a:extLst>
            <a:ext uri="{FF2B5EF4-FFF2-40B4-BE49-F238E27FC236}">
              <a16:creationId xmlns:a16="http://schemas.microsoft.com/office/drawing/2014/main" id="{359390F9-1AD5-4B20-AC5C-35196C7DE1A6}"/>
            </a:ext>
          </a:extLst>
        </xdr:cNvPr>
        <xdr:cNvPicPr>
          <a:picLocks noChangeAspect="1"/>
        </xdr:cNvPicPr>
      </xdr:nvPicPr>
      <xdr:blipFill>
        <a:blip xmlns:r="http://schemas.openxmlformats.org/officeDocument/2006/relationships" r:embed="rId2"/>
        <a:stretch>
          <a:fillRect/>
        </a:stretch>
      </xdr:blipFill>
      <xdr:spPr>
        <a:xfrm>
          <a:off x="6710363" y="4100513"/>
          <a:ext cx="1164437" cy="182896"/>
        </a:xfrm>
        <a:prstGeom prst="rect">
          <a:avLst/>
        </a:prstGeom>
        <a:effectLst>
          <a:outerShdw blurRad="50800" dist="38100" dir="5400000" algn="t" rotWithShape="0">
            <a:prstClr val="black">
              <a:alpha val="40000"/>
            </a:prstClr>
          </a:outerShdw>
        </a:effec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16</xdr:col>
      <xdr:colOff>452438</xdr:colOff>
      <xdr:row>39</xdr:row>
      <xdr:rowOff>28575</xdr:rowOff>
    </xdr:from>
    <xdr:to>
      <xdr:col>27</xdr:col>
      <xdr:colOff>20103</xdr:colOff>
      <xdr:row>39</xdr:row>
      <xdr:rowOff>223664</xdr:rowOff>
    </xdr:to>
    <xdr:pic>
      <xdr:nvPicPr>
        <xdr:cNvPr id="2" name="Grafik 1">
          <a:hlinkClick xmlns:r="http://schemas.openxmlformats.org/officeDocument/2006/relationships" r:id="rId1" tooltip="Zur Kalkulation"/>
          <a:extLst>
            <a:ext uri="{FF2B5EF4-FFF2-40B4-BE49-F238E27FC236}">
              <a16:creationId xmlns:a16="http://schemas.microsoft.com/office/drawing/2014/main" id="{AA8C6E16-8EAC-4D4A-96DF-1C189DCE5CCF}"/>
            </a:ext>
          </a:extLst>
        </xdr:cNvPr>
        <xdr:cNvPicPr>
          <a:picLocks noChangeAspect="1"/>
        </xdr:cNvPicPr>
      </xdr:nvPicPr>
      <xdr:blipFill>
        <a:blip xmlns:r="http://schemas.openxmlformats.org/officeDocument/2006/relationships" r:embed="rId2"/>
        <a:stretch>
          <a:fillRect/>
        </a:stretch>
      </xdr:blipFill>
      <xdr:spPr>
        <a:xfrm>
          <a:off x="6691313" y="7653338"/>
          <a:ext cx="1158340" cy="195089"/>
        </a:xfrm>
        <a:prstGeom prst="rect">
          <a:avLst/>
        </a:prstGeom>
        <a:ln>
          <a:noFill/>
        </a:ln>
        <a:effectLst>
          <a:outerShdw blurRad="50800" dist="38100" dir="5400000" algn="t" rotWithShape="0">
            <a:prstClr val="black">
              <a:alpha val="40000"/>
            </a:prstClr>
          </a:outerShdw>
        </a:effec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16</xdr:col>
      <xdr:colOff>428625</xdr:colOff>
      <xdr:row>39</xdr:row>
      <xdr:rowOff>38100</xdr:rowOff>
    </xdr:from>
    <xdr:to>
      <xdr:col>19</xdr:col>
      <xdr:colOff>20102</xdr:colOff>
      <xdr:row>39</xdr:row>
      <xdr:rowOff>233189</xdr:rowOff>
    </xdr:to>
    <xdr:pic>
      <xdr:nvPicPr>
        <xdr:cNvPr id="3" name="Grafik 2">
          <a:hlinkClick xmlns:r="http://schemas.openxmlformats.org/officeDocument/2006/relationships" r:id="rId1"/>
          <a:extLst>
            <a:ext uri="{FF2B5EF4-FFF2-40B4-BE49-F238E27FC236}">
              <a16:creationId xmlns:a16="http://schemas.microsoft.com/office/drawing/2014/main" id="{8A5D0A01-5D88-4B14-B361-1373239A0031}"/>
            </a:ext>
          </a:extLst>
        </xdr:cNvPr>
        <xdr:cNvPicPr>
          <a:picLocks noChangeAspect="1"/>
        </xdr:cNvPicPr>
      </xdr:nvPicPr>
      <xdr:blipFill>
        <a:blip xmlns:r="http://schemas.openxmlformats.org/officeDocument/2006/relationships" r:embed="rId2"/>
        <a:stretch>
          <a:fillRect/>
        </a:stretch>
      </xdr:blipFill>
      <xdr:spPr>
        <a:xfrm>
          <a:off x="6677025" y="7662863"/>
          <a:ext cx="1158340" cy="195089"/>
        </a:xfrm>
        <a:prstGeom prst="rect">
          <a:avLst/>
        </a:prstGeom>
        <a:ln>
          <a:noFill/>
        </a:ln>
        <a:effectLst>
          <a:outerShdw blurRad="50800" dist="38100" dir="5400000" algn="t" rotWithShape="0">
            <a:prstClr val="black">
              <a:alpha val="40000"/>
            </a:prstClr>
          </a:outerShdw>
        </a:effec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16</xdr:col>
      <xdr:colOff>533400</xdr:colOff>
      <xdr:row>39</xdr:row>
      <xdr:rowOff>28575</xdr:rowOff>
    </xdr:from>
    <xdr:to>
      <xdr:col>19</xdr:col>
      <xdr:colOff>20102</xdr:colOff>
      <xdr:row>39</xdr:row>
      <xdr:rowOff>223664</xdr:rowOff>
    </xdr:to>
    <xdr:pic>
      <xdr:nvPicPr>
        <xdr:cNvPr id="2" name="Grafik 1">
          <a:hlinkClick xmlns:r="http://schemas.openxmlformats.org/officeDocument/2006/relationships" r:id="rId1" tooltip="Zur Kalkulation"/>
          <a:extLst>
            <a:ext uri="{FF2B5EF4-FFF2-40B4-BE49-F238E27FC236}">
              <a16:creationId xmlns:a16="http://schemas.microsoft.com/office/drawing/2014/main" id="{2D1237FA-46F0-482E-AA5E-CB0534569887}"/>
            </a:ext>
          </a:extLst>
        </xdr:cNvPr>
        <xdr:cNvPicPr>
          <a:picLocks noChangeAspect="1"/>
        </xdr:cNvPicPr>
      </xdr:nvPicPr>
      <xdr:blipFill>
        <a:blip xmlns:r="http://schemas.openxmlformats.org/officeDocument/2006/relationships" r:embed="rId2"/>
        <a:stretch>
          <a:fillRect/>
        </a:stretch>
      </xdr:blipFill>
      <xdr:spPr>
        <a:xfrm>
          <a:off x="6781800" y="7653338"/>
          <a:ext cx="1158340" cy="195089"/>
        </a:xfrm>
        <a:prstGeom prst="rect">
          <a:avLst/>
        </a:prstGeom>
        <a:ln>
          <a:noFill/>
        </a:ln>
        <a:effectLst>
          <a:outerShdw blurRad="50800" dist="38100" dir="5400000" algn="t" rotWithShape="0">
            <a:prstClr val="black">
              <a:alpha val="40000"/>
            </a:prstClr>
          </a:outerShdw>
        </a:effec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16</xdr:col>
      <xdr:colOff>490538</xdr:colOff>
      <xdr:row>39</xdr:row>
      <xdr:rowOff>123825</xdr:rowOff>
    </xdr:from>
    <xdr:to>
      <xdr:col>19</xdr:col>
      <xdr:colOff>20102</xdr:colOff>
      <xdr:row>39</xdr:row>
      <xdr:rowOff>318914</xdr:rowOff>
    </xdr:to>
    <xdr:pic>
      <xdr:nvPicPr>
        <xdr:cNvPr id="2" name="Grafik 1">
          <a:hlinkClick xmlns:r="http://schemas.openxmlformats.org/officeDocument/2006/relationships" r:id="rId1" tooltip="Zur Kalkulation"/>
          <a:extLst>
            <a:ext uri="{FF2B5EF4-FFF2-40B4-BE49-F238E27FC236}">
              <a16:creationId xmlns:a16="http://schemas.microsoft.com/office/drawing/2014/main" id="{F4C24397-F372-4A9E-BA11-C9B7A662895C}"/>
            </a:ext>
          </a:extLst>
        </xdr:cNvPr>
        <xdr:cNvPicPr>
          <a:picLocks noChangeAspect="1"/>
        </xdr:cNvPicPr>
      </xdr:nvPicPr>
      <xdr:blipFill>
        <a:blip xmlns:r="http://schemas.openxmlformats.org/officeDocument/2006/relationships" r:embed="rId2"/>
        <a:stretch>
          <a:fillRect/>
        </a:stretch>
      </xdr:blipFill>
      <xdr:spPr>
        <a:xfrm>
          <a:off x="6738938" y="7748588"/>
          <a:ext cx="1158340" cy="195089"/>
        </a:xfrm>
        <a:prstGeom prst="rect">
          <a:avLst/>
        </a:prstGeom>
        <a:ln>
          <a:noFill/>
        </a:ln>
        <a:effectLst>
          <a:outerShdw blurRad="50800" dist="38100" dir="5400000" algn="t" rotWithShape="0">
            <a:prstClr val="black">
              <a:alpha val="40000"/>
            </a:prstClr>
          </a:outerShdw>
        </a:effec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akropik/Desktop/Kropik/Desktop/BUCH%20Kalk/2020%20K3%2002xx%20E+M%20Mittellohn.xlsx" TargetMode="External"/><Relationship Id="rId1" Type="http://schemas.openxmlformats.org/officeDocument/2006/relationships/externalLinkPath" Target="/Users/akropik/Desktop/Kropik/Desktop/BUCH%20Kalk/2020%20K3%2002xx%20E+M%20Mittelloh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wbsrv02.bwb.local\Daten\Projekte\2015\018-WKO%20-%20MLP%20Brosch&#252;re%202015\Unterlagen\USK-Empfehlung%202015-LN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tamm KV-Daten"/>
      <sheetName val="Stamm Pers.NK"/>
      <sheetName val="Projekt"/>
      <sheetName val="K2 2020"/>
      <sheetName val=" K3 2020 MLP"/>
      <sheetName val=" K3 2020 Regie1"/>
      <sheetName val=" K3 2020 Regie2"/>
      <sheetName val=" K3 1999"/>
    </sheetNames>
    <sheetDataSet>
      <sheetData sheetId="0">
        <row r="7">
          <cell r="A7" t="str">
            <v>LG Techniker</v>
          </cell>
        </row>
        <row r="8">
          <cell r="A8" t="str">
            <v>LG 1 Spitzenfacharbeiter</v>
          </cell>
        </row>
        <row r="9">
          <cell r="A9" t="str">
            <v>LG 2 Qualifizierter Facharbeiter</v>
          </cell>
        </row>
        <row r="10">
          <cell r="A10" t="str">
            <v xml:space="preserve">LG 3 Facharbeiter </v>
          </cell>
        </row>
        <row r="11">
          <cell r="A11" t="str">
            <v>LG 4 Besonders qualifizierter Arbeitnehmer</v>
          </cell>
        </row>
        <row r="12">
          <cell r="A12" t="str">
            <v>LG 5 Qualifizierter Arbeitnehmer</v>
          </cell>
        </row>
        <row r="13">
          <cell r="A13" t="str">
            <v>LG 6 Arbeitnehmer mit Zweckausbildung</v>
          </cell>
        </row>
        <row r="14">
          <cell r="A14" t="str">
            <v>LG 7 Arbeitnehmer ohne Zweckausbildung</v>
          </cell>
        </row>
        <row r="15">
          <cell r="A15"/>
        </row>
        <row r="16">
          <cell r="A16" t="str">
            <v>1. Lehrjahr</v>
          </cell>
        </row>
        <row r="17">
          <cell r="A17" t="str">
            <v>2. Lehrjahr</v>
          </cell>
        </row>
        <row r="18">
          <cell r="A18" t="str">
            <v>3. Lehrjahr</v>
          </cell>
        </row>
        <row r="19">
          <cell r="A19" t="str">
            <v>4. Lehrjahr</v>
          </cell>
        </row>
        <row r="20">
          <cell r="A20"/>
        </row>
        <row r="21">
          <cell r="A21"/>
        </row>
        <row r="22">
          <cell r="A22"/>
        </row>
        <row r="23">
          <cell r="A23"/>
        </row>
        <row r="24">
          <cell r="A24"/>
        </row>
        <row r="25">
          <cell r="A25"/>
        </row>
        <row r="26">
          <cell r="A26"/>
        </row>
        <row r="27">
          <cell r="A27"/>
        </row>
        <row r="28">
          <cell r="A28"/>
        </row>
        <row r="29">
          <cell r="A29"/>
        </row>
        <row r="30">
          <cell r="A30"/>
        </row>
        <row r="31">
          <cell r="A31"/>
        </row>
        <row r="32">
          <cell r="A32"/>
        </row>
        <row r="33">
          <cell r="A33"/>
        </row>
        <row r="39">
          <cell r="A39" t="str">
            <v>Zeitausgleich 25%</v>
          </cell>
        </row>
        <row r="40">
          <cell r="A40"/>
        </row>
        <row r="41">
          <cell r="A41" t="str">
            <v>Überstunde 50%</v>
          </cell>
        </row>
        <row r="42">
          <cell r="A42" t="str">
            <v>Überstunde 75%</v>
          </cell>
        </row>
        <row r="43">
          <cell r="A43" t="str">
            <v>Überstunde 100%</v>
          </cell>
        </row>
        <row r="44">
          <cell r="A44"/>
        </row>
        <row r="45">
          <cell r="A45"/>
        </row>
        <row r="46">
          <cell r="A46"/>
        </row>
        <row r="47">
          <cell r="A47"/>
        </row>
        <row r="48">
          <cell r="A48"/>
        </row>
        <row r="50">
          <cell r="A50" t="str">
            <v>Sonntagszuschlag (Basis=Lohn)</v>
          </cell>
        </row>
        <row r="51">
          <cell r="A51"/>
        </row>
        <row r="52">
          <cell r="A52"/>
        </row>
        <row r="53">
          <cell r="A53"/>
        </row>
        <row r="54">
          <cell r="A54"/>
        </row>
        <row r="55">
          <cell r="A55"/>
        </row>
        <row r="56">
          <cell r="A56"/>
        </row>
        <row r="57">
          <cell r="A57"/>
        </row>
        <row r="58">
          <cell r="A58"/>
        </row>
        <row r="59">
          <cell r="A59"/>
        </row>
        <row r="61">
          <cell r="A61" t="str">
            <v>Nachtarbeitszulage (€), 22–6 Uhr</v>
          </cell>
        </row>
        <row r="62">
          <cell r="A62" t="str">
            <v>Schichtzulage (€), 2. Schicht</v>
          </cell>
        </row>
        <row r="63">
          <cell r="A63"/>
        </row>
        <row r="64">
          <cell r="A64"/>
        </row>
        <row r="65">
          <cell r="A65"/>
        </row>
        <row r="71">
          <cell r="A71" t="str">
            <v>Vorarbeiterzuschlag</v>
          </cell>
        </row>
        <row r="72">
          <cell r="A72" t="str">
            <v>Schmutzzulage</v>
          </cell>
        </row>
        <row r="73">
          <cell r="A73" t="str">
            <v>Erschwerniszulage</v>
          </cell>
        </row>
        <row r="74">
          <cell r="A74" t="str">
            <v>Gefahrenzulage</v>
          </cell>
        </row>
        <row r="75">
          <cell r="A75"/>
        </row>
        <row r="76">
          <cell r="A76"/>
        </row>
        <row r="77">
          <cell r="A77"/>
        </row>
        <row r="78">
          <cell r="A78"/>
        </row>
        <row r="79">
          <cell r="A79"/>
        </row>
        <row r="80">
          <cell r="A80"/>
        </row>
        <row r="81">
          <cell r="A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103">
          <cell r="A103" t="str">
            <v>kleine Entfernungszulage (&gt;6Std)</v>
          </cell>
        </row>
        <row r="104">
          <cell r="A104" t="str">
            <v>mittlere Entfernungszulage (&gt;11Std)</v>
          </cell>
        </row>
        <row r="105">
          <cell r="A105" t="str">
            <v>große Entfernungszulage (&gt;11Std + Nächt.)</v>
          </cell>
        </row>
        <row r="106">
          <cell r="A106"/>
        </row>
        <row r="107">
          <cell r="A107" t="str">
            <v>Nächtigungsgeld</v>
          </cell>
        </row>
        <row r="108">
          <cell r="A108"/>
        </row>
        <row r="109">
          <cell r="A109"/>
        </row>
        <row r="110">
          <cell r="A110"/>
        </row>
        <row r="111">
          <cell r="A111"/>
        </row>
        <row r="112">
          <cell r="A112"/>
        </row>
        <row r="113">
          <cell r="A113"/>
        </row>
        <row r="114">
          <cell r="A114"/>
        </row>
        <row r="117">
          <cell r="A117" t="str">
            <v>Montagezulage</v>
          </cell>
        </row>
        <row r="118">
          <cell r="A118"/>
        </row>
        <row r="119">
          <cell r="A119"/>
        </row>
        <row r="122">
          <cell r="A122"/>
        </row>
        <row r="123">
          <cell r="A123"/>
        </row>
        <row r="124">
          <cell r="A124"/>
        </row>
        <row r="125">
          <cell r="A125"/>
        </row>
        <row r="126">
          <cell r="A126"/>
        </row>
        <row r="127">
          <cell r="A127"/>
        </row>
      </sheetData>
      <sheetData sheetId="1"/>
      <sheetData sheetId="2">
        <row r="5">
          <cell r="D5" t="str">
            <v>Stahlbau NN GmbH</v>
          </cell>
        </row>
        <row r="242">
          <cell r="A242" t="str">
            <v/>
          </cell>
        </row>
        <row r="243">
          <cell r="A243" t="str">
            <v>Fertigungsgemeinkosten</v>
          </cell>
        </row>
        <row r="244">
          <cell r="A244" t="str">
            <v>Bauleitungskosten (personelle BGK)</v>
          </cell>
        </row>
        <row r="245">
          <cell r="A245" t="str">
            <v>Eigene Kalkulation1</v>
          </cell>
        </row>
        <row r="246">
          <cell r="A246" t="str">
            <v/>
          </cell>
        </row>
      </sheetData>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LL_AZ.XLS"/>
      <sheetName val="SV_SATZ.XLS"/>
      <sheetName val="KALK.XLS"/>
      <sheetName val="LOHNNK"/>
      <sheetName val="KV-TAB 2015 gewichtet"/>
      <sheetName val="Schlechtwetter"/>
    </sheetNames>
    <sheetDataSet>
      <sheetData sheetId="0">
        <row r="58">
          <cell r="H58">
            <v>39</v>
          </cell>
        </row>
      </sheetData>
      <sheetData sheetId="1">
        <row r="12">
          <cell r="G12">
            <v>0.5</v>
          </cell>
        </row>
        <row r="15">
          <cell r="H15">
            <v>26.7</v>
          </cell>
        </row>
        <row r="39">
          <cell r="E39">
            <v>4650</v>
          </cell>
        </row>
      </sheetData>
      <sheetData sheetId="2">
        <row r="6">
          <cell r="L6">
            <v>0.51634604036350762</v>
          </cell>
        </row>
      </sheetData>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E57FF-C61F-4DB2-B94B-EAB2DEDE0564}">
  <sheetPr codeName="Tabelle1">
    <tabColor rgb="FFFF0000"/>
  </sheetPr>
  <dimension ref="A1:AF224"/>
  <sheetViews>
    <sheetView showGridLines="0" topLeftCell="A4" zoomScale="70" zoomScaleNormal="70" workbookViewId="0">
      <selection activeCell="C7" sqref="C7:F7"/>
    </sheetView>
  </sheetViews>
  <sheetFormatPr baseColWidth="10" defaultColWidth="10.6640625" defaultRowHeight="15.75" x14ac:dyDescent="0.25"/>
  <cols>
    <col min="1" max="1" width="24" style="7" customWidth="1"/>
    <col min="2" max="2" width="3" style="7" customWidth="1"/>
    <col min="3" max="4" width="11.33203125" style="7" customWidth="1"/>
    <col min="5" max="5" width="3" style="7" customWidth="1"/>
    <col min="6" max="6" width="15.33203125" style="7" customWidth="1"/>
    <col min="7" max="7" width="4.6640625" style="7" customWidth="1"/>
    <col min="8" max="8" width="18.109375" style="204" customWidth="1"/>
    <col min="9" max="9" width="13.21875" style="204" customWidth="1"/>
    <col min="10" max="11" width="13.21875" style="7" customWidth="1"/>
    <col min="12" max="12" width="13.21875" style="916" customWidth="1"/>
    <col min="13" max="13" width="9.33203125" style="916" customWidth="1"/>
    <col min="14" max="14" width="9.33203125" style="1261" hidden="1" customWidth="1"/>
    <col min="15" max="27" width="10.6640625" style="1261" hidden="1" customWidth="1"/>
    <col min="28" max="28" width="10.6640625" style="1140" customWidth="1"/>
    <col min="29" max="29" width="10.6640625" style="883" customWidth="1"/>
    <col min="30" max="16384" width="10.6640625" style="7"/>
  </cols>
  <sheetData>
    <row r="1" spans="1:32" ht="15.75" customHeight="1" x14ac:dyDescent="0.25">
      <c r="A1" s="167"/>
      <c r="B1" s="2941" t="s">
        <v>229</v>
      </c>
      <c r="C1" s="2942"/>
      <c r="D1" s="2942"/>
      <c r="E1" s="2942"/>
      <c r="F1" s="2942"/>
      <c r="G1" s="2943"/>
      <c r="N1" s="1334"/>
      <c r="O1" s="1334"/>
      <c r="P1" s="1334"/>
      <c r="Q1" s="1334"/>
      <c r="R1" s="1334"/>
      <c r="S1" s="1334"/>
      <c r="T1" s="1334"/>
      <c r="U1" s="1334"/>
      <c r="V1" s="1334"/>
      <c r="W1" s="1334"/>
      <c r="X1" s="1334"/>
      <c r="Y1" s="1334"/>
      <c r="Z1" s="1334"/>
      <c r="AA1" s="1334"/>
    </row>
    <row r="2" spans="1:32" x14ac:dyDescent="0.25">
      <c r="A2" s="168"/>
      <c r="B2" s="2944"/>
      <c r="C2" s="2945"/>
      <c r="D2" s="2945"/>
      <c r="E2" s="2945"/>
      <c r="F2" s="2945"/>
      <c r="G2" s="2946"/>
      <c r="N2" s="1278" t="s">
        <v>777</v>
      </c>
      <c r="O2" s="1278"/>
      <c r="P2" s="1278"/>
      <c r="Q2" s="1278"/>
      <c r="R2" s="1278"/>
      <c r="S2" s="1278"/>
      <c r="T2" s="1278"/>
      <c r="U2" s="1278"/>
      <c r="V2" s="1278"/>
    </row>
    <row r="3" spans="1:32" x14ac:dyDescent="0.25">
      <c r="A3" s="168"/>
      <c r="B3" s="2944"/>
      <c r="C3" s="2945"/>
      <c r="D3" s="2945"/>
      <c r="E3" s="2945"/>
      <c r="F3" s="2945"/>
      <c r="G3" s="2946"/>
      <c r="N3" s="1261" t="s">
        <v>778</v>
      </c>
    </row>
    <row r="4" spans="1:32" x14ac:dyDescent="0.25">
      <c r="A4" s="168"/>
      <c r="B4" s="2944"/>
      <c r="C4" s="2945"/>
      <c r="D4" s="2945"/>
      <c r="E4" s="2945"/>
      <c r="F4" s="2945"/>
      <c r="G4" s="2946"/>
      <c r="N4" s="2922" t="s">
        <v>1007</v>
      </c>
      <c r="O4" s="2922"/>
      <c r="P4" s="2922"/>
      <c r="Q4" s="2922"/>
      <c r="R4" s="2922"/>
      <c r="S4" s="2922"/>
      <c r="T4" s="2922"/>
      <c r="U4" s="2922"/>
      <c r="V4" s="2922"/>
    </row>
    <row r="5" spans="1:32" ht="16.149999999999999" customHeight="1" x14ac:dyDescent="0.25">
      <c r="A5" s="168"/>
      <c r="B5" s="2947" t="s">
        <v>220</v>
      </c>
      <c r="C5" s="2948"/>
      <c r="D5" s="2909"/>
      <c r="E5" s="2909"/>
      <c r="F5" s="2909"/>
      <c r="G5" s="2910"/>
      <c r="N5" s="2922"/>
      <c r="O5" s="2922"/>
      <c r="P5" s="2922"/>
      <c r="Q5" s="2922"/>
      <c r="R5" s="2922"/>
      <c r="S5" s="2922"/>
      <c r="T5" s="2922"/>
      <c r="U5" s="2922"/>
      <c r="V5" s="2922"/>
    </row>
    <row r="6" spans="1:32" ht="26.85" customHeight="1" x14ac:dyDescent="0.25">
      <c r="A6" s="911"/>
      <c r="B6" s="169"/>
      <c r="C6" s="169"/>
      <c r="D6" s="169"/>
      <c r="E6" s="169"/>
      <c r="F6" s="169"/>
      <c r="G6" s="170"/>
      <c r="H6" s="2924" t="str">
        <f ca="1">IF(_OK?&lt;&gt;"OK!","Die fehlende Aktivierung kann folgende Gründe haben:
(1) Es sind keine oder ungültige Werte eingetragen oder"&amp;"
(2) Die Laufzeit der Lizenz ist abgelaufen.
"&amp;"Haben Sie gültige Lizenzdaten und funktioniert die Aktivierung nicht, kontrollieren Sie bitte ihre Eingaben. Sie müssen genau mit den Aktivierungsdaten übereinstimmen."&amp;" Häfige Fehler sind nicht beachtete Groß-/Kleinschreibung und Leerzeichen"&amp;" (am Besten mittels copy/paste vom übermittelten Lizenzblatt übertragen). Die Kontrollzeilen und die"&amp;" angegebene Zeichenanzahl (im Lizentblatt ab 03/2024 ebenfalls vorhanden), helfen Ihnen dabei.
"&amp;"Falls sich Ihre Firmenbezeichnung (Zeile 1 und 2) ändert, fordern Sie bitte unter Angabe der aktuellen Daten einen neuen Lizenzchlüssel an.","")</f>
        <v>Die fehlende Aktivierung kann folgende Gründe haben:
(1) Es sind keine oder ungültige Werte eingetragen oder
(2) Die Laufzeit der Lizenz ist abgelaufen.
Haben Sie gültige Lizenzdaten und funktioniert die Aktivierung nicht, kontrollieren Sie bitte ihre Eingaben. Sie müssen genau mit den Aktivierungsdaten übereinstimmen. Häfige Fehler sind nicht beachtete Groß-/Kleinschreibung und Leerzeichen (am Besten mittels copy/paste vom übermittelten Lizenzblatt übertragen). Die Kontrollzeilen und die angegebene Zeichenanzahl (im Lizentblatt ab 03/2024 ebenfalls vorhanden), helfen Ihnen dabei.
Falls sich Ihre Firmenbezeichnung (Zeile 1 und 2) ändert, fordern Sie bitte unter Angabe der aktuellen Daten einen neuen Lizenzchlüssel an.</v>
      </c>
      <c r="I6" s="2924"/>
      <c r="J6" s="2924"/>
      <c r="N6" s="2922"/>
      <c r="O6" s="2922"/>
      <c r="P6" s="2922"/>
      <c r="Q6" s="2922"/>
      <c r="R6" s="2922"/>
      <c r="S6" s="2922"/>
      <c r="T6" s="2922"/>
      <c r="U6" s="2922"/>
      <c r="V6" s="2922"/>
      <c r="AE6" s="204"/>
      <c r="AF6" s="204"/>
    </row>
    <row r="7" spans="1:32" ht="26.85" customHeight="1" x14ac:dyDescent="0.25">
      <c r="A7" s="912" t="s">
        <v>765</v>
      </c>
      <c r="B7" s="169"/>
      <c r="C7" s="2899" t="s">
        <v>1130</v>
      </c>
      <c r="D7" s="2900"/>
      <c r="E7" s="2900"/>
      <c r="F7" s="2949"/>
      <c r="G7" s="915">
        <f>LEN(C7)</f>
        <v>40</v>
      </c>
      <c r="H7" s="2924"/>
      <c r="I7" s="2924"/>
      <c r="J7" s="2924"/>
      <c r="AE7" s="204"/>
      <c r="AF7" s="204"/>
    </row>
    <row r="8" spans="1:32" ht="51" customHeight="1" x14ac:dyDescent="0.25">
      <c r="A8" s="913" t="s">
        <v>764</v>
      </c>
      <c r="B8" s="169"/>
      <c r="C8" s="2911" t="str">
        <f>"&gt;"&amp;C7&amp;"&lt;"</f>
        <v>&gt;MUSTER-BAU-GMBH (Testzugang bis 31.5.24)&lt;</v>
      </c>
      <c r="D8" s="2911"/>
      <c r="E8" s="2911"/>
      <c r="F8" s="2911"/>
      <c r="G8" s="192"/>
      <c r="H8" s="2924"/>
      <c r="I8" s="2924"/>
      <c r="J8" s="2924"/>
      <c r="N8" s="1262" t="s">
        <v>223</v>
      </c>
      <c r="O8" s="1263"/>
      <c r="P8" s="1263"/>
      <c r="Q8" s="1263"/>
      <c r="R8" s="1263"/>
      <c r="S8" s="1263"/>
      <c r="T8" s="1263"/>
      <c r="U8" s="1263"/>
      <c r="V8" s="1263"/>
      <c r="W8" s="1263"/>
      <c r="X8" s="1263"/>
      <c r="Y8" s="1263"/>
      <c r="Z8" s="1335"/>
      <c r="AA8" s="1336"/>
      <c r="AE8" s="204"/>
      <c r="AF8" s="204"/>
    </row>
    <row r="9" spans="1:32" ht="26.85" customHeight="1" x14ac:dyDescent="0.25">
      <c r="A9" s="912" t="s">
        <v>766</v>
      </c>
      <c r="B9" s="169"/>
      <c r="C9" s="2908" t="s">
        <v>1131</v>
      </c>
      <c r="D9" s="2908"/>
      <c r="E9" s="2908"/>
      <c r="F9" s="2908"/>
      <c r="G9" s="915">
        <f>LEN(C9)</f>
        <v>12</v>
      </c>
      <c r="H9" s="2924"/>
      <c r="I9" s="2924"/>
      <c r="J9" s="2924"/>
      <c r="K9" s="917"/>
      <c r="L9" s="918"/>
      <c r="M9" s="918"/>
      <c r="N9" s="1264"/>
      <c r="O9" s="1265"/>
      <c r="Z9" s="1337"/>
      <c r="AA9" s="1338"/>
      <c r="AE9" s="204"/>
      <c r="AF9" s="204"/>
    </row>
    <row r="10" spans="1:32" ht="51.4" customHeight="1" x14ac:dyDescent="0.25">
      <c r="A10" s="913" t="s">
        <v>764</v>
      </c>
      <c r="B10" s="169"/>
      <c r="C10" s="2933" t="str">
        <f>"&gt;"&amp;C9&amp;"&lt;"</f>
        <v>&gt;Ort / Straße&lt;</v>
      </c>
      <c r="D10" s="2933"/>
      <c r="E10" s="2933"/>
      <c r="F10" s="2933"/>
      <c r="G10" s="192"/>
      <c r="H10" s="2924"/>
      <c r="I10" s="2924"/>
      <c r="J10" s="2924"/>
      <c r="K10" s="917"/>
      <c r="L10" s="918"/>
      <c r="M10" s="918"/>
      <c r="N10" s="1266" t="s">
        <v>1004</v>
      </c>
      <c r="Q10" s="1261" t="str">
        <f ca="1">IFERROR(IF(OR('L-Rechner'!B56=F11,AND(F11="NEU",NOW()&lt;R10)),"OK!","f"),"f")</f>
        <v>OK!</v>
      </c>
      <c r="R10" s="1267">
        <v>46082</v>
      </c>
      <c r="Z10" s="1337"/>
      <c r="AA10" s="1338"/>
      <c r="AE10" s="204"/>
      <c r="AF10" s="204"/>
    </row>
    <row r="11" spans="1:32" ht="26.85" customHeight="1" x14ac:dyDescent="0.25">
      <c r="A11" s="912" t="s">
        <v>1003</v>
      </c>
      <c r="B11" s="169"/>
      <c r="C11" s="2925" t="s">
        <v>1132</v>
      </c>
      <c r="D11" s="2926"/>
      <c r="E11" s="914">
        <f>LEN(C11)</f>
        <v>23</v>
      </c>
      <c r="F11" s="1258" t="s">
        <v>1133</v>
      </c>
      <c r="G11" s="914">
        <f>LEN(F11)</f>
        <v>4</v>
      </c>
      <c r="H11" s="2924"/>
      <c r="I11" s="2924"/>
      <c r="J11" s="2924"/>
      <c r="K11" s="917"/>
      <c r="L11" s="918"/>
      <c r="M11" s="918"/>
      <c r="N11" s="1266" t="s">
        <v>1005</v>
      </c>
      <c r="O11" s="1268"/>
      <c r="Q11" s="1261" t="str">
        <f>IFERROR(IF('L-Rechner'!B48=C11,"OK!","f"),"f")</f>
        <v>OK!</v>
      </c>
      <c r="Z11" s="1337"/>
      <c r="AA11" s="1338"/>
      <c r="AE11" s="204"/>
      <c r="AF11" s="204"/>
    </row>
    <row r="12" spans="1:32" ht="51" customHeight="1" x14ac:dyDescent="0.25">
      <c r="A12" s="913" t="s">
        <v>1002</v>
      </c>
      <c r="B12" s="169"/>
      <c r="C12" s="2934" t="str">
        <f>"&gt;"&amp;C11&amp;"&lt;"&amp;IF(E11&lt;&gt;23,"
Code muss 23 Zeichen lang sein!","")</f>
        <v>&gt;045v038K378h271J443o230&lt;</v>
      </c>
      <c r="D12" s="2934"/>
      <c r="E12" s="169"/>
      <c r="F12" s="1259" t="str">
        <f>"&gt;"&amp;F11&amp;"&lt;"</f>
        <v>&gt;jfbv&lt;</v>
      </c>
      <c r="G12" s="1253"/>
      <c r="H12" s="2924"/>
      <c r="I12" s="2924"/>
      <c r="J12" s="2924"/>
      <c r="K12" s="917"/>
      <c r="L12" s="918"/>
      <c r="M12" s="918"/>
      <c r="N12" s="2927"/>
      <c r="O12" s="2928"/>
      <c r="P12" s="2928"/>
      <c r="Z12" s="1337"/>
      <c r="AA12" s="1338"/>
      <c r="AE12" s="204"/>
      <c r="AF12" s="204"/>
    </row>
    <row r="13" spans="1:32" x14ac:dyDescent="0.25">
      <c r="A13" s="2935"/>
      <c r="B13" s="2936"/>
      <c r="C13" s="2936"/>
      <c r="D13" s="2936"/>
      <c r="E13" s="2936"/>
      <c r="F13" s="2937"/>
      <c r="G13" s="2938"/>
      <c r="N13" s="1264"/>
      <c r="Z13" s="1337"/>
      <c r="AA13" s="1338"/>
      <c r="AE13" s="204"/>
      <c r="AF13" s="204"/>
    </row>
    <row r="14" spans="1:32" ht="54.4" customHeight="1" x14ac:dyDescent="0.25">
      <c r="A14" s="1234" t="s">
        <v>205</v>
      </c>
      <c r="B14" s="2939">
        <f>Q14</f>
        <v>45443</v>
      </c>
      <c r="C14" s="2939"/>
      <c r="D14" s="2929" t="str">
        <f ca="1">IF(_OK?="OK!",N2,N3)</f>
        <v>Keine gültige oder abgelaufene Lizenz. Aktivierung mittels Bestellschein siehe www.bauwesen.at/K3.</v>
      </c>
      <c r="E14" s="2929"/>
      <c r="F14" s="2929"/>
      <c r="G14" s="2930"/>
      <c r="H14" s="2923" t="str">
        <f ca="1">IF(AND(Q11="OK!",Q15="OK!",Q10="f"),N4,"")</f>
        <v/>
      </c>
      <c r="I14" s="2923"/>
      <c r="J14" s="2923"/>
      <c r="K14" s="919"/>
      <c r="L14" s="920"/>
      <c r="M14" s="920"/>
      <c r="N14" s="1269" t="str">
        <f>LEFT(C11,3)</f>
        <v>045</v>
      </c>
      <c r="O14" s="1270" t="str">
        <f>RIGHT(C11,7)</f>
        <v>443o230</v>
      </c>
      <c r="P14" s="1270" t="str">
        <f>LEFT(O14,3)</f>
        <v>443</v>
      </c>
      <c r="Q14" s="1271">
        <f>N14*1000+P14</f>
        <v>45443</v>
      </c>
      <c r="Z14" s="1337"/>
      <c r="AA14" s="1338"/>
      <c r="AE14" s="204"/>
      <c r="AF14" s="204"/>
    </row>
    <row r="15" spans="1:32" ht="55.35" customHeight="1" x14ac:dyDescent="0.25">
      <c r="A15" s="1235"/>
      <c r="B15" s="2940">
        <f ca="1">IFERROR(B14-TODAY(),-15)</f>
        <v>-699</v>
      </c>
      <c r="C15" s="2940"/>
      <c r="D15" s="2931"/>
      <c r="E15" s="2931"/>
      <c r="F15" s="2931"/>
      <c r="G15" s="2932"/>
      <c r="H15" s="2923"/>
      <c r="I15" s="2923"/>
      <c r="J15" s="2923"/>
      <c r="K15" s="919"/>
      <c r="L15" s="920"/>
      <c r="M15" s="920"/>
      <c r="N15" s="1266" t="s">
        <v>1001</v>
      </c>
      <c r="Q15" s="1261" t="str">
        <f ca="1">IFERROR(IF(B15&gt;-14,"OK!","f"),"f")</f>
        <v>f</v>
      </c>
      <c r="Z15" s="1337"/>
      <c r="AA15" s="1338"/>
      <c r="AE15" s="204"/>
      <c r="AF15" s="204"/>
    </row>
    <row r="16" spans="1:32" x14ac:dyDescent="0.25">
      <c r="A16" s="1236"/>
      <c r="B16" s="1237"/>
      <c r="C16" s="1237"/>
      <c r="D16" s="1236"/>
      <c r="E16" s="1236"/>
      <c r="F16" s="1238"/>
      <c r="G16" s="1238"/>
      <c r="H16" s="2923"/>
      <c r="I16" s="2923"/>
      <c r="J16" s="2923"/>
      <c r="N16" s="1261" t="s">
        <v>221</v>
      </c>
      <c r="Q16" s="1265" t="str">
        <f ca="1">IF(AND(Q10="OK!",Q11="OK!",Q15="OK!"),"OK!","f")</f>
        <v>f</v>
      </c>
      <c r="Z16" s="1337"/>
      <c r="AA16" s="1338"/>
      <c r="AE16" s="204"/>
      <c r="AF16" s="204"/>
    </row>
    <row r="17" spans="1:32" ht="79.150000000000006" customHeight="1" x14ac:dyDescent="0.25">
      <c r="A17" s="2902" t="str">
        <f ca="1">N23</f>
        <v>Keine gültige Lizenz.</v>
      </c>
      <c r="B17" s="2903"/>
      <c r="C17" s="2903"/>
      <c r="D17" s="2903"/>
      <c r="E17" s="2903"/>
      <c r="F17" s="2903"/>
      <c r="G17" s="2904"/>
      <c r="H17" s="2894" t="str">
        <f>IFERROR(IF(_OK_KV?&lt;&gt;"OK_KV!",Stammdaten!L13,""),"Quelldatei geöffnet? Vorhandenes Blatt ausgewählt? Zulässigen KollV verwendet (bei Verbandslizenzierung für Mitglieder)?")</f>
        <v/>
      </c>
      <c r="I17" s="206"/>
      <c r="J17" s="921"/>
      <c r="K17" s="921"/>
      <c r="L17" s="922"/>
      <c r="M17" s="922"/>
      <c r="N17" s="1264"/>
      <c r="Z17" s="1337"/>
      <c r="AA17" s="1338"/>
      <c r="AE17" s="204"/>
      <c r="AF17" s="204"/>
    </row>
    <row r="18" spans="1:32" x14ac:dyDescent="0.25">
      <c r="A18" s="186" t="s">
        <v>1010</v>
      </c>
      <c r="B18" s="2899" t="s">
        <v>1018</v>
      </c>
      <c r="C18" s="2900"/>
      <c r="D18" s="2900"/>
      <c r="E18" s="2900"/>
      <c r="F18" s="2901"/>
      <c r="G18" s="174"/>
      <c r="H18" s="2894"/>
      <c r="I18" s="206"/>
      <c r="J18" s="921"/>
      <c r="K18" s="921"/>
      <c r="L18" s="922"/>
      <c r="M18" s="922"/>
      <c r="N18" s="1264">
        <f ca="1">IF(AND(_OK?="OK!",OR(C9="…",C9="###")),1,0)</f>
        <v>0</v>
      </c>
      <c r="O18" s="1261" t="s">
        <v>1008</v>
      </c>
      <c r="Z18" s="1337"/>
      <c r="AA18" s="1338"/>
      <c r="AE18" s="204"/>
      <c r="AF18" s="204"/>
    </row>
    <row r="19" spans="1:32" x14ac:dyDescent="0.25">
      <c r="A19" s="119" t="s">
        <v>1011</v>
      </c>
      <c r="B19" s="2899" t="s">
        <v>1019</v>
      </c>
      <c r="C19" s="2900"/>
      <c r="D19" s="2900"/>
      <c r="E19" s="2900"/>
      <c r="F19" s="2901"/>
      <c r="G19" s="187"/>
      <c r="H19" s="2894"/>
      <c r="I19" s="206"/>
      <c r="J19" s="921"/>
      <c r="K19" s="921"/>
      <c r="L19" s="922"/>
      <c r="M19" s="922"/>
      <c r="N19" s="1272">
        <f>IFERROR(SEARCH("KV#",C9),0)</f>
        <v>0</v>
      </c>
      <c r="O19" s="1261" t="s">
        <v>1012</v>
      </c>
      <c r="Z19" s="1337"/>
      <c r="AA19" s="1338"/>
      <c r="AE19" s="204"/>
      <c r="AF19" s="204"/>
    </row>
    <row r="20" spans="1:32" ht="16.5" thickBot="1" x14ac:dyDescent="0.3">
      <c r="A20" s="1254"/>
      <c r="B20" s="1255"/>
      <c r="C20" s="1255"/>
      <c r="D20" s="1254"/>
      <c r="E20" s="1254"/>
      <c r="F20" s="1252"/>
      <c r="G20" s="1252"/>
      <c r="H20" s="2894"/>
      <c r="I20" s="206"/>
      <c r="J20" s="921"/>
      <c r="K20" s="921"/>
      <c r="L20" s="922"/>
      <c r="M20" s="922"/>
      <c r="N20" s="1261" t="str">
        <f>MID(C9,4,LEN(C9)-3)</f>
        <v xml:space="preserve"> / Straße</v>
      </c>
      <c r="Z20" s="1337"/>
      <c r="AA20" s="1339"/>
      <c r="AE20" s="204"/>
      <c r="AF20" s="204"/>
    </row>
    <row r="21" spans="1:32" ht="16.5" thickBot="1" x14ac:dyDescent="0.3">
      <c r="A21" s="2896" t="s">
        <v>210</v>
      </c>
      <c r="B21" s="2897"/>
      <c r="C21" s="2897"/>
      <c r="D21" s="2897"/>
      <c r="E21" s="2897"/>
      <c r="F21" s="2897"/>
      <c r="G21" s="2898"/>
      <c r="H21" s="2894"/>
      <c r="I21" s="206"/>
      <c r="J21" s="921"/>
      <c r="K21" s="921"/>
      <c r="L21" s="922"/>
      <c r="M21" s="922"/>
      <c r="N21" s="1273">
        <f ca="1">IFERROR(IF(SEARCH(N20,KALKULATION!B34)&gt;0,1,0),0)</f>
        <v>0</v>
      </c>
      <c r="O21" s="1261" t="s">
        <v>1013</v>
      </c>
      <c r="Z21" s="1337"/>
      <c r="AA21" s="1339"/>
      <c r="AE21" s="204"/>
      <c r="AF21" s="204"/>
    </row>
    <row r="22" spans="1:32" ht="16.5" thickBot="1" x14ac:dyDescent="0.3">
      <c r="A22" s="1256" t="s">
        <v>211</v>
      </c>
      <c r="B22" s="2895" t="str">
        <f ca="1">IFERROR(IF(_OK?="OK!",C7,"Nur als Testversion nutzbar!"),"QUELLDATEI NICHT GEÖFFNET - siehe Stammdaten!!")</f>
        <v>Nur als Testversion nutzbar!</v>
      </c>
      <c r="C22" s="2895"/>
      <c r="D22" s="2895"/>
      <c r="E22" s="2895"/>
      <c r="F22" s="2895"/>
      <c r="G22" s="1257"/>
      <c r="H22" s="2894"/>
      <c r="I22" s="206"/>
      <c r="J22" s="921"/>
      <c r="K22" s="921"/>
      <c r="L22" s="922"/>
      <c r="M22" s="922"/>
      <c r="N22" s="1264">
        <f ca="1">N19+N21</f>
        <v>0</v>
      </c>
      <c r="Z22" s="1337"/>
      <c r="AA22" s="1339"/>
      <c r="AE22" s="204"/>
      <c r="AF22" s="204"/>
    </row>
    <row r="23" spans="1:32" ht="16.5" thickBot="1" x14ac:dyDescent="0.3">
      <c r="A23" s="1256" t="s">
        <v>212</v>
      </c>
      <c r="B23" s="2895" t="str">
        <f ca="1">IFERROR(IF(_OK?&lt;&gt;"OK!","Nur als Testversion nutzbar!",IF(OR(N18=1,N21=1),B18,C9)),"QUELLDATEI NICHT GEÖFFNET - siehe Stammdaten!!")</f>
        <v>Nur als Testversion nutzbar!</v>
      </c>
      <c r="C23" s="2895"/>
      <c r="D23" s="2895"/>
      <c r="E23" s="2895"/>
      <c r="F23" s="2895"/>
      <c r="G23" s="1257"/>
      <c r="H23" s="2894"/>
      <c r="I23" s="206"/>
      <c r="J23" s="921"/>
      <c r="K23" s="921"/>
      <c r="L23" s="922"/>
      <c r="M23" s="922"/>
      <c r="N23" s="1274" t="str">
        <f ca="1">IF(_OK?&lt;&gt;"OK!",N24,IF(N18=1,N25,IF(N22=1,N26,IF(N22=2,N27,""))))</f>
        <v>Keine gültige Lizenz.</v>
      </c>
      <c r="O23" s="1275"/>
      <c r="P23" s="1275"/>
      <c r="Q23" s="1275"/>
      <c r="R23" s="1276"/>
      <c r="Z23" s="1337"/>
      <c r="AA23" s="1339"/>
      <c r="AE23" s="204"/>
      <c r="AF23" s="204"/>
    </row>
    <row r="24" spans="1:32" x14ac:dyDescent="0.25">
      <c r="A24" s="1256" t="s">
        <v>213</v>
      </c>
      <c r="B24" s="2895" t="str">
        <f ca="1">IFERROR(IF(_OK?&lt;&gt;"OK!","Nur als Testversion nutzbar!",IF(OR(N18=1,N21=1),B19,"")),"QUELLDATEI NICHT GEÖFFNET - siehe Stammdaten!!")</f>
        <v>Nur als Testversion nutzbar!</v>
      </c>
      <c r="C24" s="2895"/>
      <c r="D24" s="2895"/>
      <c r="E24" s="2895"/>
      <c r="F24" s="2895"/>
      <c r="G24" s="1257"/>
      <c r="H24" s="2894"/>
      <c r="I24" s="206"/>
      <c r="J24" s="921"/>
      <c r="K24" s="921"/>
      <c r="L24" s="922"/>
      <c r="M24" s="922"/>
      <c r="N24" s="1264" t="s">
        <v>1009</v>
      </c>
      <c r="Z24" s="1337"/>
      <c r="AA24" s="1338"/>
      <c r="AE24" s="204"/>
      <c r="AF24" s="204"/>
    </row>
    <row r="25" spans="1:32" ht="16.5" thickBot="1" x14ac:dyDescent="0.3">
      <c r="A25" s="1256"/>
      <c r="B25" s="883"/>
      <c r="C25" s="883"/>
      <c r="D25" s="883"/>
      <c r="E25" s="883"/>
      <c r="F25" s="883"/>
      <c r="G25" s="1257"/>
      <c r="H25" s="2894"/>
      <c r="I25" s="206"/>
      <c r="J25" s="921"/>
      <c r="K25" s="921"/>
      <c r="L25" s="922"/>
      <c r="M25" s="922"/>
      <c r="N25" s="1264" t="s">
        <v>1016</v>
      </c>
      <c r="Z25" s="1337"/>
      <c r="AA25" s="1338"/>
      <c r="AE25" s="204"/>
      <c r="AF25" s="204"/>
    </row>
    <row r="26" spans="1:32" ht="22.9" customHeight="1" x14ac:dyDescent="0.25">
      <c r="A26" s="2952" t="s">
        <v>251</v>
      </c>
      <c r="B26" s="2953"/>
      <c r="C26" s="2953"/>
      <c r="D26" s="2953"/>
      <c r="E26" s="2953"/>
      <c r="F26" s="2953"/>
      <c r="G26" s="2954"/>
      <c r="H26" s="2894"/>
      <c r="I26" s="206"/>
      <c r="J26" s="921"/>
      <c r="K26" s="921"/>
      <c r="L26" s="922"/>
      <c r="M26" s="922"/>
      <c r="N26" s="1264" t="s">
        <v>1014</v>
      </c>
      <c r="Z26" s="1337"/>
      <c r="AA26" s="1338"/>
      <c r="AE26" s="204"/>
      <c r="AF26" s="204"/>
    </row>
    <row r="27" spans="1:32" ht="22.9" customHeight="1" thickBot="1" x14ac:dyDescent="0.3">
      <c r="A27" s="1260" t="s">
        <v>208</v>
      </c>
      <c r="B27" s="2891"/>
      <c r="C27" s="2892"/>
      <c r="D27" s="2892"/>
      <c r="E27" s="2892"/>
      <c r="F27" s="2892"/>
      <c r="G27" s="2893"/>
      <c r="H27" s="2894"/>
      <c r="I27" s="206"/>
      <c r="J27" s="921"/>
      <c r="K27" s="921"/>
      <c r="L27" s="922"/>
      <c r="M27" s="922"/>
      <c r="N27" s="1264" t="s">
        <v>1017</v>
      </c>
      <c r="Z27" s="1337"/>
      <c r="AA27" s="1338"/>
      <c r="AE27" s="204"/>
      <c r="AF27" s="204"/>
    </row>
    <row r="28" spans="1:32" x14ac:dyDescent="0.25">
      <c r="A28" s="883"/>
      <c r="B28" s="883"/>
      <c r="C28" s="1241"/>
      <c r="D28" s="883"/>
      <c r="E28" s="883"/>
      <c r="F28" s="1240"/>
      <c r="G28" s="1240"/>
      <c r="H28" s="2894"/>
      <c r="I28" s="206"/>
      <c r="J28" s="921"/>
      <c r="K28" s="921"/>
      <c r="L28" s="922"/>
      <c r="M28" s="922"/>
      <c r="N28" s="1264"/>
      <c r="Z28" s="1337"/>
      <c r="AA28" s="1338"/>
      <c r="AE28" s="204"/>
      <c r="AF28" s="204"/>
    </row>
    <row r="29" spans="1:32" x14ac:dyDescent="0.25">
      <c r="A29" s="1242" t="s">
        <v>233</v>
      </c>
      <c r="B29" s="2955" t="str">
        <f ca="1">B22</f>
        <v>Nur als Testversion nutzbar!</v>
      </c>
      <c r="C29" s="2955"/>
      <c r="D29" s="2955"/>
      <c r="E29" s="2955"/>
      <c r="F29" s="2955"/>
      <c r="G29" s="2956"/>
      <c r="H29" s="2894"/>
      <c r="I29" s="206"/>
      <c r="J29" s="921"/>
      <c r="K29" s="921"/>
      <c r="L29" s="922"/>
      <c r="M29" s="922"/>
      <c r="N29" s="1264"/>
      <c r="O29" s="2890"/>
      <c r="P29" s="2890"/>
      <c r="Q29" s="2890"/>
      <c r="R29" s="2890"/>
      <c r="Z29" s="1337"/>
      <c r="AA29" s="1338"/>
      <c r="AE29" s="204"/>
      <c r="AF29" s="204"/>
    </row>
    <row r="30" spans="1:32" x14ac:dyDescent="0.25">
      <c r="A30" s="883"/>
      <c r="B30" s="1243"/>
      <c r="C30" s="1243"/>
      <c r="D30" s="1244"/>
      <c r="E30" s="883"/>
      <c r="F30" s="883"/>
      <c r="G30" s="883"/>
      <c r="N30" s="1264"/>
      <c r="O30" s="2890"/>
      <c r="P30" s="2890"/>
      <c r="Q30" s="2890"/>
      <c r="R30" s="2890"/>
      <c r="Z30" s="1337"/>
      <c r="AA30" s="1338"/>
      <c r="AE30" s="204"/>
      <c r="AF30" s="204"/>
    </row>
    <row r="31" spans="1:32" x14ac:dyDescent="0.25">
      <c r="A31" s="2905" t="s">
        <v>207</v>
      </c>
      <c r="B31" s="2906"/>
      <c r="C31" s="2906"/>
      <c r="D31" s="2906"/>
      <c r="E31" s="2906"/>
      <c r="F31" s="2906"/>
      <c r="G31" s="2907"/>
      <c r="N31" s="1264"/>
      <c r="O31" s="2890"/>
      <c r="P31" s="2890"/>
      <c r="Q31" s="2890"/>
      <c r="R31" s="2890"/>
      <c r="Z31" s="1337"/>
      <c r="AA31" s="1338"/>
      <c r="AE31" s="204"/>
      <c r="AF31" s="204"/>
    </row>
    <row r="32" spans="1:32" x14ac:dyDescent="0.25">
      <c r="A32" s="1245" t="s">
        <v>209</v>
      </c>
      <c r="B32" s="2974" t="s">
        <v>898</v>
      </c>
      <c r="C32" s="2974"/>
      <c r="D32" s="1246" t="s">
        <v>1092</v>
      </c>
      <c r="E32" s="1246"/>
      <c r="F32" s="2950" t="s">
        <v>219</v>
      </c>
      <c r="G32" s="2951"/>
      <c r="N32" s="1264"/>
      <c r="O32" s="2890"/>
      <c r="P32" s="2890"/>
      <c r="Q32" s="2890"/>
      <c r="R32" s="2890"/>
      <c r="Z32" s="1337"/>
      <c r="AA32" s="1338"/>
      <c r="AE32" s="204"/>
      <c r="AF32" s="204"/>
    </row>
    <row r="33" spans="1:32" x14ac:dyDescent="0.25">
      <c r="A33" s="1239" t="s">
        <v>206</v>
      </c>
      <c r="B33" s="2973"/>
      <c r="C33" s="2973"/>
      <c r="D33" s="2973"/>
      <c r="E33" s="1247"/>
      <c r="F33" s="1247"/>
      <c r="G33" s="1248"/>
      <c r="N33" s="1264"/>
      <c r="Z33" s="1337"/>
      <c r="AA33" s="1338"/>
      <c r="AE33" s="204"/>
      <c r="AF33" s="204"/>
    </row>
    <row r="34" spans="1:32" x14ac:dyDescent="0.25">
      <c r="A34" s="883"/>
      <c r="B34" s="1249"/>
      <c r="C34" s="883"/>
      <c r="D34" s="1250"/>
      <c r="E34" s="883"/>
      <c r="F34" s="883"/>
      <c r="G34" s="883"/>
      <c r="N34" s="1264"/>
      <c r="Z34" s="1337"/>
      <c r="AA34" s="1338"/>
      <c r="AE34" s="204"/>
      <c r="AF34" s="204"/>
    </row>
    <row r="35" spans="1:32" x14ac:dyDescent="0.25">
      <c r="A35" s="883"/>
      <c r="B35" s="883"/>
      <c r="C35" s="883"/>
      <c r="D35" s="883"/>
      <c r="E35" s="883"/>
      <c r="F35" s="883"/>
      <c r="G35" s="883"/>
      <c r="N35" s="1264"/>
      <c r="Z35" s="1337"/>
      <c r="AA35" s="1338"/>
      <c r="AE35" s="204"/>
      <c r="AF35" s="204"/>
    </row>
    <row r="36" spans="1:32" ht="21" x14ac:dyDescent="0.35">
      <c r="A36" s="2970" t="s">
        <v>202</v>
      </c>
      <c r="B36" s="2971"/>
      <c r="C36" s="2971"/>
      <c r="D36" s="2971"/>
      <c r="E36" s="2971"/>
      <c r="F36" s="2971"/>
      <c r="G36" s="2972"/>
      <c r="H36" s="205"/>
      <c r="N36" s="1264"/>
      <c r="Z36" s="1337"/>
      <c r="AA36" s="1338"/>
      <c r="AE36" s="204"/>
      <c r="AF36" s="204"/>
    </row>
    <row r="37" spans="1:32" ht="15.95" customHeight="1" x14ac:dyDescent="0.25">
      <c r="A37" s="883"/>
      <c r="B37" s="883"/>
      <c r="C37" s="883"/>
      <c r="D37" s="883"/>
      <c r="E37" s="883"/>
      <c r="F37" s="883"/>
      <c r="G37" s="883"/>
      <c r="N37" s="1264"/>
      <c r="Z37" s="1337"/>
      <c r="AA37" s="1338"/>
      <c r="AE37" s="204"/>
      <c r="AF37" s="204"/>
    </row>
    <row r="38" spans="1:32" ht="15.95" customHeight="1" x14ac:dyDescent="0.25">
      <c r="A38" s="2912" t="s">
        <v>928</v>
      </c>
      <c r="B38" s="2913"/>
      <c r="C38" s="2913"/>
      <c r="D38" s="2913"/>
      <c r="E38" s="2913"/>
      <c r="F38" s="2913"/>
      <c r="G38" s="2914"/>
      <c r="N38" s="1264"/>
      <c r="Z38" s="1337"/>
      <c r="AA38" s="1338"/>
      <c r="AE38" s="204"/>
      <c r="AF38" s="204"/>
    </row>
    <row r="39" spans="1:32" ht="15.95" customHeight="1" x14ac:dyDescent="0.25">
      <c r="A39" s="2915"/>
      <c r="B39" s="2916"/>
      <c r="C39" s="2916"/>
      <c r="D39" s="2916"/>
      <c r="E39" s="2916"/>
      <c r="F39" s="2916"/>
      <c r="G39" s="2917"/>
      <c r="N39" s="1264"/>
      <c r="Z39" s="1337"/>
      <c r="AA39" s="1338"/>
      <c r="AE39" s="204"/>
      <c r="AF39" s="204"/>
    </row>
    <row r="40" spans="1:32" ht="15.95" customHeight="1" x14ac:dyDescent="0.25">
      <c r="A40" s="2915"/>
      <c r="B40" s="2916"/>
      <c r="C40" s="2916"/>
      <c r="D40" s="2916"/>
      <c r="E40" s="2916"/>
      <c r="F40" s="2916"/>
      <c r="G40" s="2917"/>
      <c r="N40" s="1264"/>
      <c r="Z40" s="1337"/>
      <c r="AA40" s="1338"/>
      <c r="AE40" s="204"/>
      <c r="AF40" s="204"/>
    </row>
    <row r="41" spans="1:32" ht="15.95" customHeight="1" x14ac:dyDescent="0.25">
      <c r="A41" s="2915"/>
      <c r="B41" s="2916"/>
      <c r="C41" s="2916"/>
      <c r="D41" s="2916"/>
      <c r="E41" s="2916"/>
      <c r="F41" s="2916"/>
      <c r="G41" s="2917"/>
      <c r="N41" s="1273"/>
      <c r="O41" s="1277"/>
      <c r="P41" s="1277"/>
      <c r="Q41" s="1277"/>
      <c r="R41" s="1277"/>
      <c r="S41" s="1277"/>
      <c r="T41" s="1277"/>
      <c r="U41" s="1277"/>
      <c r="V41" s="1277"/>
      <c r="W41" s="1277"/>
      <c r="X41" s="1277"/>
      <c r="Y41" s="1277"/>
      <c r="Z41" s="1340"/>
      <c r="AA41" s="1341"/>
    </row>
    <row r="42" spans="1:32" ht="15.95" customHeight="1" x14ac:dyDescent="0.25">
      <c r="A42" s="2915"/>
      <c r="B42" s="2916"/>
      <c r="C42" s="2916"/>
      <c r="D42" s="2916"/>
      <c r="E42" s="2916"/>
      <c r="F42" s="2916"/>
      <c r="G42" s="2917"/>
    </row>
    <row r="43" spans="1:32" ht="15.95" customHeight="1" x14ac:dyDescent="0.25">
      <c r="A43" s="2915"/>
      <c r="B43" s="2916"/>
      <c r="C43" s="2916"/>
      <c r="D43" s="2916"/>
      <c r="E43" s="2916"/>
      <c r="F43" s="2916"/>
      <c r="G43" s="2917"/>
    </row>
    <row r="44" spans="1:32" ht="15.95" customHeight="1" x14ac:dyDescent="0.25">
      <c r="A44" s="2915"/>
      <c r="B44" s="2916"/>
      <c r="C44" s="2916"/>
      <c r="D44" s="2916"/>
      <c r="E44" s="2916"/>
      <c r="F44" s="2916"/>
      <c r="G44" s="2917"/>
    </row>
    <row r="45" spans="1:32" ht="15.95" customHeight="1" x14ac:dyDescent="0.25">
      <c r="A45" s="2915"/>
      <c r="B45" s="2916"/>
      <c r="C45" s="2916"/>
      <c r="D45" s="2916"/>
      <c r="E45" s="2916"/>
      <c r="F45" s="2916"/>
      <c r="G45" s="2917"/>
    </row>
    <row r="46" spans="1:32" x14ac:dyDescent="0.25">
      <c r="A46" s="2915"/>
      <c r="B46" s="2916"/>
      <c r="C46" s="2916"/>
      <c r="D46" s="2916"/>
      <c r="E46" s="2916"/>
      <c r="F46" s="2916"/>
      <c r="G46" s="2917"/>
    </row>
    <row r="47" spans="1:32" x14ac:dyDescent="0.25">
      <c r="A47" s="2915"/>
      <c r="B47" s="2916"/>
      <c r="C47" s="2916"/>
      <c r="D47" s="2916"/>
      <c r="E47" s="2916"/>
      <c r="F47" s="2916"/>
      <c r="G47" s="2917"/>
    </row>
    <row r="48" spans="1:32" x14ac:dyDescent="0.25">
      <c r="A48" s="2915"/>
      <c r="B48" s="2916"/>
      <c r="C48" s="2916"/>
      <c r="D48" s="2916"/>
      <c r="E48" s="2916"/>
      <c r="F48" s="2916"/>
      <c r="G48" s="2917"/>
    </row>
    <row r="49" spans="1:7" x14ac:dyDescent="0.25">
      <c r="A49" s="2915"/>
      <c r="B49" s="2916"/>
      <c r="C49" s="2916"/>
      <c r="D49" s="2916"/>
      <c r="E49" s="2916"/>
      <c r="F49" s="2916"/>
      <c r="G49" s="2917"/>
    </row>
    <row r="50" spans="1:7" x14ac:dyDescent="0.25">
      <c r="A50" s="2915"/>
      <c r="B50" s="2916"/>
      <c r="C50" s="2916"/>
      <c r="D50" s="2916"/>
      <c r="E50" s="2916"/>
      <c r="F50" s="2916"/>
      <c r="G50" s="2917"/>
    </row>
    <row r="51" spans="1:7" x14ac:dyDescent="0.25">
      <c r="A51" s="2915"/>
      <c r="B51" s="2916"/>
      <c r="C51" s="2916"/>
      <c r="D51" s="2916"/>
      <c r="E51" s="2916"/>
      <c r="F51" s="2916"/>
      <c r="G51" s="2917"/>
    </row>
    <row r="52" spans="1:7" x14ac:dyDescent="0.25">
      <c r="A52" s="2915"/>
      <c r="B52" s="2916"/>
      <c r="C52" s="2916"/>
      <c r="D52" s="2916"/>
      <c r="E52" s="2916"/>
      <c r="F52" s="2916"/>
      <c r="G52" s="2917"/>
    </row>
    <row r="53" spans="1:7" x14ac:dyDescent="0.25">
      <c r="A53" s="2915"/>
      <c r="B53" s="2916"/>
      <c r="C53" s="2916"/>
      <c r="D53" s="2916"/>
      <c r="E53" s="2916"/>
      <c r="F53" s="2916"/>
      <c r="G53" s="2917"/>
    </row>
    <row r="54" spans="1:7" x14ac:dyDescent="0.25">
      <c r="A54" s="2915"/>
      <c r="B54" s="2916"/>
      <c r="C54" s="2916"/>
      <c r="D54" s="2916"/>
      <c r="E54" s="2916"/>
      <c r="F54" s="2916"/>
      <c r="G54" s="2917"/>
    </row>
    <row r="55" spans="1:7" x14ac:dyDescent="0.25">
      <c r="A55" s="2915"/>
      <c r="B55" s="2916"/>
      <c r="C55" s="2916"/>
      <c r="D55" s="2916"/>
      <c r="E55" s="2916"/>
      <c r="F55" s="2916"/>
      <c r="G55" s="2917"/>
    </row>
    <row r="56" spans="1:7" x14ac:dyDescent="0.25">
      <c r="A56" s="2915"/>
      <c r="B56" s="2916"/>
      <c r="C56" s="2916"/>
      <c r="D56" s="2916"/>
      <c r="E56" s="2916"/>
      <c r="F56" s="2916"/>
      <c r="G56" s="2917"/>
    </row>
    <row r="57" spans="1:7" x14ac:dyDescent="0.25">
      <c r="A57" s="2915"/>
      <c r="B57" s="2916"/>
      <c r="C57" s="2916"/>
      <c r="D57" s="2916"/>
      <c r="E57" s="2916"/>
      <c r="F57" s="2916"/>
      <c r="G57" s="2917"/>
    </row>
    <row r="58" spans="1:7" x14ac:dyDescent="0.25">
      <c r="A58" s="2915"/>
      <c r="B58" s="2916"/>
      <c r="C58" s="2916"/>
      <c r="D58" s="2916"/>
      <c r="E58" s="2916"/>
      <c r="F58" s="2916"/>
      <c r="G58" s="2917"/>
    </row>
    <row r="59" spans="1:7" x14ac:dyDescent="0.25">
      <c r="A59" s="2915"/>
      <c r="B59" s="2916"/>
      <c r="C59" s="2916"/>
      <c r="D59" s="2916"/>
      <c r="E59" s="2916"/>
      <c r="F59" s="2916"/>
      <c r="G59" s="2917"/>
    </row>
    <row r="60" spans="1:7" x14ac:dyDescent="0.25">
      <c r="A60" s="2915"/>
      <c r="B60" s="2916"/>
      <c r="C60" s="2916"/>
      <c r="D60" s="2916"/>
      <c r="E60" s="2916"/>
      <c r="F60" s="2916"/>
      <c r="G60" s="2917"/>
    </row>
    <row r="61" spans="1:7" x14ac:dyDescent="0.25">
      <c r="A61" s="2915"/>
      <c r="B61" s="2916"/>
      <c r="C61" s="2916"/>
      <c r="D61" s="2916"/>
      <c r="E61" s="2916"/>
      <c r="F61" s="2916"/>
      <c r="G61" s="2917"/>
    </row>
    <row r="62" spans="1:7" x14ac:dyDescent="0.25">
      <c r="A62" s="2915"/>
      <c r="B62" s="2916"/>
      <c r="C62" s="2916"/>
      <c r="D62" s="2916"/>
      <c r="E62" s="2916"/>
      <c r="F62" s="2916"/>
      <c r="G62" s="2917"/>
    </row>
    <row r="63" spans="1:7" x14ac:dyDescent="0.25">
      <c r="A63" s="2915"/>
      <c r="B63" s="2916"/>
      <c r="C63" s="2916"/>
      <c r="D63" s="2916"/>
      <c r="E63" s="2916"/>
      <c r="F63" s="2916"/>
      <c r="G63" s="2917"/>
    </row>
    <row r="64" spans="1:7" x14ac:dyDescent="0.25">
      <c r="A64" s="2915"/>
      <c r="B64" s="2916"/>
      <c r="C64" s="2916"/>
      <c r="D64" s="2916"/>
      <c r="E64" s="2916"/>
      <c r="F64" s="2916"/>
      <c r="G64" s="2917"/>
    </row>
    <row r="65" spans="1:7" x14ac:dyDescent="0.25">
      <c r="A65" s="2918"/>
      <c r="B65" s="2919"/>
      <c r="C65" s="2919"/>
      <c r="D65" s="2919"/>
      <c r="E65" s="2919"/>
      <c r="F65" s="2919"/>
      <c r="G65" s="2920"/>
    </row>
    <row r="67" spans="1:7" ht="15.75" customHeight="1" x14ac:dyDescent="0.25">
      <c r="A67" s="2921" t="s">
        <v>235</v>
      </c>
      <c r="B67" s="2913"/>
      <c r="C67" s="2913"/>
      <c r="D67" s="2913"/>
      <c r="E67" s="2913"/>
      <c r="F67" s="2913"/>
      <c r="G67" s="2914"/>
    </row>
    <row r="68" spans="1:7" x14ac:dyDescent="0.25">
      <c r="A68" s="2915"/>
      <c r="B68" s="2916"/>
      <c r="C68" s="2916"/>
      <c r="D68" s="2916"/>
      <c r="E68" s="2916"/>
      <c r="F68" s="2916"/>
      <c r="G68" s="2917"/>
    </row>
    <row r="69" spans="1:7" x14ac:dyDescent="0.25">
      <c r="A69" s="2915"/>
      <c r="B69" s="2916"/>
      <c r="C69" s="2916"/>
      <c r="D69" s="2916"/>
      <c r="E69" s="2916"/>
      <c r="F69" s="2916"/>
      <c r="G69" s="2917"/>
    </row>
    <row r="70" spans="1:7" x14ac:dyDescent="0.25">
      <c r="A70" s="2915"/>
      <c r="B70" s="2916"/>
      <c r="C70" s="2916"/>
      <c r="D70" s="2916"/>
      <c r="E70" s="2916"/>
      <c r="F70" s="2916"/>
      <c r="G70" s="2917"/>
    </row>
    <row r="71" spans="1:7" x14ac:dyDescent="0.25">
      <c r="A71" s="2915"/>
      <c r="B71" s="2916"/>
      <c r="C71" s="2916"/>
      <c r="D71" s="2916"/>
      <c r="E71" s="2916"/>
      <c r="F71" s="2916"/>
      <c r="G71" s="2917"/>
    </row>
    <row r="72" spans="1:7" x14ac:dyDescent="0.25">
      <c r="A72" s="2915"/>
      <c r="B72" s="2916"/>
      <c r="C72" s="2916"/>
      <c r="D72" s="2916"/>
      <c r="E72" s="2916"/>
      <c r="F72" s="2916"/>
      <c r="G72" s="2917"/>
    </row>
    <row r="73" spans="1:7" x14ac:dyDescent="0.25">
      <c r="A73" s="2915"/>
      <c r="B73" s="2916"/>
      <c r="C73" s="2916"/>
      <c r="D73" s="2916"/>
      <c r="E73" s="2916"/>
      <c r="F73" s="2916"/>
      <c r="G73" s="2917"/>
    </row>
    <row r="74" spans="1:7" x14ac:dyDescent="0.25">
      <c r="A74" s="2915"/>
      <c r="B74" s="2916"/>
      <c r="C74" s="2916"/>
      <c r="D74" s="2916"/>
      <c r="E74" s="2916"/>
      <c r="F74" s="2916"/>
      <c r="G74" s="2917"/>
    </row>
    <row r="75" spans="1:7" x14ac:dyDescent="0.25">
      <c r="A75" s="2915"/>
      <c r="B75" s="2916"/>
      <c r="C75" s="2916"/>
      <c r="D75" s="2916"/>
      <c r="E75" s="2916"/>
      <c r="F75" s="2916"/>
      <c r="G75" s="2917"/>
    </row>
    <row r="76" spans="1:7" x14ac:dyDescent="0.25">
      <c r="A76" s="2915"/>
      <c r="B76" s="2916"/>
      <c r="C76" s="2916"/>
      <c r="D76" s="2916"/>
      <c r="E76" s="2916"/>
      <c r="F76" s="2916"/>
      <c r="G76" s="2917"/>
    </row>
    <row r="77" spans="1:7" x14ac:dyDescent="0.25">
      <c r="A77" s="2915"/>
      <c r="B77" s="2916"/>
      <c r="C77" s="2916"/>
      <c r="D77" s="2916"/>
      <c r="E77" s="2916"/>
      <c r="F77" s="2916"/>
      <c r="G77" s="2917"/>
    </row>
    <row r="78" spans="1:7" x14ac:dyDescent="0.25">
      <c r="A78" s="2915"/>
      <c r="B78" s="2916"/>
      <c r="C78" s="2916"/>
      <c r="D78" s="2916"/>
      <c r="E78" s="2916"/>
      <c r="F78" s="2916"/>
      <c r="G78" s="2917"/>
    </row>
    <row r="79" spans="1:7" x14ac:dyDescent="0.25">
      <c r="A79" s="2915"/>
      <c r="B79" s="2916"/>
      <c r="C79" s="2916"/>
      <c r="D79" s="2916"/>
      <c r="E79" s="2916"/>
      <c r="F79" s="2916"/>
      <c r="G79" s="2917"/>
    </row>
    <row r="80" spans="1:7" x14ac:dyDescent="0.25">
      <c r="A80" s="2915"/>
      <c r="B80" s="2916"/>
      <c r="C80" s="2916"/>
      <c r="D80" s="2916"/>
      <c r="E80" s="2916"/>
      <c r="F80" s="2916"/>
      <c r="G80" s="2917"/>
    </row>
    <row r="81" spans="1:7" x14ac:dyDescent="0.25">
      <c r="A81" s="2915"/>
      <c r="B81" s="2916"/>
      <c r="C81" s="2916"/>
      <c r="D81" s="2916"/>
      <c r="E81" s="2916"/>
      <c r="F81" s="2916"/>
      <c r="G81" s="2917"/>
    </row>
    <row r="82" spans="1:7" x14ac:dyDescent="0.25">
      <c r="A82" s="2915"/>
      <c r="B82" s="2916"/>
      <c r="C82" s="2916"/>
      <c r="D82" s="2916"/>
      <c r="E82" s="2916"/>
      <c r="F82" s="2916"/>
      <c r="G82" s="2917"/>
    </row>
    <row r="83" spans="1:7" x14ac:dyDescent="0.25">
      <c r="A83" s="2915"/>
      <c r="B83" s="2916"/>
      <c r="C83" s="2916"/>
      <c r="D83" s="2916"/>
      <c r="E83" s="2916"/>
      <c r="F83" s="2916"/>
      <c r="G83" s="2917"/>
    </row>
    <row r="84" spans="1:7" x14ac:dyDescent="0.25">
      <c r="A84" s="2915"/>
      <c r="B84" s="2916"/>
      <c r="C84" s="2916"/>
      <c r="D84" s="2916"/>
      <c r="E84" s="2916"/>
      <c r="F84" s="2916"/>
      <c r="G84" s="2917"/>
    </row>
    <row r="85" spans="1:7" x14ac:dyDescent="0.25">
      <c r="A85" s="2915"/>
      <c r="B85" s="2916"/>
      <c r="C85" s="2916"/>
      <c r="D85" s="2916"/>
      <c r="E85" s="2916"/>
      <c r="F85" s="2916"/>
      <c r="G85" s="2917"/>
    </row>
    <row r="86" spans="1:7" x14ac:dyDescent="0.25">
      <c r="A86" s="2915"/>
      <c r="B86" s="2916"/>
      <c r="C86" s="2916"/>
      <c r="D86" s="2916"/>
      <c r="E86" s="2916"/>
      <c r="F86" s="2916"/>
      <c r="G86" s="2917"/>
    </row>
    <row r="87" spans="1:7" x14ac:dyDescent="0.25">
      <c r="A87" s="2915"/>
      <c r="B87" s="2916"/>
      <c r="C87" s="2916"/>
      <c r="D87" s="2916"/>
      <c r="E87" s="2916"/>
      <c r="F87" s="2916"/>
      <c r="G87" s="2917"/>
    </row>
    <row r="88" spans="1:7" x14ac:dyDescent="0.25">
      <c r="A88" s="2915"/>
      <c r="B88" s="2916"/>
      <c r="C88" s="2916"/>
      <c r="D88" s="2916"/>
      <c r="E88" s="2916"/>
      <c r="F88" s="2916"/>
      <c r="G88" s="2917"/>
    </row>
    <row r="89" spans="1:7" x14ac:dyDescent="0.25">
      <c r="A89" s="2918"/>
      <c r="B89" s="2919"/>
      <c r="C89" s="2919"/>
      <c r="D89" s="2919"/>
      <c r="E89" s="2919"/>
      <c r="F89" s="2919"/>
      <c r="G89" s="2920"/>
    </row>
    <row r="92" spans="1:7" ht="15.75" customHeight="1" x14ac:dyDescent="0.25">
      <c r="A92" s="2912" t="s">
        <v>929</v>
      </c>
      <c r="B92" s="2913"/>
      <c r="C92" s="2913"/>
      <c r="D92" s="2913"/>
      <c r="E92" s="2913"/>
      <c r="F92" s="2913"/>
      <c r="G92" s="2914"/>
    </row>
    <row r="93" spans="1:7" x14ac:dyDescent="0.25">
      <c r="A93" s="2915"/>
      <c r="B93" s="2916"/>
      <c r="C93" s="2916"/>
      <c r="D93" s="2916"/>
      <c r="E93" s="2916"/>
      <c r="F93" s="2916"/>
      <c r="G93" s="2917"/>
    </row>
    <row r="94" spans="1:7" x14ac:dyDescent="0.25">
      <c r="A94" s="2915"/>
      <c r="B94" s="2916"/>
      <c r="C94" s="2916"/>
      <c r="D94" s="2916"/>
      <c r="E94" s="2916"/>
      <c r="F94" s="2916"/>
      <c r="G94" s="2917"/>
    </row>
    <row r="95" spans="1:7" x14ac:dyDescent="0.25">
      <c r="A95" s="2915"/>
      <c r="B95" s="2916"/>
      <c r="C95" s="2916"/>
      <c r="D95" s="2916"/>
      <c r="E95" s="2916"/>
      <c r="F95" s="2916"/>
      <c r="G95" s="2917"/>
    </row>
    <row r="96" spans="1:7" x14ac:dyDescent="0.25">
      <c r="A96" s="2915"/>
      <c r="B96" s="2916"/>
      <c r="C96" s="2916"/>
      <c r="D96" s="2916"/>
      <c r="E96" s="2916"/>
      <c r="F96" s="2916"/>
      <c r="G96" s="2917"/>
    </row>
    <row r="97" spans="1:7" x14ac:dyDescent="0.25">
      <c r="A97" s="2915"/>
      <c r="B97" s="2916"/>
      <c r="C97" s="2916"/>
      <c r="D97" s="2916"/>
      <c r="E97" s="2916"/>
      <c r="F97" s="2916"/>
      <c r="G97" s="2917"/>
    </row>
    <row r="98" spans="1:7" x14ac:dyDescent="0.25">
      <c r="A98" s="2915"/>
      <c r="B98" s="2916"/>
      <c r="C98" s="2916"/>
      <c r="D98" s="2916"/>
      <c r="E98" s="2916"/>
      <c r="F98" s="2916"/>
      <c r="G98" s="2917"/>
    </row>
    <row r="99" spans="1:7" x14ac:dyDescent="0.25">
      <c r="A99" s="2915"/>
      <c r="B99" s="2916"/>
      <c r="C99" s="2916"/>
      <c r="D99" s="2916"/>
      <c r="E99" s="2916"/>
      <c r="F99" s="2916"/>
      <c r="G99" s="2917"/>
    </row>
    <row r="100" spans="1:7" x14ac:dyDescent="0.25">
      <c r="A100" s="2915"/>
      <c r="B100" s="2916"/>
      <c r="C100" s="2916"/>
      <c r="D100" s="2916"/>
      <c r="E100" s="2916"/>
      <c r="F100" s="2916"/>
      <c r="G100" s="2917"/>
    </row>
    <row r="101" spans="1:7" x14ac:dyDescent="0.25">
      <c r="A101" s="2915"/>
      <c r="B101" s="2916"/>
      <c r="C101" s="2916"/>
      <c r="D101" s="2916"/>
      <c r="E101" s="2916"/>
      <c r="F101" s="2916"/>
      <c r="G101" s="2917"/>
    </row>
    <row r="102" spans="1:7" x14ac:dyDescent="0.25">
      <c r="A102" s="2915"/>
      <c r="B102" s="2916"/>
      <c r="C102" s="2916"/>
      <c r="D102" s="2916"/>
      <c r="E102" s="2916"/>
      <c r="F102" s="2916"/>
      <c r="G102" s="2917"/>
    </row>
    <row r="103" spans="1:7" x14ac:dyDescent="0.25">
      <c r="A103" s="2915"/>
      <c r="B103" s="2916"/>
      <c r="C103" s="2916"/>
      <c r="D103" s="2916"/>
      <c r="E103" s="2916"/>
      <c r="F103" s="2916"/>
      <c r="G103" s="2917"/>
    </row>
    <row r="104" spans="1:7" x14ac:dyDescent="0.25">
      <c r="A104" s="2915"/>
      <c r="B104" s="2916"/>
      <c r="C104" s="2916"/>
      <c r="D104" s="2916"/>
      <c r="E104" s="2916"/>
      <c r="F104" s="2916"/>
      <c r="G104" s="2917"/>
    </row>
    <row r="105" spans="1:7" x14ac:dyDescent="0.25">
      <c r="A105" s="2915"/>
      <c r="B105" s="2916"/>
      <c r="C105" s="2916"/>
      <c r="D105" s="2916"/>
      <c r="E105" s="2916"/>
      <c r="F105" s="2916"/>
      <c r="G105" s="2917"/>
    </row>
    <row r="106" spans="1:7" x14ac:dyDescent="0.25">
      <c r="A106" s="2915"/>
      <c r="B106" s="2916"/>
      <c r="C106" s="2916"/>
      <c r="D106" s="2916"/>
      <c r="E106" s="2916"/>
      <c r="F106" s="2916"/>
      <c r="G106" s="2917"/>
    </row>
    <row r="107" spans="1:7" x14ac:dyDescent="0.25">
      <c r="A107" s="2915"/>
      <c r="B107" s="2916"/>
      <c r="C107" s="2916"/>
      <c r="D107" s="2916"/>
      <c r="E107" s="2916"/>
      <c r="F107" s="2916"/>
      <c r="G107" s="2917"/>
    </row>
    <row r="108" spans="1:7" x14ac:dyDescent="0.25">
      <c r="A108" s="2915"/>
      <c r="B108" s="2916"/>
      <c r="C108" s="2916"/>
      <c r="D108" s="2916"/>
      <c r="E108" s="2916"/>
      <c r="F108" s="2916"/>
      <c r="G108" s="2917"/>
    </row>
    <row r="109" spans="1:7" x14ac:dyDescent="0.25">
      <c r="A109" s="2915"/>
      <c r="B109" s="2916"/>
      <c r="C109" s="2916"/>
      <c r="D109" s="2916"/>
      <c r="E109" s="2916"/>
      <c r="F109" s="2916"/>
      <c r="G109" s="2917"/>
    </row>
    <row r="110" spans="1:7" x14ac:dyDescent="0.25">
      <c r="A110" s="2915"/>
      <c r="B110" s="2916"/>
      <c r="C110" s="2916"/>
      <c r="D110" s="2916"/>
      <c r="E110" s="2916"/>
      <c r="F110" s="2916"/>
      <c r="G110" s="2917"/>
    </row>
    <row r="111" spans="1:7" x14ac:dyDescent="0.25">
      <c r="A111" s="2915"/>
      <c r="B111" s="2916"/>
      <c r="C111" s="2916"/>
      <c r="D111" s="2916"/>
      <c r="E111" s="2916"/>
      <c r="F111" s="2916"/>
      <c r="G111" s="2917"/>
    </row>
    <row r="112" spans="1:7" x14ac:dyDescent="0.25">
      <c r="A112" s="2918"/>
      <c r="B112" s="2919"/>
      <c r="C112" s="2919"/>
      <c r="D112" s="2919"/>
      <c r="E112" s="2919"/>
      <c r="F112" s="2919"/>
      <c r="G112" s="2920"/>
    </row>
    <row r="114" spans="1:7" x14ac:dyDescent="0.25">
      <c r="A114" s="2935" t="s">
        <v>930</v>
      </c>
      <c r="B114" s="2936"/>
      <c r="C114" s="2936"/>
      <c r="D114" s="2936"/>
      <c r="E114" s="2936"/>
      <c r="F114" s="2936"/>
      <c r="G114" s="2969"/>
    </row>
    <row r="116" spans="1:7" hidden="1" x14ac:dyDescent="0.25">
      <c r="A116" s="2960" t="s">
        <v>236</v>
      </c>
      <c r="B116" s="2961"/>
      <c r="C116" s="2961"/>
      <c r="D116" s="2961"/>
      <c r="E116" s="2961"/>
      <c r="F116" s="2961"/>
      <c r="G116" s="2962"/>
    </row>
    <row r="117" spans="1:7" hidden="1" x14ac:dyDescent="0.25">
      <c r="A117" s="2963"/>
      <c r="B117" s="2964"/>
      <c r="C117" s="2964"/>
      <c r="D117" s="2964"/>
      <c r="E117" s="2964"/>
      <c r="F117" s="2964"/>
      <c r="G117" s="2965"/>
    </row>
    <row r="118" spans="1:7" hidden="1" x14ac:dyDescent="0.25">
      <c r="A118" s="2963"/>
      <c r="B118" s="2964"/>
      <c r="C118" s="2964"/>
      <c r="D118" s="2964"/>
      <c r="E118" s="2964"/>
      <c r="F118" s="2964"/>
      <c r="G118" s="2965"/>
    </row>
    <row r="119" spans="1:7" hidden="1" x14ac:dyDescent="0.25">
      <c r="A119" s="2963"/>
      <c r="B119" s="2964"/>
      <c r="C119" s="2964"/>
      <c r="D119" s="2964"/>
      <c r="E119" s="2964"/>
      <c r="F119" s="2964"/>
      <c r="G119" s="2965"/>
    </row>
    <row r="120" spans="1:7" ht="15.75" hidden="1" customHeight="1" x14ac:dyDescent="0.25">
      <c r="A120" s="2963"/>
      <c r="B120" s="2964"/>
      <c r="C120" s="2964"/>
      <c r="D120" s="2964"/>
      <c r="E120" s="2964"/>
      <c r="F120" s="2964"/>
      <c r="G120" s="2965"/>
    </row>
    <row r="121" spans="1:7" hidden="1" x14ac:dyDescent="0.25">
      <c r="A121" s="2963"/>
      <c r="B121" s="2964"/>
      <c r="C121" s="2964"/>
      <c r="D121" s="2964"/>
      <c r="E121" s="2964"/>
      <c r="F121" s="2964"/>
      <c r="G121" s="2965"/>
    </row>
    <row r="122" spans="1:7" hidden="1" x14ac:dyDescent="0.25">
      <c r="A122" s="2963"/>
      <c r="B122" s="2964"/>
      <c r="C122" s="2964"/>
      <c r="D122" s="2964"/>
      <c r="E122" s="2964"/>
      <c r="F122" s="2964"/>
      <c r="G122" s="2965"/>
    </row>
    <row r="123" spans="1:7" hidden="1" x14ac:dyDescent="0.25">
      <c r="A123" s="2963"/>
      <c r="B123" s="2964"/>
      <c r="C123" s="2964"/>
      <c r="D123" s="2964"/>
      <c r="E123" s="2964"/>
      <c r="F123" s="2964"/>
      <c r="G123" s="2965"/>
    </row>
    <row r="124" spans="1:7" hidden="1" x14ac:dyDescent="0.25">
      <c r="A124" s="2963"/>
      <c r="B124" s="2964"/>
      <c r="C124" s="2964"/>
      <c r="D124" s="2964"/>
      <c r="E124" s="2964"/>
      <c r="F124" s="2964"/>
      <c r="G124" s="2965"/>
    </row>
    <row r="125" spans="1:7" hidden="1" x14ac:dyDescent="0.25">
      <c r="A125" s="2963"/>
      <c r="B125" s="2964"/>
      <c r="C125" s="2964"/>
      <c r="D125" s="2964"/>
      <c r="E125" s="2964"/>
      <c r="F125" s="2964"/>
      <c r="G125" s="2965"/>
    </row>
    <row r="126" spans="1:7" hidden="1" x14ac:dyDescent="0.25">
      <c r="A126" s="2963"/>
      <c r="B126" s="2964"/>
      <c r="C126" s="2964"/>
      <c r="D126" s="2964"/>
      <c r="E126" s="2964"/>
      <c r="F126" s="2964"/>
      <c r="G126" s="2965"/>
    </row>
    <row r="127" spans="1:7" hidden="1" x14ac:dyDescent="0.25">
      <c r="A127" s="2963"/>
      <c r="B127" s="2964"/>
      <c r="C127" s="2964"/>
      <c r="D127" s="2964"/>
      <c r="E127" s="2964"/>
      <c r="F127" s="2964"/>
      <c r="G127" s="2965"/>
    </row>
    <row r="128" spans="1:7" hidden="1" x14ac:dyDescent="0.25">
      <c r="A128" s="2963"/>
      <c r="B128" s="2964"/>
      <c r="C128" s="2964"/>
      <c r="D128" s="2964"/>
      <c r="E128" s="2964"/>
      <c r="F128" s="2964"/>
      <c r="G128" s="2965"/>
    </row>
    <row r="129" spans="1:7" hidden="1" x14ac:dyDescent="0.25">
      <c r="A129" s="2963"/>
      <c r="B129" s="2964"/>
      <c r="C129" s="2964"/>
      <c r="D129" s="2964"/>
      <c r="E129" s="2964"/>
      <c r="F129" s="2964"/>
      <c r="G129" s="2965"/>
    </row>
    <row r="130" spans="1:7" hidden="1" x14ac:dyDescent="0.25">
      <c r="A130" s="2963"/>
      <c r="B130" s="2964"/>
      <c r="C130" s="2964"/>
      <c r="D130" s="2964"/>
      <c r="E130" s="2964"/>
      <c r="F130" s="2964"/>
      <c r="G130" s="2965"/>
    </row>
    <row r="131" spans="1:7" hidden="1" x14ac:dyDescent="0.25">
      <c r="A131" s="2963"/>
      <c r="B131" s="2964"/>
      <c r="C131" s="2964"/>
      <c r="D131" s="2964"/>
      <c r="E131" s="2964"/>
      <c r="F131" s="2964"/>
      <c r="G131" s="2965"/>
    </row>
    <row r="132" spans="1:7" hidden="1" x14ac:dyDescent="0.25">
      <c r="A132" s="2963"/>
      <c r="B132" s="2964"/>
      <c r="C132" s="2964"/>
      <c r="D132" s="2964"/>
      <c r="E132" s="2964"/>
      <c r="F132" s="2964"/>
      <c r="G132" s="2965"/>
    </row>
    <row r="133" spans="1:7" hidden="1" x14ac:dyDescent="0.25">
      <c r="A133" s="2963"/>
      <c r="B133" s="2964"/>
      <c r="C133" s="2964"/>
      <c r="D133" s="2964"/>
      <c r="E133" s="2964"/>
      <c r="F133" s="2964"/>
      <c r="G133" s="2965"/>
    </row>
    <row r="134" spans="1:7" hidden="1" x14ac:dyDescent="0.25">
      <c r="A134" s="2966"/>
      <c r="B134" s="2967"/>
      <c r="C134" s="2967"/>
      <c r="D134" s="2967"/>
      <c r="E134" s="2967"/>
      <c r="F134" s="2967"/>
      <c r="G134" s="2968"/>
    </row>
    <row r="135" spans="1:7" ht="15.75" hidden="1" customHeight="1" x14ac:dyDescent="0.25">
      <c r="A135" s="2912" t="s">
        <v>249</v>
      </c>
      <c r="B135" s="2913"/>
      <c r="C135" s="2913"/>
      <c r="D135" s="2913"/>
      <c r="E135" s="2913"/>
      <c r="F135" s="2913"/>
      <c r="G135" s="2914"/>
    </row>
    <row r="136" spans="1:7" hidden="1" x14ac:dyDescent="0.25">
      <c r="A136" s="2915"/>
      <c r="B136" s="2916"/>
      <c r="C136" s="2916"/>
      <c r="D136" s="2916"/>
      <c r="E136" s="2916"/>
      <c r="F136" s="2916"/>
      <c r="G136" s="2917"/>
    </row>
    <row r="137" spans="1:7" hidden="1" x14ac:dyDescent="0.25">
      <c r="A137" s="2915"/>
      <c r="B137" s="2916"/>
      <c r="C137" s="2916"/>
      <c r="D137" s="2916"/>
      <c r="E137" s="2916"/>
      <c r="F137" s="2916"/>
      <c r="G137" s="2917"/>
    </row>
    <row r="138" spans="1:7" hidden="1" x14ac:dyDescent="0.25">
      <c r="A138" s="2915"/>
      <c r="B138" s="2916"/>
      <c r="C138" s="2916"/>
      <c r="D138" s="2916"/>
      <c r="E138" s="2916"/>
      <c r="F138" s="2916"/>
      <c r="G138" s="2917"/>
    </row>
    <row r="139" spans="1:7" hidden="1" x14ac:dyDescent="0.25">
      <c r="A139" s="2915"/>
      <c r="B139" s="2916"/>
      <c r="C139" s="2916"/>
      <c r="D139" s="2916"/>
      <c r="E139" s="2916"/>
      <c r="F139" s="2916"/>
      <c r="G139" s="2917"/>
    </row>
    <row r="140" spans="1:7" hidden="1" x14ac:dyDescent="0.25">
      <c r="A140" s="2915"/>
      <c r="B140" s="2916"/>
      <c r="C140" s="2916"/>
      <c r="D140" s="2916"/>
      <c r="E140" s="2916"/>
      <c r="F140" s="2916"/>
      <c r="G140" s="2917"/>
    </row>
    <row r="141" spans="1:7" hidden="1" x14ac:dyDescent="0.25">
      <c r="A141" s="2915"/>
      <c r="B141" s="2916"/>
      <c r="C141" s="2916"/>
      <c r="D141" s="2916"/>
      <c r="E141" s="2916"/>
      <c r="F141" s="2916"/>
      <c r="G141" s="2917"/>
    </row>
    <row r="142" spans="1:7" hidden="1" x14ac:dyDescent="0.25">
      <c r="A142" s="2915"/>
      <c r="B142" s="2916"/>
      <c r="C142" s="2916"/>
      <c r="D142" s="2916"/>
      <c r="E142" s="2916"/>
      <c r="F142" s="2916"/>
      <c r="G142" s="2917"/>
    </row>
    <row r="143" spans="1:7" hidden="1" x14ac:dyDescent="0.25">
      <c r="A143" s="2915"/>
      <c r="B143" s="2916"/>
      <c r="C143" s="2916"/>
      <c r="D143" s="2916"/>
      <c r="E143" s="2916"/>
      <c r="F143" s="2916"/>
      <c r="G143" s="2917"/>
    </row>
    <row r="144" spans="1:7" hidden="1" x14ac:dyDescent="0.25">
      <c r="A144" s="2915"/>
      <c r="B144" s="2916"/>
      <c r="C144" s="2916"/>
      <c r="D144" s="2916"/>
      <c r="E144" s="2916"/>
      <c r="F144" s="2916"/>
      <c r="G144" s="2917"/>
    </row>
    <row r="145" spans="1:7" hidden="1" x14ac:dyDescent="0.25">
      <c r="A145" s="2915"/>
      <c r="B145" s="2916"/>
      <c r="C145" s="2916"/>
      <c r="D145" s="2916"/>
      <c r="E145" s="2916"/>
      <c r="F145" s="2916"/>
      <c r="G145" s="2917"/>
    </row>
    <row r="146" spans="1:7" hidden="1" x14ac:dyDescent="0.25">
      <c r="A146" s="2915"/>
      <c r="B146" s="2916"/>
      <c r="C146" s="2916"/>
      <c r="D146" s="2916"/>
      <c r="E146" s="2916"/>
      <c r="F146" s="2916"/>
      <c r="G146" s="2917"/>
    </row>
    <row r="147" spans="1:7" hidden="1" x14ac:dyDescent="0.25">
      <c r="A147" s="2915"/>
      <c r="B147" s="2916"/>
      <c r="C147" s="2916"/>
      <c r="D147" s="2916"/>
      <c r="E147" s="2916"/>
      <c r="F147" s="2916"/>
      <c r="G147" s="2917"/>
    </row>
    <row r="148" spans="1:7" hidden="1" x14ac:dyDescent="0.25">
      <c r="A148" s="2915"/>
      <c r="B148" s="2916"/>
      <c r="C148" s="2916"/>
      <c r="D148" s="2916"/>
      <c r="E148" s="2916"/>
      <c r="F148" s="2916"/>
      <c r="G148" s="2917"/>
    </row>
    <row r="149" spans="1:7" hidden="1" x14ac:dyDescent="0.25">
      <c r="A149" s="2915"/>
      <c r="B149" s="2916"/>
      <c r="C149" s="2916"/>
      <c r="D149" s="2916"/>
      <c r="E149" s="2916"/>
      <c r="F149" s="2916"/>
      <c r="G149" s="2917"/>
    </row>
    <row r="150" spans="1:7" hidden="1" x14ac:dyDescent="0.25">
      <c r="A150" s="2915"/>
      <c r="B150" s="2916"/>
      <c r="C150" s="2916"/>
      <c r="D150" s="2916"/>
      <c r="E150" s="2916"/>
      <c r="F150" s="2916"/>
      <c r="G150" s="2917"/>
    </row>
    <row r="151" spans="1:7" hidden="1" x14ac:dyDescent="0.25">
      <c r="A151" s="2915"/>
      <c r="B151" s="2916"/>
      <c r="C151" s="2916"/>
      <c r="D151" s="2916"/>
      <c r="E151" s="2916"/>
      <c r="F151" s="2916"/>
      <c r="G151" s="2917"/>
    </row>
    <row r="152" spans="1:7" hidden="1" x14ac:dyDescent="0.25">
      <c r="A152" s="2915"/>
      <c r="B152" s="2916"/>
      <c r="C152" s="2916"/>
      <c r="D152" s="2916"/>
      <c r="E152" s="2916"/>
      <c r="F152" s="2916"/>
      <c r="G152" s="2917"/>
    </row>
    <row r="153" spans="1:7" hidden="1" x14ac:dyDescent="0.25">
      <c r="A153" s="2915"/>
      <c r="B153" s="2916"/>
      <c r="C153" s="2916"/>
      <c r="D153" s="2916"/>
      <c r="E153" s="2916"/>
      <c r="F153" s="2916"/>
      <c r="G153" s="2917"/>
    </row>
    <row r="154" spans="1:7" hidden="1" x14ac:dyDescent="0.25">
      <c r="A154" s="2915"/>
      <c r="B154" s="2916"/>
      <c r="C154" s="2916"/>
      <c r="D154" s="2916"/>
      <c r="E154" s="2916"/>
      <c r="F154" s="2916"/>
      <c r="G154" s="2917"/>
    </row>
    <row r="155" spans="1:7" hidden="1" x14ac:dyDescent="0.25">
      <c r="A155" s="2915"/>
      <c r="B155" s="2916"/>
      <c r="C155" s="2916"/>
      <c r="D155" s="2916"/>
      <c r="E155" s="2916"/>
      <c r="F155" s="2916"/>
      <c r="G155" s="2917"/>
    </row>
    <row r="156" spans="1:7" hidden="1" x14ac:dyDescent="0.25">
      <c r="A156" s="2915"/>
      <c r="B156" s="2916"/>
      <c r="C156" s="2916"/>
      <c r="D156" s="2916"/>
      <c r="E156" s="2916"/>
      <c r="F156" s="2916"/>
      <c r="G156" s="2917"/>
    </row>
    <row r="157" spans="1:7" hidden="1" x14ac:dyDescent="0.25">
      <c r="A157" s="2915"/>
      <c r="B157" s="2916"/>
      <c r="C157" s="2916"/>
      <c r="D157" s="2916"/>
      <c r="E157" s="2916"/>
      <c r="F157" s="2916"/>
      <c r="G157" s="2917"/>
    </row>
    <row r="158" spans="1:7" hidden="1" x14ac:dyDescent="0.25">
      <c r="A158" s="2918"/>
      <c r="B158" s="2919"/>
      <c r="C158" s="2919"/>
      <c r="D158" s="2919"/>
      <c r="E158" s="2919"/>
      <c r="F158" s="2919"/>
      <c r="G158" s="2920"/>
    </row>
    <row r="159" spans="1:7" hidden="1" x14ac:dyDescent="0.25"/>
    <row r="160" spans="1:7" hidden="1" x14ac:dyDescent="0.25">
      <c r="A160" s="2957" t="s">
        <v>234</v>
      </c>
      <c r="B160" s="2958"/>
      <c r="C160" s="2958"/>
      <c r="D160" s="2958"/>
      <c r="E160" s="2958"/>
      <c r="F160" s="2958"/>
      <c r="G160" s="2959"/>
    </row>
    <row r="161" spans="1:7" hidden="1" x14ac:dyDescent="0.25"/>
    <row r="162" spans="1:7" hidden="1" x14ac:dyDescent="0.25">
      <c r="A162" s="2912" t="s">
        <v>288</v>
      </c>
      <c r="B162" s="2913"/>
      <c r="C162" s="2913"/>
      <c r="D162" s="2913"/>
      <c r="E162" s="2913"/>
      <c r="F162" s="2913"/>
      <c r="G162" s="2914"/>
    </row>
    <row r="163" spans="1:7" hidden="1" x14ac:dyDescent="0.25">
      <c r="A163" s="2915"/>
      <c r="B163" s="2916"/>
      <c r="C163" s="2916"/>
      <c r="D163" s="2916"/>
      <c r="E163" s="2916"/>
      <c r="F163" s="2916"/>
      <c r="G163" s="2917"/>
    </row>
    <row r="164" spans="1:7" hidden="1" x14ac:dyDescent="0.25">
      <c r="A164" s="2918"/>
      <c r="B164" s="2919"/>
      <c r="C164" s="2919"/>
      <c r="D164" s="2919"/>
      <c r="E164" s="2919"/>
      <c r="F164" s="2919"/>
      <c r="G164" s="2920"/>
    </row>
    <row r="166" spans="1:7" ht="15.75" customHeight="1" x14ac:dyDescent="0.25">
      <c r="A166" s="2912" t="s">
        <v>250</v>
      </c>
      <c r="B166" s="2913"/>
      <c r="C166" s="2913"/>
      <c r="D166" s="2913"/>
      <c r="E166" s="2913"/>
      <c r="F166" s="2913"/>
      <c r="G166" s="2914"/>
    </row>
    <row r="167" spans="1:7" x14ac:dyDescent="0.25">
      <c r="A167" s="2915"/>
      <c r="B167" s="2916"/>
      <c r="C167" s="2916"/>
      <c r="D167" s="2916"/>
      <c r="E167" s="2916"/>
      <c r="F167" s="2916"/>
      <c r="G167" s="2917"/>
    </row>
    <row r="168" spans="1:7" x14ac:dyDescent="0.25">
      <c r="A168" s="2915"/>
      <c r="B168" s="2916"/>
      <c r="C168" s="2916"/>
      <c r="D168" s="2916"/>
      <c r="E168" s="2916"/>
      <c r="F168" s="2916"/>
      <c r="G168" s="2917"/>
    </row>
    <row r="169" spans="1:7" x14ac:dyDescent="0.25">
      <c r="A169" s="2915"/>
      <c r="B169" s="2916"/>
      <c r="C169" s="2916"/>
      <c r="D169" s="2916"/>
      <c r="E169" s="2916"/>
      <c r="F169" s="2916"/>
      <c r="G169" s="2917"/>
    </row>
    <row r="170" spans="1:7" x14ac:dyDescent="0.25">
      <c r="A170" s="2915"/>
      <c r="B170" s="2916"/>
      <c r="C170" s="2916"/>
      <c r="D170" s="2916"/>
      <c r="E170" s="2916"/>
      <c r="F170" s="2916"/>
      <c r="G170" s="2917"/>
    </row>
    <row r="171" spans="1:7" x14ac:dyDescent="0.25">
      <c r="A171" s="2915"/>
      <c r="B171" s="2916"/>
      <c r="C171" s="2916"/>
      <c r="D171" s="2916"/>
      <c r="E171" s="2916"/>
      <c r="F171" s="2916"/>
      <c r="G171" s="2917"/>
    </row>
    <row r="172" spans="1:7" x14ac:dyDescent="0.25">
      <c r="A172" s="2915"/>
      <c r="B172" s="2916"/>
      <c r="C172" s="2916"/>
      <c r="D172" s="2916"/>
      <c r="E172" s="2916"/>
      <c r="F172" s="2916"/>
      <c r="G172" s="2917"/>
    </row>
    <row r="173" spans="1:7" x14ac:dyDescent="0.25">
      <c r="A173" s="2915"/>
      <c r="B173" s="2916"/>
      <c r="C173" s="2916"/>
      <c r="D173" s="2916"/>
      <c r="E173" s="2916"/>
      <c r="F173" s="2916"/>
      <c r="G173" s="2917"/>
    </row>
    <row r="174" spans="1:7" x14ac:dyDescent="0.25">
      <c r="A174" s="2915"/>
      <c r="B174" s="2916"/>
      <c r="C174" s="2916"/>
      <c r="D174" s="2916"/>
      <c r="E174" s="2916"/>
      <c r="F174" s="2916"/>
      <c r="G174" s="2917"/>
    </row>
    <row r="175" spans="1:7" x14ac:dyDescent="0.25">
      <c r="A175" s="2915"/>
      <c r="B175" s="2916"/>
      <c r="C175" s="2916"/>
      <c r="D175" s="2916"/>
      <c r="E175" s="2916"/>
      <c r="F175" s="2916"/>
      <c r="G175" s="2917"/>
    </row>
    <row r="176" spans="1:7" x14ac:dyDescent="0.25">
      <c r="A176" s="2915"/>
      <c r="B176" s="2916"/>
      <c r="C176" s="2916"/>
      <c r="D176" s="2916"/>
      <c r="E176" s="2916"/>
      <c r="F176" s="2916"/>
      <c r="G176" s="2917"/>
    </row>
    <row r="177" spans="1:7" x14ac:dyDescent="0.25">
      <c r="A177" s="2915"/>
      <c r="B177" s="2916"/>
      <c r="C177" s="2916"/>
      <c r="D177" s="2916"/>
      <c r="E177" s="2916"/>
      <c r="F177" s="2916"/>
      <c r="G177" s="2917"/>
    </row>
    <row r="178" spans="1:7" x14ac:dyDescent="0.25">
      <c r="A178" s="2915"/>
      <c r="B178" s="2916"/>
      <c r="C178" s="2916"/>
      <c r="D178" s="2916"/>
      <c r="E178" s="2916"/>
      <c r="F178" s="2916"/>
      <c r="G178" s="2917"/>
    </row>
    <row r="179" spans="1:7" x14ac:dyDescent="0.25">
      <c r="A179" s="2915"/>
      <c r="B179" s="2916"/>
      <c r="C179" s="2916"/>
      <c r="D179" s="2916"/>
      <c r="E179" s="2916"/>
      <c r="F179" s="2916"/>
      <c r="G179" s="2917"/>
    </row>
    <row r="180" spans="1:7" x14ac:dyDescent="0.25">
      <c r="A180" s="2915"/>
      <c r="B180" s="2916"/>
      <c r="C180" s="2916"/>
      <c r="D180" s="2916"/>
      <c r="E180" s="2916"/>
      <c r="F180" s="2916"/>
      <c r="G180" s="2917"/>
    </row>
    <row r="181" spans="1:7" x14ac:dyDescent="0.25">
      <c r="A181" s="2915"/>
      <c r="B181" s="2916"/>
      <c r="C181" s="2916"/>
      <c r="D181" s="2916"/>
      <c r="E181" s="2916"/>
      <c r="F181" s="2916"/>
      <c r="G181" s="2917"/>
    </row>
    <row r="182" spans="1:7" x14ac:dyDescent="0.25">
      <c r="A182" s="2918"/>
      <c r="B182" s="2919"/>
      <c r="C182" s="2919"/>
      <c r="D182" s="2919"/>
      <c r="E182" s="2919"/>
      <c r="F182" s="2919"/>
      <c r="G182" s="2920"/>
    </row>
    <row r="184" spans="1:7" ht="15.75" customHeight="1" x14ac:dyDescent="0.25">
      <c r="A184" s="2912" t="s">
        <v>289</v>
      </c>
      <c r="B184" s="2913"/>
      <c r="C184" s="2913"/>
      <c r="D184" s="2913"/>
      <c r="E184" s="2913"/>
      <c r="F184" s="2913"/>
      <c r="G184" s="2914"/>
    </row>
    <row r="185" spans="1:7" x14ac:dyDescent="0.25">
      <c r="A185" s="2915"/>
      <c r="B185" s="2916"/>
      <c r="C185" s="2916"/>
      <c r="D185" s="2916"/>
      <c r="E185" s="2916"/>
      <c r="F185" s="2916"/>
      <c r="G185" s="2917"/>
    </row>
    <row r="186" spans="1:7" x14ac:dyDescent="0.25">
      <c r="A186" s="2915"/>
      <c r="B186" s="2916"/>
      <c r="C186" s="2916"/>
      <c r="D186" s="2916"/>
      <c r="E186" s="2916"/>
      <c r="F186" s="2916"/>
      <c r="G186" s="2917"/>
    </row>
    <row r="187" spans="1:7" x14ac:dyDescent="0.25">
      <c r="A187" s="2915"/>
      <c r="B187" s="2916"/>
      <c r="C187" s="2916"/>
      <c r="D187" s="2916"/>
      <c r="E187" s="2916"/>
      <c r="F187" s="2916"/>
      <c r="G187" s="2917"/>
    </row>
    <row r="188" spans="1:7" x14ac:dyDescent="0.25">
      <c r="A188" s="2915"/>
      <c r="B188" s="2916"/>
      <c r="C188" s="2916"/>
      <c r="D188" s="2916"/>
      <c r="E188" s="2916"/>
      <c r="F188" s="2916"/>
      <c r="G188" s="2917"/>
    </row>
    <row r="189" spans="1:7" x14ac:dyDescent="0.25">
      <c r="A189" s="2915"/>
      <c r="B189" s="2916"/>
      <c r="C189" s="2916"/>
      <c r="D189" s="2916"/>
      <c r="E189" s="2916"/>
      <c r="F189" s="2916"/>
      <c r="G189" s="2917"/>
    </row>
    <row r="190" spans="1:7" x14ac:dyDescent="0.25">
      <c r="A190" s="2915"/>
      <c r="B190" s="2916"/>
      <c r="C190" s="2916"/>
      <c r="D190" s="2916"/>
      <c r="E190" s="2916"/>
      <c r="F190" s="2916"/>
      <c r="G190" s="2917"/>
    </row>
    <row r="191" spans="1:7" x14ac:dyDescent="0.25">
      <c r="A191" s="2915"/>
      <c r="B191" s="2916"/>
      <c r="C191" s="2916"/>
      <c r="D191" s="2916"/>
      <c r="E191" s="2916"/>
      <c r="F191" s="2916"/>
      <c r="G191" s="2917"/>
    </row>
    <row r="192" spans="1:7" x14ac:dyDescent="0.25">
      <c r="A192" s="2915"/>
      <c r="B192" s="2916"/>
      <c r="C192" s="2916"/>
      <c r="D192" s="2916"/>
      <c r="E192" s="2916"/>
      <c r="F192" s="2916"/>
      <c r="G192" s="2917"/>
    </row>
    <row r="193" spans="1:7" x14ac:dyDescent="0.25">
      <c r="A193" s="2918"/>
      <c r="B193" s="2919"/>
      <c r="C193" s="2919"/>
      <c r="D193" s="2919"/>
      <c r="E193" s="2919"/>
      <c r="F193" s="2919"/>
      <c r="G193" s="2920"/>
    </row>
    <row r="195" spans="1:7" ht="15.75" customHeight="1" x14ac:dyDescent="0.25">
      <c r="A195" s="2912" t="s">
        <v>271</v>
      </c>
      <c r="B195" s="2913"/>
      <c r="C195" s="2913"/>
      <c r="D195" s="2913"/>
      <c r="E195" s="2913"/>
      <c r="F195" s="2913"/>
      <c r="G195" s="2914"/>
    </row>
    <row r="196" spans="1:7" x14ac:dyDescent="0.25">
      <c r="A196" s="2915"/>
      <c r="B196" s="2916"/>
      <c r="C196" s="2916"/>
      <c r="D196" s="2916"/>
      <c r="E196" s="2916"/>
      <c r="F196" s="2916"/>
      <c r="G196" s="2917"/>
    </row>
    <row r="197" spans="1:7" x14ac:dyDescent="0.25">
      <c r="A197" s="2915"/>
      <c r="B197" s="2916"/>
      <c r="C197" s="2916"/>
      <c r="D197" s="2916"/>
      <c r="E197" s="2916"/>
      <c r="F197" s="2916"/>
      <c r="G197" s="2917"/>
    </row>
    <row r="198" spans="1:7" x14ac:dyDescent="0.25">
      <c r="A198" s="2915"/>
      <c r="B198" s="2916"/>
      <c r="C198" s="2916"/>
      <c r="D198" s="2916"/>
      <c r="E198" s="2916"/>
      <c r="F198" s="2916"/>
      <c r="G198" s="2917"/>
    </row>
    <row r="199" spans="1:7" x14ac:dyDescent="0.25">
      <c r="A199" s="2915"/>
      <c r="B199" s="2916"/>
      <c r="C199" s="2916"/>
      <c r="D199" s="2916"/>
      <c r="E199" s="2916"/>
      <c r="F199" s="2916"/>
      <c r="G199" s="2917"/>
    </row>
    <row r="200" spans="1:7" x14ac:dyDescent="0.25">
      <c r="A200" s="2915"/>
      <c r="B200" s="2916"/>
      <c r="C200" s="2916"/>
      <c r="D200" s="2916"/>
      <c r="E200" s="2916"/>
      <c r="F200" s="2916"/>
      <c r="G200" s="2917"/>
    </row>
    <row r="201" spans="1:7" x14ac:dyDescent="0.25">
      <c r="A201" s="2915"/>
      <c r="B201" s="2916"/>
      <c r="C201" s="2916"/>
      <c r="D201" s="2916"/>
      <c r="E201" s="2916"/>
      <c r="F201" s="2916"/>
      <c r="G201" s="2917"/>
    </row>
    <row r="202" spans="1:7" x14ac:dyDescent="0.25">
      <c r="A202" s="2915"/>
      <c r="B202" s="2916"/>
      <c r="C202" s="2916"/>
      <c r="D202" s="2916"/>
      <c r="E202" s="2916"/>
      <c r="F202" s="2916"/>
      <c r="G202" s="2917"/>
    </row>
    <row r="203" spans="1:7" x14ac:dyDescent="0.25">
      <c r="A203" s="2915"/>
      <c r="B203" s="2916"/>
      <c r="C203" s="2916"/>
      <c r="D203" s="2916"/>
      <c r="E203" s="2916"/>
      <c r="F203" s="2916"/>
      <c r="G203" s="2917"/>
    </row>
    <row r="204" spans="1:7" x14ac:dyDescent="0.25">
      <c r="A204" s="2915"/>
      <c r="B204" s="2916"/>
      <c r="C204" s="2916"/>
      <c r="D204" s="2916"/>
      <c r="E204" s="2916"/>
      <c r="F204" s="2916"/>
      <c r="G204" s="2917"/>
    </row>
    <row r="205" spans="1:7" x14ac:dyDescent="0.25">
      <c r="A205" s="2915"/>
      <c r="B205" s="2916"/>
      <c r="C205" s="2916"/>
      <c r="D205" s="2916"/>
      <c r="E205" s="2916"/>
      <c r="F205" s="2916"/>
      <c r="G205" s="2917"/>
    </row>
    <row r="206" spans="1:7" x14ac:dyDescent="0.25">
      <c r="A206" s="2918"/>
      <c r="B206" s="2919"/>
      <c r="C206" s="2919"/>
      <c r="D206" s="2919"/>
      <c r="E206" s="2919"/>
      <c r="F206" s="2919"/>
      <c r="G206" s="2920"/>
    </row>
    <row r="208" spans="1:7" ht="15.75" customHeight="1" x14ac:dyDescent="0.25">
      <c r="A208" s="2913" t="s">
        <v>1091</v>
      </c>
      <c r="B208" s="2913"/>
      <c r="C208" s="2913"/>
      <c r="D208" s="2913"/>
      <c r="E208" s="2913"/>
      <c r="F208" s="2913"/>
      <c r="G208" s="2913"/>
    </row>
    <row r="209" spans="1:7" x14ac:dyDescent="0.25">
      <c r="A209" s="2916"/>
      <c r="B209" s="2916"/>
      <c r="C209" s="2916"/>
      <c r="D209" s="2916"/>
      <c r="E209" s="2916"/>
      <c r="F209" s="2916"/>
      <c r="G209" s="2916"/>
    </row>
    <row r="210" spans="1:7" x14ac:dyDescent="0.25">
      <c r="A210" s="2916"/>
      <c r="B210" s="2916"/>
      <c r="C210" s="2916"/>
      <c r="D210" s="2916"/>
      <c r="E210" s="2916"/>
      <c r="F210" s="2916"/>
      <c r="G210" s="2916"/>
    </row>
    <row r="211" spans="1:7" x14ac:dyDescent="0.25">
      <c r="A211" s="2916"/>
      <c r="B211" s="2916"/>
      <c r="C211" s="2916"/>
      <c r="D211" s="2916"/>
      <c r="E211" s="2916"/>
      <c r="F211" s="2916"/>
      <c r="G211" s="2916"/>
    </row>
    <row r="212" spans="1:7" x14ac:dyDescent="0.25">
      <c r="A212" s="2916"/>
      <c r="B212" s="2916"/>
      <c r="C212" s="2916"/>
      <c r="D212" s="2916"/>
      <c r="E212" s="2916"/>
      <c r="F212" s="2916"/>
      <c r="G212" s="2916"/>
    </row>
    <row r="213" spans="1:7" x14ac:dyDescent="0.25">
      <c r="A213" s="2916"/>
      <c r="B213" s="2916"/>
      <c r="C213" s="2916"/>
      <c r="D213" s="2916"/>
      <c r="E213" s="2916"/>
      <c r="F213" s="2916"/>
      <c r="G213" s="2916"/>
    </row>
    <row r="214" spans="1:7" x14ac:dyDescent="0.25">
      <c r="A214" s="2916"/>
      <c r="B214" s="2916"/>
      <c r="C214" s="2916"/>
      <c r="D214" s="2916"/>
      <c r="E214" s="2916"/>
      <c r="F214" s="2916"/>
      <c r="G214" s="2916"/>
    </row>
    <row r="215" spans="1:7" x14ac:dyDescent="0.25">
      <c r="A215" s="2916"/>
      <c r="B215" s="2916"/>
      <c r="C215" s="2916"/>
      <c r="D215" s="2916"/>
      <c r="E215" s="2916"/>
      <c r="F215" s="2916"/>
      <c r="G215" s="2916"/>
    </row>
    <row r="216" spans="1:7" x14ac:dyDescent="0.25">
      <c r="A216" s="2916"/>
      <c r="B216" s="2916"/>
      <c r="C216" s="2916"/>
      <c r="D216" s="2916"/>
      <c r="E216" s="2916"/>
      <c r="F216" s="2916"/>
      <c r="G216" s="2916"/>
    </row>
    <row r="217" spans="1:7" x14ac:dyDescent="0.25">
      <c r="A217" s="2916"/>
      <c r="B217" s="2916"/>
      <c r="C217" s="2916"/>
      <c r="D217" s="2916"/>
      <c r="E217" s="2916"/>
      <c r="F217" s="2916"/>
      <c r="G217" s="2916"/>
    </row>
    <row r="218" spans="1:7" x14ac:dyDescent="0.25">
      <c r="A218" s="2916"/>
      <c r="B218" s="2916"/>
      <c r="C218" s="2916"/>
      <c r="D218" s="2916"/>
      <c r="E218" s="2916"/>
      <c r="F218" s="2916"/>
      <c r="G218" s="2916"/>
    </row>
    <row r="219" spans="1:7" x14ac:dyDescent="0.25">
      <c r="A219" s="2916"/>
      <c r="B219" s="2916"/>
      <c r="C219" s="2916"/>
      <c r="D219" s="2916"/>
      <c r="E219" s="2916"/>
      <c r="F219" s="2916"/>
      <c r="G219" s="2916"/>
    </row>
    <row r="220" spans="1:7" x14ac:dyDescent="0.25">
      <c r="A220" s="2916"/>
      <c r="B220" s="2916"/>
      <c r="C220" s="2916"/>
      <c r="D220" s="2916"/>
      <c r="E220" s="2916"/>
      <c r="F220" s="2916"/>
      <c r="G220" s="2916"/>
    </row>
    <row r="221" spans="1:7" x14ac:dyDescent="0.25">
      <c r="A221" s="2916"/>
      <c r="B221" s="2916"/>
      <c r="C221" s="2916"/>
      <c r="D221" s="2916"/>
      <c r="E221" s="2916"/>
      <c r="F221" s="2916"/>
      <c r="G221" s="2916"/>
    </row>
    <row r="222" spans="1:7" x14ac:dyDescent="0.25">
      <c r="A222" s="2916"/>
      <c r="B222" s="2916"/>
      <c r="C222" s="2916"/>
      <c r="D222" s="2916"/>
      <c r="E222" s="2916"/>
      <c r="F222" s="2916"/>
      <c r="G222" s="2916"/>
    </row>
    <row r="223" spans="1:7" x14ac:dyDescent="0.25">
      <c r="A223" s="2916"/>
      <c r="B223" s="2916"/>
      <c r="C223" s="2916"/>
      <c r="D223" s="2916"/>
      <c r="E223" s="2916"/>
      <c r="F223" s="2916"/>
      <c r="G223" s="2916"/>
    </row>
    <row r="224" spans="1:7" x14ac:dyDescent="0.25">
      <c r="A224" s="2916"/>
      <c r="B224" s="2916"/>
      <c r="C224" s="2916"/>
      <c r="D224" s="2916"/>
      <c r="E224" s="2916"/>
      <c r="F224" s="2916"/>
      <c r="G224" s="2916"/>
    </row>
  </sheetData>
  <sheetProtection password="B984" sheet="1" objects="1" scenarios="1" selectLockedCells="1"/>
  <mergeCells count="49">
    <mergeCell ref="A208:G224"/>
    <mergeCell ref="F32:G32"/>
    <mergeCell ref="A26:G26"/>
    <mergeCell ref="A195:G206"/>
    <mergeCell ref="A184:G193"/>
    <mergeCell ref="A135:G158"/>
    <mergeCell ref="B29:G29"/>
    <mergeCell ref="A162:G164"/>
    <mergeCell ref="A160:G160"/>
    <mergeCell ref="A166:G182"/>
    <mergeCell ref="A116:G134"/>
    <mergeCell ref="A114:G114"/>
    <mergeCell ref="A92:G112"/>
    <mergeCell ref="A36:G36"/>
    <mergeCell ref="B33:D33"/>
    <mergeCell ref="B32:C32"/>
    <mergeCell ref="A38:G65"/>
    <mergeCell ref="A67:G89"/>
    <mergeCell ref="N4:V6"/>
    <mergeCell ref="H14:J16"/>
    <mergeCell ref="H6:J12"/>
    <mergeCell ref="C11:D11"/>
    <mergeCell ref="N12:P12"/>
    <mergeCell ref="D14:G15"/>
    <mergeCell ref="C10:F10"/>
    <mergeCell ref="C12:D12"/>
    <mergeCell ref="A13:G13"/>
    <mergeCell ref="B14:C14"/>
    <mergeCell ref="B15:C15"/>
    <mergeCell ref="B1:G4"/>
    <mergeCell ref="B5:C5"/>
    <mergeCell ref="C7:F7"/>
    <mergeCell ref="C9:F9"/>
    <mergeCell ref="D5:G5"/>
    <mergeCell ref="O29:R29"/>
    <mergeCell ref="O30:R30"/>
    <mergeCell ref="C8:F8"/>
    <mergeCell ref="O31:R31"/>
    <mergeCell ref="O32:R32"/>
    <mergeCell ref="B27:G27"/>
    <mergeCell ref="H17:H29"/>
    <mergeCell ref="B23:F23"/>
    <mergeCell ref="A21:G21"/>
    <mergeCell ref="B19:F19"/>
    <mergeCell ref="B22:F22"/>
    <mergeCell ref="B18:F18"/>
    <mergeCell ref="A17:G17"/>
    <mergeCell ref="B24:F24"/>
    <mergeCell ref="A31:G31"/>
  </mergeCells>
  <conditionalFormatting sqref="A14:C15">
    <cfRule type="expression" dxfId="606" priority="7">
      <formula>_OK?&lt;&gt;"OK!"</formula>
    </cfRule>
  </conditionalFormatting>
  <conditionalFormatting sqref="A18:G19 A24:F24">
    <cfRule type="expression" dxfId="605" priority="1">
      <formula>AND($N$18=0,$N$22&lt;&gt;2)</formula>
    </cfRule>
  </conditionalFormatting>
  <conditionalFormatting sqref="A26:G26">
    <cfRule type="expression" dxfId="604" priority="10">
      <formula>_OK?&lt;&gt;"OK!"</formula>
    </cfRule>
  </conditionalFormatting>
  <conditionalFormatting sqref="C7:F7 C9:F9 C11">
    <cfRule type="expression" dxfId="603" priority="5">
      <formula>_OK?="OK!"</formula>
    </cfRule>
    <cfRule type="expression" dxfId="602" priority="6">
      <formula>_OK?&lt;&gt;"OK!"</formula>
    </cfRule>
  </conditionalFormatting>
  <conditionalFormatting sqref="D14:G15">
    <cfRule type="expression" dxfId="601" priority="14">
      <formula>$Q$16="OK!"</formula>
    </cfRule>
  </conditionalFormatting>
  <conditionalFormatting sqref="F11 H14">
    <cfRule type="expression" dxfId="600" priority="2">
      <formula>AND($Q$10="f",$Q$11="OK!",$Q$15="OK!")</formula>
    </cfRule>
  </conditionalFormatting>
  <conditionalFormatting sqref="F11">
    <cfRule type="expression" dxfId="599" priority="3">
      <formula>_OK?="OK!"</formula>
    </cfRule>
    <cfRule type="expression" dxfId="598" priority="4">
      <formula>_OK?&lt;&gt;"OK!"</formula>
    </cfRule>
  </conditionalFormatting>
  <conditionalFormatting sqref="G8">
    <cfRule type="expression" dxfId="597" priority="9">
      <formula>$Q$16="OK!"</formula>
    </cfRule>
  </conditionalFormatting>
  <conditionalFormatting sqref="G10">
    <cfRule type="expression" dxfId="596" priority="15">
      <formula>$Q$16="OK!"</formula>
    </cfRule>
  </conditionalFormatting>
  <dataValidations count="2">
    <dataValidation type="textLength" operator="lessThan" allowBlank="1" showInputMessage="1" showErrorMessage="1" error="Maximal 40 Zeichen" sqref="C7:F7" xr:uid="{DAD0F8EE-CBF5-44E0-A421-985B2758798E}">
      <formula1>46</formula1>
    </dataValidation>
    <dataValidation type="textLength" errorStyle="warning" operator="lessThan" allowBlank="1" showInputMessage="1" showErrorMessage="1" error="Die Textlänge (&gt;45 Zeichen) kann möglicherweise in den K-Blättern nicht vollständig dargestellt werden Bitte prüfen." sqref="B18:F19" xr:uid="{E5D846E8-9A18-459F-9C10-A36272D09E6F}">
      <formula1>45</formula1>
    </dataValidation>
  </dataValidations>
  <pageMargins left="0.7" right="0.7" top="0.78740157499999996" bottom="0.78740157499999996" header="0.3" footer="0.3"/>
  <pageSetup paperSize="9" orientation="portrait" r:id="rId1"/>
  <headerFooter>
    <oddFooter>&amp;L&amp;10K3-Stammdaten
Seite: &amp;P von &amp;N&amp;R&amp;10&amp;F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2231E-752B-43AD-B178-293C17AAE9CC}">
  <sheetPr codeName="Tabelle11">
    <tabColor rgb="FF00B0F0"/>
  </sheetPr>
  <dimension ref="A1:R48"/>
  <sheetViews>
    <sheetView showGridLines="0" topLeftCell="A31" zoomScaleNormal="100" workbookViewId="0">
      <selection activeCell="I47" sqref="I47:M47"/>
    </sheetView>
  </sheetViews>
  <sheetFormatPr baseColWidth="10" defaultRowHeight="15" x14ac:dyDescent="0.2"/>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5546875" customWidth="1"/>
  </cols>
  <sheetData>
    <row r="1" spans="1:18" ht="18.75" x14ac:dyDescent="0.3">
      <c r="A1" s="31" t="s">
        <v>21</v>
      </c>
      <c r="B1" s="3509" t="s">
        <v>22</v>
      </c>
      <c r="C1" s="3509"/>
      <c r="D1" s="3509"/>
      <c r="E1" s="3510"/>
      <c r="F1" s="424" t="s">
        <v>187</v>
      </c>
      <c r="G1" s="3605" t="str">
        <f>' K3 PP'!G1:P1</f>
        <v xml:space="preserve">Musterprojekt Baugewerbe </v>
      </c>
      <c r="H1" s="3605"/>
      <c r="I1" s="3605"/>
      <c r="J1" s="3605"/>
      <c r="K1" s="3605"/>
      <c r="L1" s="3605"/>
      <c r="M1" s="3605"/>
      <c r="N1" s="3605"/>
      <c r="O1" s="3605"/>
      <c r="P1" s="3606"/>
      <c r="R1" s="782"/>
    </row>
    <row r="2" spans="1:18" x14ac:dyDescent="0.2">
      <c r="A2" s="3600"/>
      <c r="B2" s="3402" t="s">
        <v>57</v>
      </c>
      <c r="C2" s="3403"/>
      <c r="D2" s="3403"/>
      <c r="E2" s="3403"/>
      <c r="F2" s="3601" t="str">
        <f>IF(KALKULATION!D486="","Regiepersonalpreis",KALKULATION!D486)</f>
        <v>Regielohnkalkulation02</v>
      </c>
      <c r="G2" s="3601"/>
      <c r="H2" s="3601"/>
      <c r="I2" s="3601"/>
      <c r="J2" s="3602"/>
      <c r="K2" s="3374" t="s">
        <v>24</v>
      </c>
      <c r="L2" s="3375"/>
      <c r="M2" s="3375"/>
      <c r="N2" s="3375"/>
      <c r="O2" s="3375"/>
      <c r="P2" s="3389"/>
      <c r="R2" s="782"/>
    </row>
    <row r="3" spans="1:18" x14ac:dyDescent="0.2">
      <c r="A3" s="3600"/>
      <c r="B3" s="3264"/>
      <c r="C3" s="3265"/>
      <c r="D3" s="3265"/>
      <c r="E3" s="3265"/>
      <c r="F3" s="3603"/>
      <c r="G3" s="3603"/>
      <c r="H3" s="3603"/>
      <c r="I3" s="3603"/>
      <c r="J3" s="3604"/>
      <c r="K3" s="3380" t="str">
        <f ca="1">' K3 PP'!K3</f>
        <v>Nur als Testversion nutzbar!</v>
      </c>
      <c r="L3" s="3381"/>
      <c r="M3" s="3381"/>
      <c r="N3" s="3381"/>
      <c r="O3" s="3381"/>
      <c r="P3" s="3384"/>
      <c r="R3" s="782"/>
    </row>
    <row r="4" spans="1:18" x14ac:dyDescent="0.2">
      <c r="A4" s="3600"/>
      <c r="B4" s="77" t="s">
        <v>155</v>
      </c>
      <c r="C4" s="3610" t="str">
        <f>' K3 PP'!C4:E4</f>
        <v>Meine GZ</v>
      </c>
      <c r="D4" s="3610"/>
      <c r="E4" s="3611"/>
      <c r="F4" s="77" t="s">
        <v>156</v>
      </c>
      <c r="G4" s="3612" t="str">
        <f>' K3 PP'!G4:J4</f>
        <v>Seine GZ</v>
      </c>
      <c r="H4" s="3612"/>
      <c r="I4" s="3612"/>
      <c r="J4" s="3613"/>
      <c r="K4" s="3414" t="str">
        <f ca="1">' K3 PP'!K4:P4</f>
        <v>Nur als Testversion nutzbar!</v>
      </c>
      <c r="L4" s="3415"/>
      <c r="M4" s="3415"/>
      <c r="N4" s="3415"/>
      <c r="O4" s="3415"/>
      <c r="P4" s="3416"/>
      <c r="R4" s="782"/>
    </row>
    <row r="5" spans="1:18" x14ac:dyDescent="0.2">
      <c r="A5" s="3600"/>
      <c r="B5" s="3523" t="s">
        <v>621</v>
      </c>
      <c r="C5" s="3379"/>
      <c r="D5" s="3379"/>
      <c r="E5" s="3524"/>
      <c r="F5" s="3477" t="s">
        <v>622</v>
      </c>
      <c r="G5" s="3417"/>
      <c r="H5" s="3417"/>
      <c r="I5" s="3417"/>
      <c r="J5" s="3478"/>
      <c r="K5" s="3414" t="str">
        <f ca="1">' K3 PP'!K5</f>
        <v>Nur als Testversion nutzbar!</v>
      </c>
      <c r="L5" s="3415"/>
      <c r="M5" s="3415"/>
      <c r="N5" s="3415"/>
      <c r="O5" s="3415"/>
      <c r="P5" s="3416"/>
      <c r="R5" s="782"/>
    </row>
    <row r="6" spans="1:18" x14ac:dyDescent="0.2">
      <c r="A6" s="3600"/>
      <c r="B6" s="3525" t="str">
        <f>KALKULATION!C28</f>
        <v>Lohn</v>
      </c>
      <c r="C6" s="3526"/>
      <c r="D6" s="3526"/>
      <c r="E6" s="3527"/>
      <c r="F6" s="3594" t="str">
        <f>KALKULATION!C29</f>
        <v>Montage</v>
      </c>
      <c r="G6" s="3595"/>
      <c r="H6" s="3595"/>
      <c r="I6" s="3595"/>
      <c r="J6" s="3596"/>
      <c r="K6" s="3417" t="s">
        <v>1</v>
      </c>
      <c r="L6" s="3417"/>
      <c r="M6" s="3589">
        <f>' K3 PP'!M6</f>
        <v>46143</v>
      </c>
      <c r="N6" s="3589"/>
      <c r="O6" s="3589"/>
      <c r="P6" s="3590"/>
      <c r="R6" s="782"/>
    </row>
    <row r="7" spans="1:18" x14ac:dyDescent="0.2">
      <c r="A7" s="3600"/>
      <c r="B7" s="2726" t="s">
        <v>126</v>
      </c>
      <c r="C7" s="3440"/>
      <c r="D7" s="3440"/>
      <c r="E7" s="3440"/>
      <c r="F7" s="3597" t="s">
        <v>25</v>
      </c>
      <c r="G7" s="3598"/>
      <c r="H7" s="3598"/>
      <c r="I7" s="3598"/>
      <c r="J7" s="3599"/>
      <c r="K7" s="3412" t="s">
        <v>140</v>
      </c>
      <c r="L7" s="3412"/>
      <c r="M7" s="3412"/>
      <c r="N7" s="3412"/>
      <c r="O7" s="3412"/>
      <c r="P7" s="3413"/>
      <c r="R7" s="782"/>
    </row>
    <row r="8" spans="1:18" ht="15.75" thickBot="1" x14ac:dyDescent="0.25">
      <c r="A8" s="3600"/>
      <c r="B8" s="3591" t="str">
        <f ca="1">Stammdaten!B3</f>
        <v>KollV f Bauindustrie und Baugewerbe (Arbeiter)</v>
      </c>
      <c r="C8" s="3592"/>
      <c r="D8" s="3592"/>
      <c r="E8" s="3592"/>
      <c r="F8" s="3592"/>
      <c r="G8" s="3592"/>
      <c r="H8" s="3592"/>
      <c r="I8" s="3592"/>
      <c r="J8" s="3592"/>
      <c r="K8" s="3592"/>
      <c r="L8" s="3593"/>
      <c r="M8" s="3390" t="s">
        <v>26</v>
      </c>
      <c r="N8" s="3391"/>
      <c r="O8" s="3587">
        <f ca="1">Stammdaten!B4</f>
        <v>46143</v>
      </c>
      <c r="P8" s="3588"/>
      <c r="R8" s="782"/>
    </row>
    <row r="9" spans="1:18" x14ac:dyDescent="0.2">
      <c r="A9" s="79">
        <v>1</v>
      </c>
      <c r="B9" s="3421" t="s">
        <v>106</v>
      </c>
      <c r="C9" s="3422"/>
      <c r="D9" s="3422"/>
      <c r="E9" s="3423"/>
      <c r="F9" s="3398" t="s">
        <v>107</v>
      </c>
      <c r="G9" s="3399"/>
      <c r="H9" s="78" t="s">
        <v>27</v>
      </c>
      <c r="I9" s="3511" t="s">
        <v>28</v>
      </c>
      <c r="J9" s="3512"/>
      <c r="K9" s="3422" t="s">
        <v>108</v>
      </c>
      <c r="L9" s="3422"/>
      <c r="M9" s="3422"/>
      <c r="N9" s="3422"/>
      <c r="O9" s="3422"/>
      <c r="P9" s="28">
        <f ca="1">KALKULATION!C87</f>
        <v>39</v>
      </c>
      <c r="R9" s="782"/>
    </row>
    <row r="10" spans="1:18" x14ac:dyDescent="0.2">
      <c r="A10" s="43" t="s">
        <v>29</v>
      </c>
      <c r="B10" s="3607" t="str">
        <f>KALKULATION!A489</f>
        <v>IIb.   Facharbeiter</v>
      </c>
      <c r="C10" s="3607"/>
      <c r="D10" s="3607"/>
      <c r="E10" s="3608"/>
      <c r="F10" s="3609">
        <f ca="1">IFERROR((VLOOKUP(B10,Stammdaten!A$7:D$33,4,FALSE)),"")</f>
        <v>19.989999999999998</v>
      </c>
      <c r="G10" s="3609"/>
      <c r="H10" s="30">
        <f>KALKULATION!F489</f>
        <v>1</v>
      </c>
      <c r="I10" s="3547">
        <f ca="1">IF(PRODUCT(F10,H10)=0,"",F10*H10)</f>
        <v>19.989999999999998</v>
      </c>
      <c r="J10" s="3548"/>
      <c r="K10" s="3583" t="s">
        <v>141</v>
      </c>
      <c r="L10" s="3583"/>
      <c r="M10" s="3583"/>
      <c r="N10" s="3584"/>
      <c r="O10" s="29" t="s">
        <v>30</v>
      </c>
      <c r="P10" s="6" t="s">
        <v>18</v>
      </c>
      <c r="R10" s="782"/>
    </row>
    <row r="11" spans="1:18" x14ac:dyDescent="0.2">
      <c r="A11" s="43" t="s">
        <v>31</v>
      </c>
      <c r="B11" s="3572"/>
      <c r="C11" s="3572"/>
      <c r="D11" s="3572"/>
      <c r="E11" s="3573"/>
      <c r="F11" s="3574"/>
      <c r="G11" s="3574"/>
      <c r="H11" s="33"/>
      <c r="I11" s="3575"/>
      <c r="J11" s="3576"/>
      <c r="K11" s="3614" t="str">
        <f>KALKULATION!N516</f>
        <v>Regiestunde</v>
      </c>
      <c r="L11" s="3615"/>
      <c r="M11" s="3615"/>
      <c r="N11" s="3615"/>
      <c r="O11" s="1034" t="str">
        <f>KALKULATION!P516</f>
        <v/>
      </c>
      <c r="P11" s="163">
        <v>1</v>
      </c>
      <c r="R11" s="782"/>
    </row>
    <row r="12" spans="1:18" x14ac:dyDescent="0.2">
      <c r="A12" s="43" t="s">
        <v>32</v>
      </c>
      <c r="B12" s="3572"/>
      <c r="C12" s="3572"/>
      <c r="D12" s="3572"/>
      <c r="E12" s="3573"/>
      <c r="F12" s="3574"/>
      <c r="G12" s="3574"/>
      <c r="H12" s="33"/>
      <c r="I12" s="3575"/>
      <c r="J12" s="3576"/>
      <c r="K12" s="3577" t="str">
        <f>IF(AND(_Anzeige_Prozent=_Ja,KALKULATION!N520&lt;&gt;""),"Erfasst sind Verr.std. für: "&amp;KALKULATION!N520,"")</f>
        <v/>
      </c>
      <c r="L12" s="3578"/>
      <c r="M12" s="3578"/>
      <c r="N12" s="3579"/>
      <c r="O12" s="558"/>
      <c r="P12" s="557"/>
      <c r="R12" s="782"/>
    </row>
    <row r="13" spans="1:18" x14ac:dyDescent="0.2">
      <c r="A13" s="43" t="s">
        <v>33</v>
      </c>
      <c r="B13" s="3572"/>
      <c r="C13" s="3572"/>
      <c r="D13" s="3572"/>
      <c r="E13" s="3573"/>
      <c r="F13" s="3574"/>
      <c r="G13" s="3574"/>
      <c r="H13" s="33"/>
      <c r="I13" s="3575"/>
      <c r="J13" s="3576"/>
      <c r="K13" s="3577"/>
      <c r="L13" s="3578"/>
      <c r="M13" s="3578"/>
      <c r="N13" s="3579"/>
      <c r="O13" s="558"/>
      <c r="P13" s="557"/>
      <c r="R13" s="782"/>
    </row>
    <row r="14" spans="1:18" x14ac:dyDescent="0.2">
      <c r="A14" s="43" t="s">
        <v>34</v>
      </c>
      <c r="B14" s="3572"/>
      <c r="C14" s="3572"/>
      <c r="D14" s="3572"/>
      <c r="E14" s="3573"/>
      <c r="F14" s="3574"/>
      <c r="G14" s="3574"/>
      <c r="H14" s="33"/>
      <c r="I14" s="3575"/>
      <c r="J14" s="3576"/>
      <c r="K14" s="3577"/>
      <c r="L14" s="3578"/>
      <c r="M14" s="3578"/>
      <c r="N14" s="3579"/>
      <c r="O14" s="34"/>
      <c r="P14" s="35"/>
      <c r="R14" s="782"/>
    </row>
    <row r="15" spans="1:18" x14ac:dyDescent="0.2">
      <c r="A15" s="43" t="s">
        <v>35</v>
      </c>
      <c r="B15" s="3572"/>
      <c r="C15" s="3572"/>
      <c r="D15" s="3572"/>
      <c r="E15" s="3573"/>
      <c r="F15" s="3574"/>
      <c r="G15" s="3574"/>
      <c r="H15" s="33"/>
      <c r="I15" s="3575"/>
      <c r="J15" s="3576"/>
      <c r="K15" s="3572"/>
      <c r="L15" s="3572"/>
      <c r="M15" s="3572"/>
      <c r="N15" s="3573"/>
      <c r="O15" s="34"/>
      <c r="P15" s="35"/>
      <c r="R15" s="782"/>
    </row>
    <row r="16" spans="1:18" x14ac:dyDescent="0.2">
      <c r="A16" s="43" t="s">
        <v>36</v>
      </c>
      <c r="B16" s="3572"/>
      <c r="C16" s="3572"/>
      <c r="D16" s="3572"/>
      <c r="E16" s="3573"/>
      <c r="F16" s="3574"/>
      <c r="G16" s="3574"/>
      <c r="H16" s="33"/>
      <c r="I16" s="3575"/>
      <c r="J16" s="3576"/>
      <c r="K16" s="3616"/>
      <c r="L16" s="3616"/>
      <c r="M16" s="3616"/>
      <c r="N16" s="3617"/>
      <c r="O16" s="36"/>
      <c r="P16" s="37"/>
      <c r="R16" s="782"/>
    </row>
    <row r="17" spans="1:18" x14ac:dyDescent="0.2">
      <c r="A17" s="43" t="s">
        <v>37</v>
      </c>
      <c r="B17" s="3572"/>
      <c r="C17" s="3572"/>
      <c r="D17" s="3572"/>
      <c r="E17" s="3573"/>
      <c r="F17" s="3574"/>
      <c r="G17" s="3574"/>
      <c r="H17" s="33"/>
      <c r="I17" s="3575"/>
      <c r="J17" s="3576"/>
      <c r="K17" s="3616"/>
      <c r="L17" s="3616"/>
      <c r="M17" s="3616"/>
      <c r="N17" s="3617"/>
      <c r="O17" s="36"/>
      <c r="P17" s="37"/>
      <c r="R17" s="782"/>
    </row>
    <row r="18" spans="1:18" ht="15.75" thickBot="1" x14ac:dyDescent="0.25">
      <c r="A18" s="43" t="s">
        <v>38</v>
      </c>
      <c r="B18" s="3565"/>
      <c r="C18" s="3566"/>
      <c r="D18" s="3566"/>
      <c r="E18" s="3567"/>
      <c r="F18" s="3568"/>
      <c r="G18" s="3568"/>
      <c r="H18" s="38"/>
      <c r="I18" s="3569"/>
      <c r="J18" s="3570"/>
      <c r="K18" s="3618"/>
      <c r="L18" s="3618"/>
      <c r="M18" s="3618"/>
      <c r="N18" s="3619"/>
      <c r="O18" s="39"/>
      <c r="P18" s="40"/>
      <c r="R18" s="782"/>
    </row>
    <row r="19" spans="1:18" x14ac:dyDescent="0.2">
      <c r="A19" s="43">
        <v>2</v>
      </c>
      <c r="B19" s="1169" t="s">
        <v>39</v>
      </c>
      <c r="C19" s="1170"/>
      <c r="D19" s="1171"/>
      <c r="E19" s="1171"/>
      <c r="F19" s="1171"/>
      <c r="G19" s="1171"/>
      <c r="H19" s="1167">
        <f>SUM(H10:H18)</f>
        <v>1</v>
      </c>
      <c r="I19" s="3376">
        <f ca="1">IF(AND(_OK?="OK!",_OK_KV?="OK_KV!"),SUM(I10:J18),KALKULATION!G490)</f>
        <v>20</v>
      </c>
      <c r="J19" s="3377"/>
      <c r="K19" s="3626" t="s">
        <v>143</v>
      </c>
      <c r="L19" s="3626"/>
      <c r="M19" s="3626"/>
      <c r="N19" s="3626"/>
      <c r="O19" s="3626"/>
      <c r="P19" s="1173">
        <v>1</v>
      </c>
      <c r="R19" s="782"/>
    </row>
    <row r="20" spans="1:18" x14ac:dyDescent="0.2">
      <c r="A20" s="43"/>
      <c r="B20" s="3440"/>
      <c r="C20" s="3440"/>
      <c r="D20" s="3440"/>
      <c r="E20" s="3440"/>
      <c r="F20" s="3440"/>
      <c r="G20" s="3440"/>
      <c r="H20" s="3440"/>
      <c r="I20" s="3440"/>
      <c r="J20" s="3440"/>
      <c r="K20" s="3440"/>
      <c r="L20" s="2727"/>
      <c r="M20" s="3433" t="s">
        <v>6</v>
      </c>
      <c r="N20" s="3434"/>
      <c r="O20" s="3435" t="s">
        <v>7</v>
      </c>
      <c r="P20" s="3434"/>
      <c r="R20" s="782"/>
    </row>
    <row r="21" spans="1:18" x14ac:dyDescent="0.2">
      <c r="A21" s="43">
        <v>3</v>
      </c>
      <c r="B21" s="144" t="s">
        <v>39</v>
      </c>
      <c r="C21" s="145"/>
      <c r="D21" s="145"/>
      <c r="E21" s="145"/>
      <c r="F21" s="145"/>
      <c r="G21" s="145"/>
      <c r="H21" s="3563"/>
      <c r="I21" s="3563"/>
      <c r="J21" s="3563"/>
      <c r="K21" s="3563"/>
      <c r="L21" s="3563"/>
      <c r="M21" s="3563"/>
      <c r="N21" s="3564"/>
      <c r="O21" s="3627">
        <f ca="1">I19/H19</f>
        <v>20</v>
      </c>
      <c r="P21" s="3628"/>
      <c r="R21" s="782"/>
    </row>
    <row r="22" spans="1:18" ht="15.75" thickBot="1" x14ac:dyDescent="0.25">
      <c r="A22" s="43">
        <v>4</v>
      </c>
      <c r="B22" s="3442" t="s">
        <v>40</v>
      </c>
      <c r="C22" s="3443"/>
      <c r="D22" s="3443"/>
      <c r="E22" s="3443"/>
      <c r="F22" s="3443"/>
      <c r="G22" s="3443"/>
      <c r="H22" s="3450" t="s">
        <v>41</v>
      </c>
      <c r="I22" s="3450"/>
      <c r="J22" s="3451"/>
      <c r="K22" s="3620">
        <f ca="1">KALKULATION!G502</f>
        <v>0</v>
      </c>
      <c r="L22" s="3621"/>
      <c r="M22" s="3444"/>
      <c r="N22" s="3445"/>
      <c r="O22" s="3622">
        <f ca="1">K22*O21</f>
        <v>0</v>
      </c>
      <c r="P22" s="3623"/>
      <c r="R22" s="782"/>
    </row>
    <row r="23" spans="1:18" x14ac:dyDescent="0.2">
      <c r="A23" s="43">
        <v>5</v>
      </c>
      <c r="B23" s="3459" t="s">
        <v>142</v>
      </c>
      <c r="C23" s="3460"/>
      <c r="D23" s="3460"/>
      <c r="E23" s="3460"/>
      <c r="F23" s="3460"/>
      <c r="G23" s="3460"/>
      <c r="H23" s="3531" t="s">
        <v>180</v>
      </c>
      <c r="I23" s="3453"/>
      <c r="J23" s="3453"/>
      <c r="K23" s="3453"/>
      <c r="L23" s="3453"/>
      <c r="M23" s="3453"/>
      <c r="N23" s="147"/>
      <c r="O23" s="3624">
        <f ca="1">SUM(O21:O22)</f>
        <v>20</v>
      </c>
      <c r="P23" s="3625"/>
      <c r="R23" s="782"/>
    </row>
    <row r="24" spans="1:18" x14ac:dyDescent="0.2">
      <c r="A24" s="43">
        <v>6</v>
      </c>
      <c r="B24" s="3375" t="s">
        <v>109</v>
      </c>
      <c r="C24" s="3375"/>
      <c r="D24" s="3375"/>
      <c r="E24" s="3375"/>
      <c r="F24" s="3375"/>
      <c r="G24" s="3375"/>
      <c r="H24" s="3455" t="s">
        <v>87</v>
      </c>
      <c r="I24" s="3455"/>
      <c r="J24" s="3456"/>
      <c r="K24" s="3495">
        <f ca="1">KALKULATION!H502</f>
        <v>0.15</v>
      </c>
      <c r="L24" s="3496"/>
      <c r="M24" s="3457"/>
      <c r="N24" s="3458"/>
      <c r="O24" s="3547">
        <f ca="1">K24*O23</f>
        <v>3</v>
      </c>
      <c r="P24" s="3548"/>
      <c r="R24" s="782"/>
    </row>
    <row r="25" spans="1:18" x14ac:dyDescent="0.2">
      <c r="A25" s="43">
        <v>7</v>
      </c>
      <c r="B25" s="3375" t="s">
        <v>136</v>
      </c>
      <c r="C25" s="3375"/>
      <c r="D25" s="3375"/>
      <c r="E25" s="3375"/>
      <c r="F25" s="3375"/>
      <c r="G25" s="3375"/>
      <c r="H25" s="3455" t="s">
        <v>87</v>
      </c>
      <c r="I25" s="3455"/>
      <c r="J25" s="3456"/>
      <c r="K25" s="3629">
        <f>KALKULATION!H510</f>
        <v>0</v>
      </c>
      <c r="L25" s="3630"/>
      <c r="M25" s="3457"/>
      <c r="N25" s="3458"/>
      <c r="O25" s="3547">
        <f ca="1">K25*O23</f>
        <v>0</v>
      </c>
      <c r="P25" s="3548"/>
      <c r="R25" s="782"/>
    </row>
    <row r="26" spans="1:18" x14ac:dyDescent="0.2">
      <c r="A26" s="43">
        <v>8</v>
      </c>
      <c r="B26" s="3375" t="s">
        <v>67</v>
      </c>
      <c r="C26" s="3375"/>
      <c r="D26" s="3375"/>
      <c r="E26" s="3375"/>
      <c r="F26" s="3375"/>
      <c r="G26" s="3375"/>
      <c r="H26" s="3455" t="s">
        <v>87</v>
      </c>
      <c r="I26" s="3455"/>
      <c r="J26" s="3456"/>
      <c r="K26" s="3629">
        <f>KALKULATION!H522</f>
        <v>0</v>
      </c>
      <c r="L26" s="3630"/>
      <c r="M26" s="3457"/>
      <c r="N26" s="3458"/>
      <c r="O26" s="3547">
        <f ca="1">K26*O23</f>
        <v>0</v>
      </c>
      <c r="P26" s="3548"/>
      <c r="R26" s="782"/>
    </row>
    <row r="27" spans="1:18" ht="15.75" thickBot="1" x14ac:dyDescent="0.25">
      <c r="A27" s="43">
        <v>9</v>
      </c>
      <c r="B27" s="3447" t="s">
        <v>103</v>
      </c>
      <c r="C27" s="3448"/>
      <c r="D27" s="3448"/>
      <c r="E27" s="3448"/>
      <c r="F27" s="3448"/>
      <c r="G27" s="3448"/>
      <c r="H27" s="3448"/>
      <c r="I27" s="3448"/>
      <c r="J27" s="3448"/>
      <c r="K27" s="3448"/>
      <c r="L27" s="3448"/>
      <c r="M27" s="3448"/>
      <c r="N27" s="3449"/>
      <c r="O27" s="3551">
        <f ca="1">KALKULATION!H526</f>
        <v>1.4</v>
      </c>
      <c r="P27" s="3552"/>
      <c r="R27" s="782"/>
    </row>
    <row r="28" spans="1:18" x14ac:dyDescent="0.2">
      <c r="A28" s="43">
        <v>10</v>
      </c>
      <c r="B28" s="3459" t="s">
        <v>42</v>
      </c>
      <c r="C28" s="3460"/>
      <c r="D28" s="3460"/>
      <c r="E28" s="3460"/>
      <c r="F28" s="3460"/>
      <c r="G28" s="3460"/>
      <c r="H28" s="3531" t="s">
        <v>183</v>
      </c>
      <c r="I28" s="3453"/>
      <c r="J28" s="3453"/>
      <c r="K28" s="3453"/>
      <c r="L28" s="3453"/>
      <c r="M28" s="3453"/>
      <c r="N28" s="146"/>
      <c r="O28" s="3624">
        <f ca="1">SUM(O23:P27)</f>
        <v>24.4</v>
      </c>
      <c r="P28" s="3625"/>
      <c r="R28" s="782"/>
    </row>
    <row r="29" spans="1:18" x14ac:dyDescent="0.2">
      <c r="A29" s="43">
        <v>11</v>
      </c>
      <c r="B29" s="2280" t="s">
        <v>104</v>
      </c>
      <c r="C29" s="2280"/>
      <c r="D29" s="2280"/>
      <c r="E29" s="2280"/>
      <c r="F29" s="2280"/>
      <c r="G29" s="2280"/>
      <c r="H29" s="2280"/>
      <c r="I29" s="2280"/>
      <c r="J29" s="2280"/>
      <c r="K29" s="2280"/>
      <c r="L29" s="2280"/>
      <c r="M29" s="2280"/>
      <c r="N29" s="2280"/>
      <c r="O29" s="3547">
        <f ca="1">KALKULATION!H527</f>
        <v>1.6</v>
      </c>
      <c r="P29" s="3548"/>
      <c r="R29" s="782"/>
    </row>
    <row r="30" spans="1:18" x14ac:dyDescent="0.2">
      <c r="A30" s="43">
        <v>12</v>
      </c>
      <c r="B30" s="3375" t="s">
        <v>43</v>
      </c>
      <c r="C30" s="3375"/>
      <c r="D30" s="3375"/>
      <c r="E30" s="3375"/>
      <c r="F30" s="3375"/>
      <c r="G30" s="3375"/>
      <c r="H30" s="3455" t="s">
        <v>44</v>
      </c>
      <c r="I30" s="3455"/>
      <c r="J30" s="3456"/>
      <c r="K30" s="3629">
        <f ca="1">KALKULATION!H528</f>
        <v>0.28999999999999998</v>
      </c>
      <c r="L30" s="3630"/>
      <c r="M30" s="3457"/>
      <c r="N30" s="3458"/>
      <c r="O30" s="3547">
        <f ca="1">K30*O28</f>
        <v>7.08</v>
      </c>
      <c r="P30" s="3548"/>
      <c r="R30" s="782"/>
    </row>
    <row r="31" spans="1:18" x14ac:dyDescent="0.2">
      <c r="A31" s="43">
        <v>13</v>
      </c>
      <c r="B31" s="3375" t="s">
        <v>45</v>
      </c>
      <c r="C31" s="3375"/>
      <c r="D31" s="3375"/>
      <c r="E31" s="3375"/>
      <c r="F31" s="3375"/>
      <c r="G31" s="3375"/>
      <c r="H31" s="3455" t="s">
        <v>44</v>
      </c>
      <c r="I31" s="3455"/>
      <c r="J31" s="3456"/>
      <c r="K31" s="3629">
        <f ca="1">KALKULATION!H529</f>
        <v>0.77</v>
      </c>
      <c r="L31" s="3630"/>
      <c r="M31" s="3457"/>
      <c r="N31" s="3458"/>
      <c r="O31" s="3547">
        <f ca="1">K31*O28</f>
        <v>18.79</v>
      </c>
      <c r="P31" s="3548"/>
      <c r="R31" s="782"/>
    </row>
    <row r="32" spans="1:18" ht="15.75" thickBot="1" x14ac:dyDescent="0.25">
      <c r="A32" s="43">
        <v>14</v>
      </c>
      <c r="B32" s="3473" t="s">
        <v>46</v>
      </c>
      <c r="C32" s="3474"/>
      <c r="D32" s="3474"/>
      <c r="E32" s="3474"/>
      <c r="F32" s="3474"/>
      <c r="G32" s="3474"/>
      <c r="H32" s="3475" t="s">
        <v>44</v>
      </c>
      <c r="I32" s="3475"/>
      <c r="J32" s="3476"/>
      <c r="K32" s="3620">
        <f ca="1">O32/O28</f>
        <v>2.8999999999999998E-3</v>
      </c>
      <c r="L32" s="3621"/>
      <c r="M32" s="3497"/>
      <c r="N32" s="3498"/>
      <c r="O32" s="3551">
        <f ca="1">KALKULATION!H530</f>
        <v>7.0000000000000007E-2</v>
      </c>
      <c r="P32" s="3552"/>
      <c r="R32" s="782"/>
    </row>
    <row r="33" spans="1:18" x14ac:dyDescent="0.2">
      <c r="A33" s="43">
        <v>15</v>
      </c>
      <c r="B33" s="3459" t="s">
        <v>47</v>
      </c>
      <c r="C33" s="3460"/>
      <c r="D33" s="3460"/>
      <c r="E33" s="3460"/>
      <c r="F33" s="3460"/>
      <c r="G33" s="3460"/>
      <c r="H33" s="3531" t="s">
        <v>184</v>
      </c>
      <c r="I33" s="3453"/>
      <c r="J33" s="3453"/>
      <c r="K33" s="3453"/>
      <c r="L33" s="3453"/>
      <c r="M33" s="3453"/>
      <c r="N33" s="3453"/>
      <c r="O33" s="3624">
        <f ca="1">SUM(O28:P32)</f>
        <v>51.94</v>
      </c>
      <c r="P33" s="3625"/>
      <c r="R33" s="782"/>
    </row>
    <row r="34" spans="1:18" x14ac:dyDescent="0.2">
      <c r="A34" s="43">
        <v>16</v>
      </c>
      <c r="B34" s="3500" t="s">
        <v>48</v>
      </c>
      <c r="C34" s="3500"/>
      <c r="D34" s="3500"/>
      <c r="E34" s="3500"/>
      <c r="F34" s="3500"/>
      <c r="G34" s="3500"/>
      <c r="H34" s="3481" t="str">
        <f>IF(_Anzeige_Prozent=_Nein,"in % auf B15","in % auf B15 + in € = ∑")</f>
        <v>in % auf B15 + in € = ∑</v>
      </c>
      <c r="I34" s="3481"/>
      <c r="J34" s="3482"/>
      <c r="K34" s="3495">
        <f>IF(_Anzeige_Prozent=_Nein,KALKULATION!G531+KALKULATION!H531/O33,KALKULATION!G531)</f>
        <v>0.06</v>
      </c>
      <c r="L34" s="3496"/>
      <c r="M34" s="3631">
        <f ca="1">IF(_Anzeige_Prozent=_Nein,"",KALKULATION!H531)</f>
        <v>2.2599999999999998</v>
      </c>
      <c r="N34" s="3632"/>
      <c r="O34" s="3631">
        <f ca="1">SUM(KALKULATION!H531,KALKULATION!G531*O33)</f>
        <v>5.38</v>
      </c>
      <c r="P34" s="3632"/>
      <c r="R34" s="782"/>
    </row>
    <row r="35" spans="1:18" ht="24.4" customHeight="1" x14ac:dyDescent="0.2">
      <c r="A35" s="43">
        <v>17</v>
      </c>
      <c r="B35" s="3523" t="s">
        <v>89</v>
      </c>
      <c r="C35" s="3379"/>
      <c r="D35" s="3379"/>
      <c r="E35" s="3379"/>
      <c r="F35" s="3379"/>
      <c r="G35" s="3379"/>
      <c r="H35" s="3379"/>
      <c r="I35" s="3379"/>
      <c r="J35" s="3524"/>
      <c r="K35" s="3483" t="str">
        <f>IF(SUM(K36:L38)&lt;&gt;0,"Umlage in % (U%) auf B15","")</f>
        <v/>
      </c>
      <c r="L35" s="3484"/>
      <c r="M35" s="3483" t="str">
        <f>IF(SUM(K36:L38)&lt;&gt;0,"Umlage in €/Std (inkl % in €)","Umlage in €/Std)")</f>
        <v>Umlage in €/Std)</v>
      </c>
      <c r="N35" s="3484"/>
      <c r="O35" s="3539"/>
      <c r="P35" s="3540"/>
      <c r="R35" s="782"/>
    </row>
    <row r="36" spans="1:18" x14ac:dyDescent="0.2">
      <c r="A36" s="79" t="s">
        <v>49</v>
      </c>
      <c r="B36" s="3381" t="str">
        <f>IF(SUM(K36:N36)=0,"",KALKULATION!A534)</f>
        <v/>
      </c>
      <c r="C36" s="3381"/>
      <c r="D36" s="3381"/>
      <c r="E36" s="3381"/>
      <c r="F36" s="3381"/>
      <c r="G36" s="3381"/>
      <c r="H36" s="3381"/>
      <c r="I36" s="3381"/>
      <c r="J36" s="3381"/>
      <c r="K36" s="3634" t="str">
        <f>IF(KALKULATION!A534="","",IF(_Anzeige_Prozent=_Nein,"",KALKULATION!G534))</f>
        <v/>
      </c>
      <c r="L36" s="3538"/>
      <c r="M36" s="3532" t="str">
        <f>IF(KALKULATION!A534="","",SUM(KALKULATION!F534,KALKULATION!H534))</f>
        <v/>
      </c>
      <c r="N36" s="3533"/>
      <c r="O36" s="3541"/>
      <c r="P36" s="3542"/>
      <c r="R36" s="782"/>
    </row>
    <row r="37" spans="1:18" x14ac:dyDescent="0.2">
      <c r="A37" s="79" t="s">
        <v>50</v>
      </c>
      <c r="B37" s="3381" t="str">
        <f>IF(SUM(K37:N37)=0,"",KALKULATION!A535)</f>
        <v/>
      </c>
      <c r="C37" s="3381"/>
      <c r="D37" s="3381"/>
      <c r="E37" s="3381"/>
      <c r="F37" s="3381"/>
      <c r="G37" s="3381"/>
      <c r="H37" s="3381"/>
      <c r="I37" s="3381"/>
      <c r="J37" s="3381"/>
      <c r="K37" s="3635" t="str">
        <f>IF(KALKULATION!A535="","",IF(_Anzeige_Prozent=_Nein,"",KALKULATION!G535))</f>
        <v/>
      </c>
      <c r="L37" s="3546"/>
      <c r="M37" s="3547" t="str">
        <f>IF(KALKULATION!A535="","",SUM(KALKULATION!F535,KALKULATION!H535))</f>
        <v/>
      </c>
      <c r="N37" s="3548"/>
      <c r="O37" s="3541"/>
      <c r="P37" s="3542"/>
      <c r="R37" s="782"/>
    </row>
    <row r="38" spans="1:18" ht="15.75" thickBot="1" x14ac:dyDescent="0.25">
      <c r="A38" s="79" t="s">
        <v>51</v>
      </c>
      <c r="B38" s="3387" t="str">
        <f>IF(SUM(K38:N38)=0,"",KALKULATION!A536)</f>
        <v/>
      </c>
      <c r="C38" s="3387"/>
      <c r="D38" s="3387"/>
      <c r="E38" s="3387"/>
      <c r="F38" s="3387"/>
      <c r="G38" s="3387"/>
      <c r="H38" s="3387"/>
      <c r="I38" s="3387"/>
      <c r="J38" s="3387"/>
      <c r="K38" s="3633" t="str">
        <f>IF(KALKULATION!A536="","",IF(_Anzeige_Prozent=_Nein,"",KALKULATION!G536))</f>
        <v/>
      </c>
      <c r="L38" s="3550"/>
      <c r="M38" s="3551" t="str">
        <f>IF(KALKULATION!A536="","",SUM(KALKULATION!F536,KALKULATION!H536))</f>
        <v/>
      </c>
      <c r="N38" s="3552"/>
      <c r="O38" s="3543"/>
      <c r="P38" s="3544"/>
      <c r="R38" s="782"/>
    </row>
    <row r="39" spans="1:18" x14ac:dyDescent="0.2">
      <c r="A39" s="43">
        <v>18</v>
      </c>
      <c r="B39" s="1152" t="s">
        <v>896</v>
      </c>
      <c r="C39" s="1153"/>
      <c r="D39" s="1153"/>
      <c r="E39" s="1153"/>
      <c r="F39" s="1154"/>
      <c r="G39" s="1154"/>
      <c r="H39" s="1155"/>
      <c r="I39" s="1156"/>
      <c r="J39" s="1156"/>
      <c r="K39" s="1156"/>
      <c r="L39" s="1157"/>
      <c r="M39" s="3534" t="str">
        <f>IF(SUM(M36:N38)&gt;0,SUM(M36:N38),"")</f>
        <v/>
      </c>
      <c r="N39" s="3535"/>
      <c r="O39" s="3536">
        <f ca="1">SUM(O33:P34)</f>
        <v>57.32</v>
      </c>
      <c r="P39" s="3535"/>
      <c r="R39" s="782"/>
    </row>
    <row r="40" spans="1:18" ht="27.95" customHeight="1" x14ac:dyDescent="0.2">
      <c r="A40" s="43">
        <v>19</v>
      </c>
      <c r="B40" s="3461" t="str">
        <f>KALKULATION!M302</f>
        <v>Personalkosten gesamt (Regie)</v>
      </c>
      <c r="C40" s="3462"/>
      <c r="D40" s="3462"/>
      <c r="E40" s="3462"/>
      <c r="F40" s="3462"/>
      <c r="G40" s="3462"/>
      <c r="H40" s="3462"/>
      <c r="I40" s="3462"/>
      <c r="J40" s="3463"/>
      <c r="K40" s="3472" t="s">
        <v>185</v>
      </c>
      <c r="L40" s="3044"/>
      <c r="M40" s="1164"/>
      <c r="N40" s="3559">
        <f ca="1">SUM(M39:P39)</f>
        <v>57.32</v>
      </c>
      <c r="O40" s="3559"/>
      <c r="P40" s="376"/>
      <c r="R40" s="782"/>
    </row>
    <row r="41" spans="1:18" hidden="1" x14ac:dyDescent="0.2">
      <c r="A41" s="43"/>
      <c r="B41" s="102" t="s">
        <v>55</v>
      </c>
      <c r="C41" s="4"/>
      <c r="D41" s="4"/>
      <c r="E41" s="4"/>
      <c r="F41" s="4"/>
      <c r="G41" s="4"/>
      <c r="H41" s="5"/>
      <c r="I41" s="1"/>
      <c r="K41" s="3"/>
      <c r="L41" s="3"/>
      <c r="M41" s="25"/>
      <c r="N41" s="26"/>
      <c r="O41" s="26"/>
      <c r="P41" s="27"/>
      <c r="R41" s="782"/>
    </row>
    <row r="42" spans="1:18" x14ac:dyDescent="0.2">
      <c r="A42" s="43"/>
      <c r="B42" s="3477" t="s">
        <v>54</v>
      </c>
      <c r="C42" s="3417"/>
      <c r="D42" s="3417"/>
      <c r="E42" s="3417"/>
      <c r="F42" s="3417"/>
      <c r="G42" s="3417"/>
      <c r="H42" s="3478"/>
      <c r="I42" s="3514" t="s">
        <v>52</v>
      </c>
      <c r="J42" s="3515"/>
      <c r="K42" s="3514" t="s">
        <v>53</v>
      </c>
      <c r="L42" s="3515"/>
      <c r="M42" s="3560"/>
      <c r="N42" s="3561"/>
      <c r="O42" s="3561"/>
      <c r="P42" s="3562"/>
      <c r="R42" s="782"/>
    </row>
    <row r="43" spans="1:18" ht="15.75" thickBot="1" x14ac:dyDescent="0.25">
      <c r="A43" s="43">
        <v>20</v>
      </c>
      <c r="B43" s="3473"/>
      <c r="C43" s="3474"/>
      <c r="D43" s="3474"/>
      <c r="E43" s="3474"/>
      <c r="F43" s="3474"/>
      <c r="G43" s="3474"/>
      <c r="H43" s="3479"/>
      <c r="I43" s="3636" t="str">
        <f>IF(M39="","",KALKULATION!H538)</f>
        <v/>
      </c>
      <c r="J43" s="3637"/>
      <c r="K43" s="3636">
        <f>KALKULATION!H541</f>
        <v>0.28999999999999998</v>
      </c>
      <c r="L43" s="3637"/>
      <c r="M43" s="3638" t="str">
        <f>IFERROR(I43*M39,"")</f>
        <v/>
      </c>
      <c r="N43" s="3639"/>
      <c r="O43" s="3638">
        <f ca="1">K43*O39</f>
        <v>16.62</v>
      </c>
      <c r="P43" s="3639"/>
      <c r="R43" s="782"/>
    </row>
    <row r="44" spans="1:18" x14ac:dyDescent="0.2">
      <c r="A44" s="43">
        <v>21</v>
      </c>
      <c r="B44" s="1161" t="s">
        <v>897</v>
      </c>
      <c r="C44" s="1162"/>
      <c r="D44" s="1162"/>
      <c r="E44" s="1162"/>
      <c r="F44" s="1162"/>
      <c r="G44" s="1162"/>
      <c r="H44" s="1162"/>
      <c r="I44" s="1156"/>
      <c r="J44" s="1156"/>
      <c r="K44" s="1156"/>
      <c r="L44" s="1157"/>
      <c r="M44" s="3534" t="str">
        <f>IFERROR(IF(M39="","",SUM(M39,M43)),"")</f>
        <v/>
      </c>
      <c r="N44" s="3535"/>
      <c r="O44" s="3534">
        <f ca="1">SUM(O39:P43)</f>
        <v>73.94</v>
      </c>
      <c r="P44" s="3535"/>
      <c r="R44" s="782"/>
    </row>
    <row r="45" spans="1:18" ht="27.95" customHeight="1" x14ac:dyDescent="0.2">
      <c r="A45" s="44">
        <v>22</v>
      </c>
      <c r="B45" s="3556" t="str">
        <f>KALKULATION!C543</f>
        <v>Regielohnpreis gesamt für [IIb.   Facharbeiter]</v>
      </c>
      <c r="C45" s="3557"/>
      <c r="D45" s="3557"/>
      <c r="E45" s="3557"/>
      <c r="F45" s="3557"/>
      <c r="G45" s="3557"/>
      <c r="H45" s="3557"/>
      <c r="I45" s="3557"/>
      <c r="J45" s="3558"/>
      <c r="K45" s="3472" t="s">
        <v>186</v>
      </c>
      <c r="L45" s="3044"/>
      <c r="M45" s="1164"/>
      <c r="N45" s="3559">
        <f ca="1">SUM(M44:P44)</f>
        <v>73.94</v>
      </c>
      <c r="O45" s="3559"/>
      <c r="P45" s="376"/>
      <c r="R45" s="782"/>
    </row>
    <row r="46" spans="1:18" hidden="1" x14ac:dyDescent="0.2">
      <c r="A46" s="101"/>
      <c r="B46" s="102" t="s">
        <v>55</v>
      </c>
      <c r="C46" s="1"/>
      <c r="D46" s="1"/>
      <c r="E46" s="1"/>
      <c r="F46" s="1"/>
      <c r="G46" s="1"/>
      <c r="H46" s="1"/>
      <c r="I46" s="2"/>
      <c r="J46" s="23"/>
      <c r="K46" s="23"/>
      <c r="M46" s="22"/>
      <c r="N46" s="22"/>
      <c r="O46" s="21"/>
      <c r="R46" s="782"/>
    </row>
    <row r="47" spans="1:18" ht="55.9" customHeight="1" x14ac:dyDescent="0.2">
      <c r="A47" s="3485" t="str">
        <f>"Lizenziert für:
"&amp;'Lizenz u lies mich'!B32</f>
        <v>Lizenziert für:
Vers V4.0</v>
      </c>
      <c r="B47" s="3486"/>
      <c r="C47" s="3486"/>
      <c r="D47" s="3503" t="str">
        <f ca="1">' K3 PP'!D47</f>
        <v>Keine gültige Lizenz! Nur als Testversion nutzbar!</v>
      </c>
      <c r="E47" s="3503"/>
      <c r="F47" s="3503"/>
      <c r="G47" s="3503"/>
      <c r="H47" s="3504"/>
      <c r="I47" s="3502"/>
      <c r="J47" s="3502"/>
      <c r="K47" s="3502"/>
      <c r="L47" s="3502"/>
      <c r="M47" s="3502"/>
      <c r="N47" s="3501" t="s">
        <v>260</v>
      </c>
      <c r="O47" s="3412"/>
      <c r="P47" s="3413"/>
      <c r="R47" s="782"/>
    </row>
    <row r="48" spans="1:18" ht="10.15" customHeight="1" x14ac:dyDescent="0.2">
      <c r="A48" s="597"/>
      <c r="B48" s="597"/>
      <c r="C48" s="597"/>
      <c r="D48" s="597"/>
      <c r="E48" s="597"/>
      <c r="F48" s="597"/>
      <c r="G48" s="597"/>
      <c r="H48" s="597"/>
      <c r="I48" s="597"/>
      <c r="J48" s="597"/>
      <c r="K48" s="597"/>
      <c r="L48" s="597"/>
      <c r="M48" s="597"/>
      <c r="N48" s="597"/>
      <c r="O48" s="597"/>
      <c r="P48" s="597"/>
    </row>
  </sheetData>
  <sheetProtection password="B984" sheet="1" formatColumns="0" selectLockedCells="1"/>
  <mergeCells count="156">
    <mergeCell ref="A47:C47"/>
    <mergeCell ref="O43:P43"/>
    <mergeCell ref="M44:N44"/>
    <mergeCell ref="O44:P44"/>
    <mergeCell ref="K45:L45"/>
    <mergeCell ref="N45:O45"/>
    <mergeCell ref="N47:P47"/>
    <mergeCell ref="I47:M47"/>
    <mergeCell ref="D47:H47"/>
    <mergeCell ref="B45:J45"/>
    <mergeCell ref="B40:J40"/>
    <mergeCell ref="K40:L40"/>
    <mergeCell ref="N40:O40"/>
    <mergeCell ref="B42:H43"/>
    <mergeCell ref="I42:J42"/>
    <mergeCell ref="K42:L42"/>
    <mergeCell ref="M42:P42"/>
    <mergeCell ref="I43:J43"/>
    <mergeCell ref="K43:L43"/>
    <mergeCell ref="M43:N43"/>
    <mergeCell ref="B38:J38"/>
    <mergeCell ref="K38:L38"/>
    <mergeCell ref="M38:N38"/>
    <mergeCell ref="M39:N39"/>
    <mergeCell ref="O39:P39"/>
    <mergeCell ref="B35:J35"/>
    <mergeCell ref="K35:L35"/>
    <mergeCell ref="M35:N35"/>
    <mergeCell ref="O35:P38"/>
    <mergeCell ref="B36:J36"/>
    <mergeCell ref="K36:L36"/>
    <mergeCell ref="M36:N36"/>
    <mergeCell ref="B37:J37"/>
    <mergeCell ref="K37:L37"/>
    <mergeCell ref="M37:N37"/>
    <mergeCell ref="B33:G33"/>
    <mergeCell ref="H33:N33"/>
    <mergeCell ref="O33:P33"/>
    <mergeCell ref="B34:G34"/>
    <mergeCell ref="H34:J34"/>
    <mergeCell ref="K34:L34"/>
    <mergeCell ref="M34:N34"/>
    <mergeCell ref="O34:P34"/>
    <mergeCell ref="B31:G31"/>
    <mergeCell ref="H31:J31"/>
    <mergeCell ref="K31:L31"/>
    <mergeCell ref="M31:N31"/>
    <mergeCell ref="O31:P31"/>
    <mergeCell ref="B32:G32"/>
    <mergeCell ref="H32:J32"/>
    <mergeCell ref="K32:L32"/>
    <mergeCell ref="M32:N32"/>
    <mergeCell ref="O32:P32"/>
    <mergeCell ref="B28:G28"/>
    <mergeCell ref="H28:M28"/>
    <mergeCell ref="O28:P28"/>
    <mergeCell ref="B29:N29"/>
    <mergeCell ref="O29:P29"/>
    <mergeCell ref="B30:G30"/>
    <mergeCell ref="H30:J30"/>
    <mergeCell ref="K30:L30"/>
    <mergeCell ref="M30:N30"/>
    <mergeCell ref="O30:P30"/>
    <mergeCell ref="B26:G26"/>
    <mergeCell ref="H26:J26"/>
    <mergeCell ref="K26:L26"/>
    <mergeCell ref="M26:N26"/>
    <mergeCell ref="O26:P26"/>
    <mergeCell ref="B27:N27"/>
    <mergeCell ref="O27:P27"/>
    <mergeCell ref="B24:G24"/>
    <mergeCell ref="H24:J24"/>
    <mergeCell ref="K24:L24"/>
    <mergeCell ref="M24:N24"/>
    <mergeCell ref="O24:P24"/>
    <mergeCell ref="B25:G25"/>
    <mergeCell ref="H25:J25"/>
    <mergeCell ref="K25:L25"/>
    <mergeCell ref="M25:N25"/>
    <mergeCell ref="O25:P25"/>
    <mergeCell ref="B22:G22"/>
    <mergeCell ref="H22:J22"/>
    <mergeCell ref="K22:L22"/>
    <mergeCell ref="M22:N22"/>
    <mergeCell ref="O22:P22"/>
    <mergeCell ref="B23:G23"/>
    <mergeCell ref="O23:P23"/>
    <mergeCell ref="I19:J19"/>
    <mergeCell ref="K19:O19"/>
    <mergeCell ref="B20:L20"/>
    <mergeCell ref="M20:N20"/>
    <mergeCell ref="O20:P20"/>
    <mergeCell ref="H21:N21"/>
    <mergeCell ref="O21:P21"/>
    <mergeCell ref="H23:M23"/>
    <mergeCell ref="B18:E18"/>
    <mergeCell ref="F18:G18"/>
    <mergeCell ref="I18:J18"/>
    <mergeCell ref="K18:N18"/>
    <mergeCell ref="B15:E15"/>
    <mergeCell ref="F15:G15"/>
    <mergeCell ref="I15:J15"/>
    <mergeCell ref="K15:N15"/>
    <mergeCell ref="B16:E16"/>
    <mergeCell ref="F16:G16"/>
    <mergeCell ref="I16:J16"/>
    <mergeCell ref="K16:N16"/>
    <mergeCell ref="K11:N11"/>
    <mergeCell ref="B12:E12"/>
    <mergeCell ref="F12:G12"/>
    <mergeCell ref="I12:J12"/>
    <mergeCell ref="K12:N14"/>
    <mergeCell ref="B17:E17"/>
    <mergeCell ref="F17:G17"/>
    <mergeCell ref="I17:J17"/>
    <mergeCell ref="K17:N17"/>
    <mergeCell ref="B13:E13"/>
    <mergeCell ref="F13:G13"/>
    <mergeCell ref="I13:J13"/>
    <mergeCell ref="B14:E14"/>
    <mergeCell ref="F14:G14"/>
    <mergeCell ref="I14:J14"/>
    <mergeCell ref="B11:E11"/>
    <mergeCell ref="F11:G11"/>
    <mergeCell ref="I11:J11"/>
    <mergeCell ref="B1:E1"/>
    <mergeCell ref="B9:E9"/>
    <mergeCell ref="F9:G9"/>
    <mergeCell ref="I9:J9"/>
    <mergeCell ref="K9:O9"/>
    <mergeCell ref="B10:E10"/>
    <mergeCell ref="F10:G10"/>
    <mergeCell ref="I10:J10"/>
    <mergeCell ref="K10:N10"/>
    <mergeCell ref="B7:E7"/>
    <mergeCell ref="K7:P7"/>
    <mergeCell ref="M8:N8"/>
    <mergeCell ref="O8:P8"/>
    <mergeCell ref="G1:P1"/>
    <mergeCell ref="B6:E6"/>
    <mergeCell ref="F5:J5"/>
    <mergeCell ref="B5:E5"/>
    <mergeCell ref="F7:J7"/>
    <mergeCell ref="F6:J6"/>
    <mergeCell ref="A2:A8"/>
    <mergeCell ref="B2:E3"/>
    <mergeCell ref="F2:J3"/>
    <mergeCell ref="K2:P2"/>
    <mergeCell ref="C4:E4"/>
    <mergeCell ref="G4:J4"/>
    <mergeCell ref="K6:L6"/>
    <mergeCell ref="M6:P6"/>
    <mergeCell ref="B8:L8"/>
    <mergeCell ref="K4:P4"/>
    <mergeCell ref="K3:P3"/>
    <mergeCell ref="K5:P5"/>
  </mergeCells>
  <conditionalFormatting sqref="B5">
    <cfRule type="expression" dxfId="72" priority="11">
      <formula>$E$5="X"</formula>
    </cfRule>
  </conditionalFormatting>
  <conditionalFormatting sqref="B6">
    <cfRule type="expression" dxfId="71" priority="10">
      <formula>$E$6="X"</formula>
    </cfRule>
  </conditionalFormatting>
  <conditionalFormatting sqref="B36:J38">
    <cfRule type="expression" dxfId="70" priority="8">
      <formula>$B36=0</formula>
    </cfRule>
  </conditionalFormatting>
  <conditionalFormatting sqref="F5">
    <cfRule type="expression" dxfId="69" priority="13">
      <formula>$J$5="X"</formula>
    </cfRule>
  </conditionalFormatting>
  <conditionalFormatting sqref="F6">
    <cfRule type="expression" dxfId="68" priority="12">
      <formula>$J$6="X"</formula>
    </cfRule>
  </conditionalFormatting>
  <conditionalFormatting sqref="I19:J19 O21:P21 D47:H47">
    <cfRule type="expression" dxfId="66" priority="7">
      <formula>_OK?&lt;&gt;"OK!"</formula>
    </cfRule>
  </conditionalFormatting>
  <conditionalFormatting sqref="K12 O12:P13">
    <cfRule type="uniqueValues" dxfId="65" priority="2"/>
  </conditionalFormatting>
  <conditionalFormatting sqref="K36:N38">
    <cfRule type="cellIs" dxfId="62" priority="1" operator="equal">
      <formula>0</formula>
    </cfRule>
  </conditionalFormatting>
  <conditionalFormatting sqref="N40:O40 N45:O45 K3:P5">
    <cfRule type="expression" dxfId="61" priority="9">
      <formula>OR(_OK?&lt;&gt;"OK!",_OK_KV?&lt;&gt;"OK_KV!")</formula>
    </cfRule>
  </conditionalFormatting>
  <conditionalFormatting sqref="N40:O40 N45:O45">
    <cfRule type="expression" dxfId="60" priority="6">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ignoredErrors>
    <ignoredError sqref="O23" 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5" id="{374D0151-EC42-4327-9094-3EFB2EC80ABC}">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4" id="{931FC410-04C8-4787-A8A9-6ECE23AC679E}">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3" id="{24960FC0-7FF0-43BE-8DA0-1BCCBD1EE17B}">
            <xm:f>KALKULATION!$F$351="Nein"</xm:f>
            <x14:dxf>
              <font>
                <color theme="0"/>
              </font>
              <border>
                <left style="thin">
                  <color theme="0"/>
                </left>
                <vertical/>
                <horizontal/>
              </border>
            </x14:dxf>
          </x14:cfRule>
          <xm:sqref>K35:L38</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9AB15-FD3E-45FE-870E-94B95A7CE897}">
  <sheetPr codeName="Tabelle12">
    <tabColor theme="9" tint="-0.249977111117893"/>
  </sheetPr>
  <dimension ref="A1:R48"/>
  <sheetViews>
    <sheetView showGridLines="0" topLeftCell="A28" zoomScaleNormal="100" workbookViewId="0">
      <selection activeCell="I47" sqref="I47:M47"/>
    </sheetView>
  </sheetViews>
  <sheetFormatPr baseColWidth="10" defaultRowHeight="15" x14ac:dyDescent="0.2"/>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5546875" customWidth="1"/>
  </cols>
  <sheetData>
    <row r="1" spans="1:18" ht="18.75" x14ac:dyDescent="0.3">
      <c r="A1" s="31" t="s">
        <v>21</v>
      </c>
      <c r="B1" s="3509" t="s">
        <v>22</v>
      </c>
      <c r="C1" s="3509"/>
      <c r="D1" s="3509"/>
      <c r="E1" s="3510"/>
      <c r="F1" s="424" t="s">
        <v>187</v>
      </c>
      <c r="G1" s="3605" t="str">
        <f>' K3 PP'!G1:P1</f>
        <v xml:space="preserve">Musterprojekt Baugewerbe </v>
      </c>
      <c r="H1" s="3605"/>
      <c r="I1" s="3605"/>
      <c r="J1" s="3605"/>
      <c r="K1" s="3605"/>
      <c r="L1" s="3605"/>
      <c r="M1" s="3605"/>
      <c r="N1" s="3605"/>
      <c r="O1" s="3605"/>
      <c r="P1" s="3606"/>
      <c r="R1" s="783"/>
    </row>
    <row r="2" spans="1:18" x14ac:dyDescent="0.2">
      <c r="A2" s="3600"/>
      <c r="B2" s="3402" t="s">
        <v>57</v>
      </c>
      <c r="C2" s="3403"/>
      <c r="D2" s="3403"/>
      <c r="E2" s="3403"/>
      <c r="F2" s="3601" t="str">
        <f>IF(KALKULATION!D554="","Regiepersonalpreis",KALKULATION!D554)</f>
        <v>Regielohnkalkulation03</v>
      </c>
      <c r="G2" s="3601"/>
      <c r="H2" s="3601"/>
      <c r="I2" s="3601"/>
      <c r="J2" s="3602"/>
      <c r="K2" s="3374" t="s">
        <v>24</v>
      </c>
      <c r="L2" s="3375"/>
      <c r="M2" s="3375"/>
      <c r="N2" s="3375"/>
      <c r="O2" s="3375"/>
      <c r="P2" s="3389"/>
      <c r="R2" s="783"/>
    </row>
    <row r="3" spans="1:18" x14ac:dyDescent="0.2">
      <c r="A3" s="3600"/>
      <c r="B3" s="3264"/>
      <c r="C3" s="3265"/>
      <c r="D3" s="3265"/>
      <c r="E3" s="3265"/>
      <c r="F3" s="3603"/>
      <c r="G3" s="3603"/>
      <c r="H3" s="3603"/>
      <c r="I3" s="3603"/>
      <c r="J3" s="3604"/>
      <c r="K3" s="3380" t="str">
        <f ca="1">' K3 PP'!K3</f>
        <v>Nur als Testversion nutzbar!</v>
      </c>
      <c r="L3" s="3381"/>
      <c r="M3" s="3381"/>
      <c r="N3" s="3381"/>
      <c r="O3" s="3381"/>
      <c r="P3" s="3384"/>
      <c r="R3" s="783"/>
    </row>
    <row r="4" spans="1:18" x14ac:dyDescent="0.2">
      <c r="A4" s="3600"/>
      <c r="B4" s="77" t="s">
        <v>155</v>
      </c>
      <c r="C4" s="3610" t="str">
        <f>' K3 PP'!C4:E4</f>
        <v>Meine GZ</v>
      </c>
      <c r="D4" s="3610"/>
      <c r="E4" s="3611"/>
      <c r="F4" s="77" t="s">
        <v>156</v>
      </c>
      <c r="G4" s="3612" t="str">
        <f>' K3 PP'!G4:J4</f>
        <v>Seine GZ</v>
      </c>
      <c r="H4" s="3612"/>
      <c r="I4" s="3612"/>
      <c r="J4" s="3613"/>
      <c r="K4" s="3414" t="str">
        <f ca="1">' K3 PP'!K4:P4</f>
        <v>Nur als Testversion nutzbar!</v>
      </c>
      <c r="L4" s="3415"/>
      <c r="M4" s="3415"/>
      <c r="N4" s="3415"/>
      <c r="O4" s="3415"/>
      <c r="P4" s="3416"/>
      <c r="R4" s="783"/>
    </row>
    <row r="5" spans="1:18" x14ac:dyDescent="0.2">
      <c r="A5" s="3600"/>
      <c r="B5" s="3523" t="s">
        <v>621</v>
      </c>
      <c r="C5" s="3379"/>
      <c r="D5" s="3379"/>
      <c r="E5" s="3524"/>
      <c r="F5" s="3477" t="s">
        <v>622</v>
      </c>
      <c r="G5" s="3417"/>
      <c r="H5" s="3417"/>
      <c r="I5" s="3417"/>
      <c r="J5" s="3478"/>
      <c r="K5" s="3414" t="str">
        <f ca="1">' K3 PP'!K5</f>
        <v>Nur als Testversion nutzbar!</v>
      </c>
      <c r="L5" s="3415"/>
      <c r="M5" s="3415"/>
      <c r="N5" s="3415"/>
      <c r="O5" s="3415"/>
      <c r="P5" s="3416"/>
      <c r="R5" s="783"/>
    </row>
    <row r="6" spans="1:18" x14ac:dyDescent="0.2">
      <c r="A6" s="3600"/>
      <c r="B6" s="3525" t="str">
        <f>KALKULATION!C28</f>
        <v>Lohn</v>
      </c>
      <c r="C6" s="3526"/>
      <c r="D6" s="3526"/>
      <c r="E6" s="3527"/>
      <c r="F6" s="3594" t="str">
        <f>KALKULATION!C29</f>
        <v>Montage</v>
      </c>
      <c r="G6" s="3595"/>
      <c r="H6" s="3595"/>
      <c r="I6" s="3595"/>
      <c r="J6" s="3596"/>
      <c r="K6" s="3417" t="s">
        <v>1</v>
      </c>
      <c r="L6" s="3417"/>
      <c r="M6" s="3589">
        <f>' K3 PP'!M6</f>
        <v>46143</v>
      </c>
      <c r="N6" s="3589"/>
      <c r="O6" s="3589"/>
      <c r="P6" s="3590"/>
      <c r="R6" s="783"/>
    </row>
    <row r="7" spans="1:18" x14ac:dyDescent="0.2">
      <c r="A7" s="3600"/>
      <c r="B7" s="2726" t="s">
        <v>126</v>
      </c>
      <c r="C7" s="3440"/>
      <c r="D7" s="3440"/>
      <c r="E7" s="3440"/>
      <c r="F7" s="3597" t="s">
        <v>25</v>
      </c>
      <c r="G7" s="3598"/>
      <c r="H7" s="3598"/>
      <c r="I7" s="3598"/>
      <c r="J7" s="3599"/>
      <c r="K7" s="3412" t="s">
        <v>140</v>
      </c>
      <c r="L7" s="3412"/>
      <c r="M7" s="3412"/>
      <c r="N7" s="3412"/>
      <c r="O7" s="3412"/>
      <c r="P7" s="3413"/>
      <c r="R7" s="783"/>
    </row>
    <row r="8" spans="1:18" ht="15.75" thickBot="1" x14ac:dyDescent="0.25">
      <c r="A8" s="3600"/>
      <c r="B8" s="3591" t="str">
        <f ca="1">Stammdaten!B3</f>
        <v>KollV f Bauindustrie und Baugewerbe (Arbeiter)</v>
      </c>
      <c r="C8" s="3592"/>
      <c r="D8" s="3592"/>
      <c r="E8" s="3592"/>
      <c r="F8" s="3592"/>
      <c r="G8" s="3592"/>
      <c r="H8" s="3592"/>
      <c r="I8" s="3592"/>
      <c r="J8" s="3592"/>
      <c r="K8" s="3592"/>
      <c r="L8" s="3593"/>
      <c r="M8" s="3390" t="s">
        <v>26</v>
      </c>
      <c r="N8" s="3391"/>
      <c r="O8" s="3587">
        <f ca="1">Stammdaten!B4</f>
        <v>46143</v>
      </c>
      <c r="P8" s="3588"/>
      <c r="R8" s="783"/>
    </row>
    <row r="9" spans="1:18" x14ac:dyDescent="0.2">
      <c r="A9" s="79">
        <v>1</v>
      </c>
      <c r="B9" s="3421" t="s">
        <v>106</v>
      </c>
      <c r="C9" s="3422"/>
      <c r="D9" s="3422"/>
      <c r="E9" s="3423"/>
      <c r="F9" s="3398" t="s">
        <v>107</v>
      </c>
      <c r="G9" s="3399"/>
      <c r="H9" s="78" t="s">
        <v>27</v>
      </c>
      <c r="I9" s="3511" t="s">
        <v>28</v>
      </c>
      <c r="J9" s="3512"/>
      <c r="K9" s="3422" t="s">
        <v>108</v>
      </c>
      <c r="L9" s="3422"/>
      <c r="M9" s="3422"/>
      <c r="N9" s="3422"/>
      <c r="O9" s="3422"/>
      <c r="P9" s="28">
        <f ca="1">KALKULATION!C87</f>
        <v>39</v>
      </c>
      <c r="R9" s="783"/>
    </row>
    <row r="10" spans="1:18" x14ac:dyDescent="0.2">
      <c r="A10" s="43" t="s">
        <v>29</v>
      </c>
      <c r="B10" s="3607" t="str">
        <f>KALKULATION!A557</f>
        <v>IV.   Bauhilfsarbeiter</v>
      </c>
      <c r="C10" s="3607"/>
      <c r="D10" s="3607"/>
      <c r="E10" s="3608"/>
      <c r="F10" s="3609">
        <f ca="1">IFERROR((VLOOKUP(B10,Stammdaten!A$7:D$33,4,FALSE)),"")</f>
        <v>17.03</v>
      </c>
      <c r="G10" s="3609"/>
      <c r="H10" s="30">
        <f>KALKULATION!F557</f>
        <v>1</v>
      </c>
      <c r="I10" s="3547">
        <f ca="1">IF(PRODUCT(F10,H10)=0,"",F10*H10)</f>
        <v>17.03</v>
      </c>
      <c r="J10" s="3548"/>
      <c r="K10" s="3583" t="s">
        <v>141</v>
      </c>
      <c r="L10" s="3583"/>
      <c r="M10" s="3583"/>
      <c r="N10" s="3584"/>
      <c r="O10" s="29" t="s">
        <v>30</v>
      </c>
      <c r="P10" s="6" t="s">
        <v>18</v>
      </c>
      <c r="R10" s="783"/>
    </row>
    <row r="11" spans="1:18" x14ac:dyDescent="0.2">
      <c r="A11" s="43" t="s">
        <v>31</v>
      </c>
      <c r="B11" s="3572"/>
      <c r="C11" s="3572"/>
      <c r="D11" s="3572"/>
      <c r="E11" s="3573"/>
      <c r="F11" s="3574"/>
      <c r="G11" s="3574"/>
      <c r="H11" s="33"/>
      <c r="I11" s="3575"/>
      <c r="J11" s="3576"/>
      <c r="K11" s="3614" t="str">
        <f>KALKULATION!N584</f>
        <v>Regiestunde</v>
      </c>
      <c r="L11" s="3615"/>
      <c r="M11" s="3615"/>
      <c r="N11" s="3615"/>
      <c r="O11" s="1034" t="str">
        <f>KALKULATION!P584</f>
        <v/>
      </c>
      <c r="P11" s="163">
        <v>1</v>
      </c>
      <c r="R11" s="783"/>
    </row>
    <row r="12" spans="1:18" x14ac:dyDescent="0.2">
      <c r="A12" s="43" t="s">
        <v>32</v>
      </c>
      <c r="B12" s="3572"/>
      <c r="C12" s="3572"/>
      <c r="D12" s="3572"/>
      <c r="E12" s="3573"/>
      <c r="F12" s="3574"/>
      <c r="G12" s="3574"/>
      <c r="H12" s="33"/>
      <c r="I12" s="3575"/>
      <c r="J12" s="3576"/>
      <c r="K12" s="3577" t="str">
        <f>IF(AND(_Anzeige_Prozent=_Ja,KALKULATION!N588&lt;&gt;""),"Erfasst sind Verr.std. für: "&amp;KALKULATION!N588,"")</f>
        <v/>
      </c>
      <c r="L12" s="3578"/>
      <c r="M12" s="3578"/>
      <c r="N12" s="3579"/>
      <c r="O12" s="556"/>
      <c r="P12" s="557"/>
      <c r="R12" s="783"/>
    </row>
    <row r="13" spans="1:18" x14ac:dyDescent="0.2">
      <c r="A13" s="43" t="s">
        <v>33</v>
      </c>
      <c r="B13" s="3572"/>
      <c r="C13" s="3572"/>
      <c r="D13" s="3572"/>
      <c r="E13" s="3573"/>
      <c r="F13" s="3574"/>
      <c r="G13" s="3574"/>
      <c r="H13" s="33"/>
      <c r="I13" s="3575"/>
      <c r="J13" s="3576"/>
      <c r="K13" s="3577"/>
      <c r="L13" s="3578"/>
      <c r="M13" s="3578"/>
      <c r="N13" s="3579"/>
      <c r="O13" s="556"/>
      <c r="P13" s="557"/>
      <c r="R13" s="783"/>
    </row>
    <row r="14" spans="1:18" x14ac:dyDescent="0.2">
      <c r="A14" s="43" t="s">
        <v>34</v>
      </c>
      <c r="B14" s="3572"/>
      <c r="C14" s="3572"/>
      <c r="D14" s="3572"/>
      <c r="E14" s="3573"/>
      <c r="F14" s="3574"/>
      <c r="G14" s="3574"/>
      <c r="H14" s="33"/>
      <c r="I14" s="3575"/>
      <c r="J14" s="3576"/>
      <c r="K14" s="3577"/>
      <c r="L14" s="3578"/>
      <c r="M14" s="3578"/>
      <c r="N14" s="3579"/>
      <c r="O14" s="34"/>
      <c r="P14" s="35"/>
      <c r="R14" s="783"/>
    </row>
    <row r="15" spans="1:18" x14ac:dyDescent="0.2">
      <c r="A15" s="43" t="s">
        <v>35</v>
      </c>
      <c r="B15" s="3572"/>
      <c r="C15" s="3572"/>
      <c r="D15" s="3572"/>
      <c r="E15" s="3573"/>
      <c r="F15" s="3574"/>
      <c r="G15" s="3574"/>
      <c r="H15" s="33"/>
      <c r="I15" s="3575"/>
      <c r="J15" s="3576"/>
      <c r="K15" s="3572"/>
      <c r="L15" s="3572"/>
      <c r="M15" s="3572"/>
      <c r="N15" s="3573"/>
      <c r="O15" s="34"/>
      <c r="P15" s="35"/>
      <c r="R15" s="783"/>
    </row>
    <row r="16" spans="1:18" x14ac:dyDescent="0.2">
      <c r="A16" s="43" t="s">
        <v>36</v>
      </c>
      <c r="B16" s="3572"/>
      <c r="C16" s="3572"/>
      <c r="D16" s="3572"/>
      <c r="E16" s="3573"/>
      <c r="F16" s="3574"/>
      <c r="G16" s="3574"/>
      <c r="H16" s="33"/>
      <c r="I16" s="3575"/>
      <c r="J16" s="3576"/>
      <c r="K16" s="3616"/>
      <c r="L16" s="3616"/>
      <c r="M16" s="3616"/>
      <c r="N16" s="3617"/>
      <c r="O16" s="36"/>
      <c r="P16" s="37"/>
      <c r="R16" s="783"/>
    </row>
    <row r="17" spans="1:18" x14ac:dyDescent="0.2">
      <c r="A17" s="43" t="s">
        <v>37</v>
      </c>
      <c r="B17" s="3572"/>
      <c r="C17" s="3572"/>
      <c r="D17" s="3572"/>
      <c r="E17" s="3573"/>
      <c r="F17" s="3574"/>
      <c r="G17" s="3574"/>
      <c r="H17" s="33"/>
      <c r="I17" s="3575"/>
      <c r="J17" s="3576"/>
      <c r="K17" s="3616"/>
      <c r="L17" s="3616"/>
      <c r="M17" s="3616"/>
      <c r="N17" s="3617"/>
      <c r="O17" s="36"/>
      <c r="P17" s="37"/>
      <c r="R17" s="783"/>
    </row>
    <row r="18" spans="1:18" ht="15.75" thickBot="1" x14ac:dyDescent="0.25">
      <c r="A18" s="43" t="s">
        <v>38</v>
      </c>
      <c r="B18" s="3565"/>
      <c r="C18" s="3566"/>
      <c r="D18" s="3566"/>
      <c r="E18" s="3567"/>
      <c r="F18" s="3568"/>
      <c r="G18" s="3568"/>
      <c r="H18" s="38"/>
      <c r="I18" s="3569"/>
      <c r="J18" s="3570"/>
      <c r="K18" s="3618"/>
      <c r="L18" s="3618"/>
      <c r="M18" s="3618"/>
      <c r="N18" s="3619"/>
      <c r="O18" s="39"/>
      <c r="P18" s="40"/>
      <c r="R18" s="783"/>
    </row>
    <row r="19" spans="1:18" x14ac:dyDescent="0.2">
      <c r="A19" s="43">
        <v>2</v>
      </c>
      <c r="B19" s="1169" t="s">
        <v>39</v>
      </c>
      <c r="C19" s="1170"/>
      <c r="D19" s="1171"/>
      <c r="E19" s="1171"/>
      <c r="F19" s="1171"/>
      <c r="G19" s="1171"/>
      <c r="H19" s="1167">
        <f>SUM(H10:H18)</f>
        <v>1</v>
      </c>
      <c r="I19" s="3376">
        <f ca="1">IF(AND(_OK?="OK!",_OK_KV?="OK_KV!"),SUM(I10:J18),KALKULATION!G558)</f>
        <v>18</v>
      </c>
      <c r="J19" s="3377"/>
      <c r="K19" s="3626" t="s">
        <v>143</v>
      </c>
      <c r="L19" s="3626"/>
      <c r="M19" s="3626"/>
      <c r="N19" s="3626"/>
      <c r="O19" s="3626"/>
      <c r="P19" s="1173">
        <v>1</v>
      </c>
      <c r="R19" s="783"/>
    </row>
    <row r="20" spans="1:18" x14ac:dyDescent="0.2">
      <c r="A20" s="43"/>
      <c r="B20" s="3440"/>
      <c r="C20" s="3440"/>
      <c r="D20" s="3440"/>
      <c r="E20" s="3440"/>
      <c r="F20" s="3440"/>
      <c r="G20" s="3440"/>
      <c r="H20" s="3440"/>
      <c r="I20" s="3440"/>
      <c r="J20" s="3440"/>
      <c r="K20" s="3440"/>
      <c r="L20" s="2727"/>
      <c r="M20" s="3433" t="s">
        <v>6</v>
      </c>
      <c r="N20" s="3434"/>
      <c r="O20" s="3435" t="s">
        <v>7</v>
      </c>
      <c r="P20" s="3434"/>
      <c r="R20" s="783"/>
    </row>
    <row r="21" spans="1:18" x14ac:dyDescent="0.2">
      <c r="A21" s="43">
        <v>3</v>
      </c>
      <c r="B21" s="144" t="s">
        <v>39</v>
      </c>
      <c r="C21" s="145"/>
      <c r="D21" s="145"/>
      <c r="E21" s="145"/>
      <c r="F21" s="145"/>
      <c r="G21" s="145"/>
      <c r="H21" s="3563"/>
      <c r="I21" s="3563"/>
      <c r="J21" s="3563"/>
      <c r="K21" s="3563"/>
      <c r="L21" s="3563"/>
      <c r="M21" s="3563"/>
      <c r="N21" s="3564"/>
      <c r="O21" s="3627">
        <f ca="1">I19/H19</f>
        <v>18</v>
      </c>
      <c r="P21" s="3628"/>
      <c r="R21" s="783"/>
    </row>
    <row r="22" spans="1:18" ht="15.75" thickBot="1" x14ac:dyDescent="0.25">
      <c r="A22" s="43">
        <v>4</v>
      </c>
      <c r="B22" s="3442" t="s">
        <v>40</v>
      </c>
      <c r="C22" s="3443"/>
      <c r="D22" s="3443"/>
      <c r="E22" s="3443"/>
      <c r="F22" s="3443"/>
      <c r="G22" s="3443"/>
      <c r="H22" s="3450" t="s">
        <v>41</v>
      </c>
      <c r="I22" s="3450"/>
      <c r="J22" s="3451"/>
      <c r="K22" s="3620">
        <f ca="1">KALKULATION!G570</f>
        <v>0</v>
      </c>
      <c r="L22" s="3621"/>
      <c r="M22" s="3444"/>
      <c r="N22" s="3445"/>
      <c r="O22" s="3622">
        <f ca="1">K22*O21</f>
        <v>0</v>
      </c>
      <c r="P22" s="3623"/>
      <c r="R22" s="783"/>
    </row>
    <row r="23" spans="1:18" x14ac:dyDescent="0.2">
      <c r="A23" s="43">
        <v>5</v>
      </c>
      <c r="B23" s="3459" t="s">
        <v>142</v>
      </c>
      <c r="C23" s="3460"/>
      <c r="D23" s="3460"/>
      <c r="E23" s="3460"/>
      <c r="F23" s="3460"/>
      <c r="G23" s="3460"/>
      <c r="H23" s="3531" t="s">
        <v>180</v>
      </c>
      <c r="I23" s="3453"/>
      <c r="J23" s="3453"/>
      <c r="K23" s="3453"/>
      <c r="L23" s="3453"/>
      <c r="M23" s="3453"/>
      <c r="N23" s="147"/>
      <c r="O23" s="3624">
        <f ca="1">SUM(O21:O22)</f>
        <v>18</v>
      </c>
      <c r="P23" s="3625"/>
      <c r="R23" s="783"/>
    </row>
    <row r="24" spans="1:18" x14ac:dyDescent="0.2">
      <c r="A24" s="43">
        <v>6</v>
      </c>
      <c r="B24" s="3375" t="s">
        <v>109</v>
      </c>
      <c r="C24" s="3375"/>
      <c r="D24" s="3375"/>
      <c r="E24" s="3375"/>
      <c r="F24" s="3375"/>
      <c r="G24" s="3375"/>
      <c r="H24" s="3455" t="s">
        <v>87</v>
      </c>
      <c r="I24" s="3455"/>
      <c r="J24" s="3456"/>
      <c r="K24" s="3495">
        <f ca="1">KALKULATION!H570</f>
        <v>0.14169999999999999</v>
      </c>
      <c r="L24" s="3496"/>
      <c r="M24" s="3457"/>
      <c r="N24" s="3458"/>
      <c r="O24" s="3547">
        <f ca="1">K24*O23</f>
        <v>2.5499999999999998</v>
      </c>
      <c r="P24" s="3548"/>
      <c r="R24" s="783"/>
    </row>
    <row r="25" spans="1:18" x14ac:dyDescent="0.2">
      <c r="A25" s="43">
        <v>7</v>
      </c>
      <c r="B25" s="3375" t="s">
        <v>136</v>
      </c>
      <c r="C25" s="3375"/>
      <c r="D25" s="3375"/>
      <c r="E25" s="3375"/>
      <c r="F25" s="3375"/>
      <c r="G25" s="3375"/>
      <c r="H25" s="3455" t="s">
        <v>87</v>
      </c>
      <c r="I25" s="3455"/>
      <c r="J25" s="3456"/>
      <c r="K25" s="3629">
        <f>KALKULATION!H578</f>
        <v>0</v>
      </c>
      <c r="L25" s="3630"/>
      <c r="M25" s="3457"/>
      <c r="N25" s="3458"/>
      <c r="O25" s="3547">
        <f ca="1">K25*O23</f>
        <v>0</v>
      </c>
      <c r="P25" s="3548"/>
      <c r="R25" s="783"/>
    </row>
    <row r="26" spans="1:18" x14ac:dyDescent="0.2">
      <c r="A26" s="43">
        <v>8</v>
      </c>
      <c r="B26" s="3375" t="s">
        <v>67</v>
      </c>
      <c r="C26" s="3375"/>
      <c r="D26" s="3375"/>
      <c r="E26" s="3375"/>
      <c r="F26" s="3375"/>
      <c r="G26" s="3375"/>
      <c r="H26" s="3455" t="s">
        <v>87</v>
      </c>
      <c r="I26" s="3455"/>
      <c r="J26" s="3456"/>
      <c r="K26" s="3629">
        <f>KALKULATION!H590</f>
        <v>0</v>
      </c>
      <c r="L26" s="3630"/>
      <c r="M26" s="3457"/>
      <c r="N26" s="3458"/>
      <c r="O26" s="3547">
        <f ca="1">K26*O23</f>
        <v>0</v>
      </c>
      <c r="P26" s="3548"/>
      <c r="R26" s="783"/>
    </row>
    <row r="27" spans="1:18" ht="15.75" thickBot="1" x14ac:dyDescent="0.25">
      <c r="A27" s="43">
        <v>9</v>
      </c>
      <c r="B27" s="3447" t="s">
        <v>103</v>
      </c>
      <c r="C27" s="3448"/>
      <c r="D27" s="3448"/>
      <c r="E27" s="3448"/>
      <c r="F27" s="3448"/>
      <c r="G27" s="3448"/>
      <c r="H27" s="3448"/>
      <c r="I27" s="3448"/>
      <c r="J27" s="3448"/>
      <c r="K27" s="3448"/>
      <c r="L27" s="3448"/>
      <c r="M27" s="3448"/>
      <c r="N27" s="3449"/>
      <c r="O27" s="3551">
        <f ca="1">KALKULATION!H594</f>
        <v>1.4</v>
      </c>
      <c r="P27" s="3552"/>
      <c r="R27" s="783"/>
    </row>
    <row r="28" spans="1:18" x14ac:dyDescent="0.2">
      <c r="A28" s="43">
        <v>10</v>
      </c>
      <c r="B28" s="3459" t="s">
        <v>42</v>
      </c>
      <c r="C28" s="3460"/>
      <c r="D28" s="3460"/>
      <c r="E28" s="3460"/>
      <c r="F28" s="3460"/>
      <c r="G28" s="3460"/>
      <c r="H28" s="3531" t="s">
        <v>183</v>
      </c>
      <c r="I28" s="3453"/>
      <c r="J28" s="3453"/>
      <c r="K28" s="3453"/>
      <c r="L28" s="3453"/>
      <c r="M28" s="3453"/>
      <c r="N28" s="146"/>
      <c r="O28" s="3624">
        <f ca="1">SUM(O23:P27)</f>
        <v>21.95</v>
      </c>
      <c r="P28" s="3625"/>
      <c r="R28" s="783"/>
    </row>
    <row r="29" spans="1:18" x14ac:dyDescent="0.2">
      <c r="A29" s="43">
        <v>11</v>
      </c>
      <c r="B29" s="2280" t="s">
        <v>104</v>
      </c>
      <c r="C29" s="2280"/>
      <c r="D29" s="2280"/>
      <c r="E29" s="2280"/>
      <c r="F29" s="2280"/>
      <c r="G29" s="2280"/>
      <c r="H29" s="2280"/>
      <c r="I29" s="2280"/>
      <c r="J29" s="2280"/>
      <c r="K29" s="2280"/>
      <c r="L29" s="2280"/>
      <c r="M29" s="2280"/>
      <c r="N29" s="2280"/>
      <c r="O29" s="3547">
        <f ca="1">KALKULATION!H595</f>
        <v>1.6</v>
      </c>
      <c r="P29" s="3548"/>
      <c r="R29" s="783"/>
    </row>
    <row r="30" spans="1:18" x14ac:dyDescent="0.2">
      <c r="A30" s="43">
        <v>12</v>
      </c>
      <c r="B30" s="3375" t="s">
        <v>43</v>
      </c>
      <c r="C30" s="3375"/>
      <c r="D30" s="3375"/>
      <c r="E30" s="3375"/>
      <c r="F30" s="3375"/>
      <c r="G30" s="3375"/>
      <c r="H30" s="3455" t="s">
        <v>44</v>
      </c>
      <c r="I30" s="3455"/>
      <c r="J30" s="3456"/>
      <c r="K30" s="3629">
        <f ca="1">KALKULATION!H596</f>
        <v>0.28999999999999998</v>
      </c>
      <c r="L30" s="3630"/>
      <c r="M30" s="3457"/>
      <c r="N30" s="3458"/>
      <c r="O30" s="3547">
        <f ca="1">K30*O28</f>
        <v>6.37</v>
      </c>
      <c r="P30" s="3548"/>
      <c r="R30" s="783"/>
    </row>
    <row r="31" spans="1:18" x14ac:dyDescent="0.2">
      <c r="A31" s="43">
        <v>13</v>
      </c>
      <c r="B31" s="3375" t="s">
        <v>45</v>
      </c>
      <c r="C31" s="3375"/>
      <c r="D31" s="3375"/>
      <c r="E31" s="3375"/>
      <c r="F31" s="3375"/>
      <c r="G31" s="3375"/>
      <c r="H31" s="3455" t="s">
        <v>44</v>
      </c>
      <c r="I31" s="3455"/>
      <c r="J31" s="3456"/>
      <c r="K31" s="3629">
        <f ca="1">KALKULATION!H597</f>
        <v>0.77</v>
      </c>
      <c r="L31" s="3630"/>
      <c r="M31" s="3457"/>
      <c r="N31" s="3458"/>
      <c r="O31" s="3547">
        <f ca="1">K31*O28</f>
        <v>16.899999999999999</v>
      </c>
      <c r="P31" s="3548"/>
      <c r="R31" s="783"/>
    </row>
    <row r="32" spans="1:18" ht="15.75" thickBot="1" x14ac:dyDescent="0.25">
      <c r="A32" s="43">
        <v>14</v>
      </c>
      <c r="B32" s="3473" t="s">
        <v>46</v>
      </c>
      <c r="C32" s="3474"/>
      <c r="D32" s="3474"/>
      <c r="E32" s="3474"/>
      <c r="F32" s="3474"/>
      <c r="G32" s="3474"/>
      <c r="H32" s="3475" t="s">
        <v>44</v>
      </c>
      <c r="I32" s="3475"/>
      <c r="J32" s="3476"/>
      <c r="K32" s="3620">
        <f ca="1">O32/O28</f>
        <v>3.2000000000000002E-3</v>
      </c>
      <c r="L32" s="3621"/>
      <c r="M32" s="3497"/>
      <c r="N32" s="3498"/>
      <c r="O32" s="3551">
        <f ca="1">KALKULATION!H598</f>
        <v>7.0000000000000007E-2</v>
      </c>
      <c r="P32" s="3552"/>
      <c r="R32" s="783"/>
    </row>
    <row r="33" spans="1:18" x14ac:dyDescent="0.2">
      <c r="A33" s="43">
        <v>15</v>
      </c>
      <c r="B33" s="3459" t="s">
        <v>47</v>
      </c>
      <c r="C33" s="3460"/>
      <c r="D33" s="3460"/>
      <c r="E33" s="3460"/>
      <c r="F33" s="3460"/>
      <c r="G33" s="3460"/>
      <c r="H33" s="3531" t="s">
        <v>184</v>
      </c>
      <c r="I33" s="3453"/>
      <c r="J33" s="3453"/>
      <c r="K33" s="3453"/>
      <c r="L33" s="3453"/>
      <c r="M33" s="3453"/>
      <c r="N33" s="3453"/>
      <c r="O33" s="3624">
        <f ca="1">SUM(O28:P32)</f>
        <v>46.89</v>
      </c>
      <c r="P33" s="3625"/>
      <c r="R33" s="783"/>
    </row>
    <row r="34" spans="1:18" x14ac:dyDescent="0.2">
      <c r="A34" s="43">
        <v>16</v>
      </c>
      <c r="B34" s="3500" t="s">
        <v>48</v>
      </c>
      <c r="C34" s="3500"/>
      <c r="D34" s="3500"/>
      <c r="E34" s="3500"/>
      <c r="F34" s="3500"/>
      <c r="G34" s="3500"/>
      <c r="H34" s="3481" t="str">
        <f>IF(_Anzeige_Prozent=_Nein,"in % auf B15","in % auf B15 + in € = ∑")</f>
        <v>in % auf B15 + in € = ∑</v>
      </c>
      <c r="I34" s="3481"/>
      <c r="J34" s="3482"/>
      <c r="K34" s="3640">
        <f>IF(_Anzeige_Prozent=_Nein,KALKULATION!G599+KALKULATION!H599/O33,KALKULATION!G599)</f>
        <v>0.06</v>
      </c>
      <c r="L34" s="3641"/>
      <c r="M34" s="3631">
        <f ca="1">IF(_Anzeige_Prozent=_Nein,"",KALKULATION!H599)</f>
        <v>2.2599999999999998</v>
      </c>
      <c r="N34" s="3632"/>
      <c r="O34" s="3631">
        <f ca="1">SUM(KALKULATION!H599,KALKULATION!G599*O33)</f>
        <v>5.07</v>
      </c>
      <c r="P34" s="3632"/>
      <c r="R34" s="783"/>
    </row>
    <row r="35" spans="1:18" ht="24.4" customHeight="1" x14ac:dyDescent="0.2">
      <c r="A35" s="43">
        <v>17</v>
      </c>
      <c r="B35" s="3523" t="s">
        <v>89</v>
      </c>
      <c r="C35" s="3379"/>
      <c r="D35" s="3379"/>
      <c r="E35" s="3379"/>
      <c r="F35" s="3379"/>
      <c r="G35" s="3379"/>
      <c r="H35" s="3379"/>
      <c r="I35" s="3379"/>
      <c r="J35" s="3524"/>
      <c r="K35" s="3483" t="str">
        <f>IF(SUM(K36:L38)&lt;&gt;0,"Umlage in % (U%) auf B15","")</f>
        <v/>
      </c>
      <c r="L35" s="3484"/>
      <c r="M35" s="3483" t="str">
        <f>IF(SUM(K36:L38)&lt;&gt;0,"Umlage in €/Std (inkl % in €)","Umlage in €/Std)")</f>
        <v>Umlage in €/Std)</v>
      </c>
      <c r="N35" s="3484"/>
      <c r="O35" s="3539"/>
      <c r="P35" s="3540"/>
      <c r="R35" s="783"/>
    </row>
    <row r="36" spans="1:18" x14ac:dyDescent="0.2">
      <c r="A36" s="79" t="s">
        <v>49</v>
      </c>
      <c r="B36" s="3392" t="str">
        <f>IF(SUM(K36:N36)=0,"",KALKULATION!A602)</f>
        <v/>
      </c>
      <c r="C36" s="3393"/>
      <c r="D36" s="3393"/>
      <c r="E36" s="3393"/>
      <c r="F36" s="3393"/>
      <c r="G36" s="3393"/>
      <c r="H36" s="3393"/>
      <c r="I36" s="3393"/>
      <c r="J36" s="3446"/>
      <c r="K36" s="3537" t="str">
        <f>IF(KALKULATION!A602="","",IF(_Anzeige_Prozent=_Nein,"",KALKULATION!G602))</f>
        <v/>
      </c>
      <c r="L36" s="3537"/>
      <c r="M36" s="3532" t="str">
        <f>IF(KALKULATION!A602="","",SUM(KALKULATION!F602,KALKULATION!H602))</f>
        <v/>
      </c>
      <c r="N36" s="3533"/>
      <c r="O36" s="3541"/>
      <c r="P36" s="3542"/>
      <c r="R36" s="783"/>
    </row>
    <row r="37" spans="1:18" x14ac:dyDescent="0.2">
      <c r="A37" s="79" t="s">
        <v>50</v>
      </c>
      <c r="B37" s="3380" t="str">
        <f>IF(SUM(K37:N37)=0,"",KALKULATION!A603)</f>
        <v/>
      </c>
      <c r="C37" s="3381"/>
      <c r="D37" s="3381"/>
      <c r="E37" s="3381"/>
      <c r="F37" s="3381"/>
      <c r="G37" s="3381"/>
      <c r="H37" s="3381"/>
      <c r="I37" s="3381"/>
      <c r="J37" s="3384"/>
      <c r="K37" s="3545" t="str">
        <f>IF(KALKULATION!A603="","",IF(_Anzeige_Prozent=_Nein,"",KALKULATION!G603))</f>
        <v/>
      </c>
      <c r="L37" s="3545"/>
      <c r="M37" s="3547" t="str">
        <f>IF(KALKULATION!A603="","",SUM(KALKULATION!F603,KALKULATION!H603))</f>
        <v/>
      </c>
      <c r="N37" s="3548"/>
      <c r="O37" s="3541"/>
      <c r="P37" s="3542"/>
      <c r="R37" s="783"/>
    </row>
    <row r="38" spans="1:18" ht="15.75" thickBot="1" x14ac:dyDescent="0.25">
      <c r="A38" s="79" t="s">
        <v>51</v>
      </c>
      <c r="B38" s="3386" t="str">
        <f>IF(SUM(K38:N38)=0,"",KALKULATION!A604)</f>
        <v/>
      </c>
      <c r="C38" s="3387"/>
      <c r="D38" s="3387"/>
      <c r="E38" s="3387"/>
      <c r="F38" s="3387"/>
      <c r="G38" s="3387"/>
      <c r="H38" s="3387"/>
      <c r="I38" s="3387"/>
      <c r="J38" s="3388"/>
      <c r="K38" s="3549" t="str">
        <f>IF(KALKULATION!A604="","",IF(_Anzeige_Prozent=_Nein,"",KALKULATION!G604))</f>
        <v/>
      </c>
      <c r="L38" s="3549"/>
      <c r="M38" s="3551" t="str">
        <f>IF(KALKULATION!A604="","",SUM(KALKULATION!F604,KALKULATION!H604))</f>
        <v/>
      </c>
      <c r="N38" s="3552"/>
      <c r="O38" s="3543"/>
      <c r="P38" s="3544"/>
      <c r="R38" s="783"/>
    </row>
    <row r="39" spans="1:18" x14ac:dyDescent="0.2">
      <c r="A39" s="43">
        <v>18</v>
      </c>
      <c r="B39" s="1152" t="s">
        <v>896</v>
      </c>
      <c r="C39" s="1153"/>
      <c r="D39" s="1153"/>
      <c r="E39" s="1153"/>
      <c r="F39" s="1154"/>
      <c r="G39" s="1154"/>
      <c r="H39" s="1155"/>
      <c r="I39" s="1156"/>
      <c r="J39" s="1156"/>
      <c r="K39" s="1156"/>
      <c r="L39" s="1157"/>
      <c r="M39" s="3534" t="str">
        <f>IF(SUM(M36:N38)&gt;0,SUM(M36:N38),"")</f>
        <v/>
      </c>
      <c r="N39" s="3535"/>
      <c r="O39" s="3536">
        <f ca="1">SUM(O33:P34)</f>
        <v>51.96</v>
      </c>
      <c r="P39" s="3535"/>
      <c r="R39" s="783"/>
    </row>
    <row r="40" spans="1:18" ht="27.95" customHeight="1" x14ac:dyDescent="0.2">
      <c r="A40" s="43">
        <v>19</v>
      </c>
      <c r="B40" s="3461" t="str">
        <f>KALKULATION!M302</f>
        <v>Personalkosten gesamt (Regie)</v>
      </c>
      <c r="C40" s="3462"/>
      <c r="D40" s="3462"/>
      <c r="E40" s="3462"/>
      <c r="F40" s="3462"/>
      <c r="G40" s="3462"/>
      <c r="H40" s="3462"/>
      <c r="I40" s="3462"/>
      <c r="J40" s="3463"/>
      <c r="K40" s="3472" t="s">
        <v>185</v>
      </c>
      <c r="L40" s="3044"/>
      <c r="M40" s="1164"/>
      <c r="N40" s="3559">
        <f ca="1">SUM(M39:P39)</f>
        <v>51.96</v>
      </c>
      <c r="O40" s="3559"/>
      <c r="P40" s="376"/>
      <c r="R40" s="783"/>
    </row>
    <row r="41" spans="1:18" hidden="1" x14ac:dyDescent="0.2">
      <c r="A41" s="43"/>
      <c r="B41" s="102" t="s">
        <v>55</v>
      </c>
      <c r="C41" s="4"/>
      <c r="D41" s="4"/>
      <c r="E41" s="4"/>
      <c r="F41" s="4"/>
      <c r="G41" s="4"/>
      <c r="H41" s="5"/>
      <c r="I41" s="1"/>
      <c r="K41" s="3"/>
      <c r="L41" s="3"/>
      <c r="M41" s="25"/>
      <c r="N41" s="26"/>
      <c r="O41" s="26"/>
      <c r="P41" s="27"/>
      <c r="R41" s="783"/>
    </row>
    <row r="42" spans="1:18" x14ac:dyDescent="0.2">
      <c r="A42" s="43"/>
      <c r="B42" s="3477" t="s">
        <v>54</v>
      </c>
      <c r="C42" s="3417"/>
      <c r="D42" s="3417"/>
      <c r="E42" s="3417"/>
      <c r="F42" s="3417"/>
      <c r="G42" s="3417"/>
      <c r="H42" s="3478"/>
      <c r="I42" s="3514" t="s">
        <v>52</v>
      </c>
      <c r="J42" s="3515"/>
      <c r="K42" s="3514" t="s">
        <v>53</v>
      </c>
      <c r="L42" s="3515"/>
      <c r="M42" s="3560"/>
      <c r="N42" s="3561"/>
      <c r="O42" s="3561"/>
      <c r="P42" s="3562"/>
      <c r="R42" s="783"/>
    </row>
    <row r="43" spans="1:18" ht="15.75" thickBot="1" x14ac:dyDescent="0.25">
      <c r="A43" s="43">
        <v>20</v>
      </c>
      <c r="B43" s="3473"/>
      <c r="C43" s="3474"/>
      <c r="D43" s="3474"/>
      <c r="E43" s="3474"/>
      <c r="F43" s="3474"/>
      <c r="G43" s="3474"/>
      <c r="H43" s="3479"/>
      <c r="I43" s="3636" t="str">
        <f>IF(M39="","",KALKULATION!H606)</f>
        <v/>
      </c>
      <c r="J43" s="3637"/>
      <c r="K43" s="3636">
        <f>KALKULATION!H609</f>
        <v>0.28999999999999998</v>
      </c>
      <c r="L43" s="3637"/>
      <c r="M43" s="3638" t="str">
        <f>IFERROR(I43*M39,"")</f>
        <v/>
      </c>
      <c r="N43" s="3639"/>
      <c r="O43" s="3638">
        <f ca="1">K43*O39</f>
        <v>15.07</v>
      </c>
      <c r="P43" s="3639"/>
      <c r="R43" s="783"/>
    </row>
    <row r="44" spans="1:18" x14ac:dyDescent="0.2">
      <c r="A44" s="43">
        <v>21</v>
      </c>
      <c r="B44" s="1152" t="s">
        <v>897</v>
      </c>
      <c r="C44" s="1158"/>
      <c r="D44" s="1158"/>
      <c r="E44" s="1158"/>
      <c r="F44" s="1158"/>
      <c r="G44" s="1158"/>
      <c r="H44" s="1158"/>
      <c r="I44" s="1156"/>
      <c r="J44" s="1156"/>
      <c r="K44" s="1156"/>
      <c r="L44" s="1157"/>
      <c r="M44" s="3534" t="str">
        <f>IFERROR(IF(M39="","",SUM(M39,M43)),"")</f>
        <v/>
      </c>
      <c r="N44" s="3535"/>
      <c r="O44" s="3534">
        <f ca="1">SUM(O39:P43)</f>
        <v>67.03</v>
      </c>
      <c r="P44" s="3535"/>
      <c r="R44" s="783"/>
    </row>
    <row r="45" spans="1:18" ht="27.95" customHeight="1" x14ac:dyDescent="0.2">
      <c r="A45" s="44">
        <v>22</v>
      </c>
      <c r="B45" s="3556" t="str">
        <f ca="1">KALKULATION!C611</f>
        <v>Regielohnpreis gesamt für [IV.   Bauhilfsarbeiter]</v>
      </c>
      <c r="C45" s="3557"/>
      <c r="D45" s="3557"/>
      <c r="E45" s="3557"/>
      <c r="F45" s="3557"/>
      <c r="G45" s="3557"/>
      <c r="H45" s="3557"/>
      <c r="I45" s="3557"/>
      <c r="J45" s="3558"/>
      <c r="K45" s="3472" t="s">
        <v>186</v>
      </c>
      <c r="L45" s="3044"/>
      <c r="M45" s="1164"/>
      <c r="N45" s="3559">
        <f ca="1">IFERROR(SUM(M44:P44),"??")</f>
        <v>67.03</v>
      </c>
      <c r="O45" s="3559"/>
      <c r="P45" s="376"/>
      <c r="R45" s="783"/>
    </row>
    <row r="46" spans="1:18" hidden="1" x14ac:dyDescent="0.2">
      <c r="A46" s="101"/>
      <c r="B46" s="102" t="s">
        <v>55</v>
      </c>
      <c r="C46" s="1"/>
      <c r="D46" s="1"/>
      <c r="E46" s="1"/>
      <c r="F46" s="1"/>
      <c r="G46" s="1"/>
      <c r="H46" s="1"/>
      <c r="I46" s="2"/>
      <c r="J46" s="23"/>
      <c r="K46" s="23"/>
      <c r="M46" s="22"/>
      <c r="N46" s="22"/>
      <c r="O46" s="21"/>
      <c r="R46" s="783"/>
    </row>
    <row r="47" spans="1:18" ht="55.9" customHeight="1" x14ac:dyDescent="0.2">
      <c r="A47" s="3485" t="str">
        <f>"Lizenziert für:
"&amp;'Lizenz u lies mich'!B32</f>
        <v>Lizenziert für:
Vers V4.0</v>
      </c>
      <c r="B47" s="3486"/>
      <c r="C47" s="3486"/>
      <c r="D47" s="3503" t="str">
        <f ca="1">' K3 PP'!D47</f>
        <v>Keine gültige Lizenz! Nur als Testversion nutzbar!</v>
      </c>
      <c r="E47" s="3503"/>
      <c r="F47" s="3503"/>
      <c r="G47" s="3503"/>
      <c r="H47" s="3504"/>
      <c r="I47" s="3502"/>
      <c r="J47" s="3502"/>
      <c r="K47" s="3502"/>
      <c r="L47" s="3502"/>
      <c r="M47" s="3502"/>
      <c r="N47" s="3501" t="s">
        <v>260</v>
      </c>
      <c r="O47" s="3412"/>
      <c r="P47" s="3413"/>
      <c r="R47" s="783"/>
    </row>
    <row r="48" spans="1:18" ht="10.15" customHeight="1" x14ac:dyDescent="0.2">
      <c r="A48" s="597"/>
      <c r="B48" s="597"/>
      <c r="C48" s="597"/>
      <c r="D48" s="597"/>
      <c r="E48" s="597"/>
      <c r="F48" s="597"/>
      <c r="G48" s="597"/>
      <c r="H48" s="597"/>
      <c r="I48" s="597"/>
      <c r="J48" s="597"/>
      <c r="K48" s="597"/>
      <c r="L48" s="597"/>
      <c r="M48" s="597"/>
      <c r="N48" s="597"/>
      <c r="O48" s="597"/>
      <c r="P48" s="597"/>
    </row>
  </sheetData>
  <sheetProtection password="B984" sheet="1" formatColumns="0" selectLockedCells="1"/>
  <mergeCells count="156">
    <mergeCell ref="A47:C47"/>
    <mergeCell ref="O43:P43"/>
    <mergeCell ref="M44:N44"/>
    <mergeCell ref="O44:P44"/>
    <mergeCell ref="K45:L45"/>
    <mergeCell ref="N45:O45"/>
    <mergeCell ref="N47:P47"/>
    <mergeCell ref="I47:M47"/>
    <mergeCell ref="D47:H47"/>
    <mergeCell ref="B45:J45"/>
    <mergeCell ref="B40:J40"/>
    <mergeCell ref="K40:L40"/>
    <mergeCell ref="N40:O40"/>
    <mergeCell ref="B42:H43"/>
    <mergeCell ref="I42:J42"/>
    <mergeCell ref="K42:L42"/>
    <mergeCell ref="M42:P42"/>
    <mergeCell ref="I43:J43"/>
    <mergeCell ref="K43:L43"/>
    <mergeCell ref="M43:N43"/>
    <mergeCell ref="B38:J38"/>
    <mergeCell ref="K38:L38"/>
    <mergeCell ref="M38:N38"/>
    <mergeCell ref="M39:N39"/>
    <mergeCell ref="O39:P39"/>
    <mergeCell ref="B35:J35"/>
    <mergeCell ref="K35:L35"/>
    <mergeCell ref="M35:N35"/>
    <mergeCell ref="O35:P38"/>
    <mergeCell ref="B36:J36"/>
    <mergeCell ref="K36:L36"/>
    <mergeCell ref="M36:N36"/>
    <mergeCell ref="B37:J37"/>
    <mergeCell ref="K37:L37"/>
    <mergeCell ref="M37:N37"/>
    <mergeCell ref="B33:G33"/>
    <mergeCell ref="H33:N33"/>
    <mergeCell ref="O33:P33"/>
    <mergeCell ref="B34:G34"/>
    <mergeCell ref="H34:J34"/>
    <mergeCell ref="K34:L34"/>
    <mergeCell ref="M34:N34"/>
    <mergeCell ref="O34:P34"/>
    <mergeCell ref="B31:G31"/>
    <mergeCell ref="H31:J31"/>
    <mergeCell ref="K31:L31"/>
    <mergeCell ref="M31:N31"/>
    <mergeCell ref="O31:P31"/>
    <mergeCell ref="B32:G32"/>
    <mergeCell ref="H32:J32"/>
    <mergeCell ref="K32:L32"/>
    <mergeCell ref="M32:N32"/>
    <mergeCell ref="O32:P32"/>
    <mergeCell ref="B28:G28"/>
    <mergeCell ref="H28:M28"/>
    <mergeCell ref="O28:P28"/>
    <mergeCell ref="B29:N29"/>
    <mergeCell ref="O29:P29"/>
    <mergeCell ref="B30:G30"/>
    <mergeCell ref="H30:J30"/>
    <mergeCell ref="K30:L30"/>
    <mergeCell ref="M30:N30"/>
    <mergeCell ref="O30:P30"/>
    <mergeCell ref="B26:G26"/>
    <mergeCell ref="H26:J26"/>
    <mergeCell ref="K26:L26"/>
    <mergeCell ref="M26:N26"/>
    <mergeCell ref="O26:P26"/>
    <mergeCell ref="B27:N27"/>
    <mergeCell ref="O27:P27"/>
    <mergeCell ref="B24:G24"/>
    <mergeCell ref="H24:J24"/>
    <mergeCell ref="K24:L24"/>
    <mergeCell ref="M24:N24"/>
    <mergeCell ref="O24:P24"/>
    <mergeCell ref="B25:G25"/>
    <mergeCell ref="H25:J25"/>
    <mergeCell ref="K25:L25"/>
    <mergeCell ref="M25:N25"/>
    <mergeCell ref="O25:P25"/>
    <mergeCell ref="B22:G22"/>
    <mergeCell ref="H22:J22"/>
    <mergeCell ref="K22:L22"/>
    <mergeCell ref="M22:N22"/>
    <mergeCell ref="O22:P22"/>
    <mergeCell ref="B23:G23"/>
    <mergeCell ref="H23:M23"/>
    <mergeCell ref="O23:P23"/>
    <mergeCell ref="I19:J19"/>
    <mergeCell ref="K19:O19"/>
    <mergeCell ref="B20:L20"/>
    <mergeCell ref="M20:N20"/>
    <mergeCell ref="O20:P20"/>
    <mergeCell ref="H21:N21"/>
    <mergeCell ref="O21:P21"/>
    <mergeCell ref="B18:E18"/>
    <mergeCell ref="F18:G18"/>
    <mergeCell ref="I18:J18"/>
    <mergeCell ref="K18:N18"/>
    <mergeCell ref="B15:E15"/>
    <mergeCell ref="F15:G15"/>
    <mergeCell ref="I15:J15"/>
    <mergeCell ref="K15:N15"/>
    <mergeCell ref="B16:E16"/>
    <mergeCell ref="F16:G16"/>
    <mergeCell ref="I16:J16"/>
    <mergeCell ref="K16:N16"/>
    <mergeCell ref="K11:N11"/>
    <mergeCell ref="B12:E12"/>
    <mergeCell ref="F12:G12"/>
    <mergeCell ref="I12:J12"/>
    <mergeCell ref="K12:N14"/>
    <mergeCell ref="B17:E17"/>
    <mergeCell ref="F17:G17"/>
    <mergeCell ref="I17:J17"/>
    <mergeCell ref="K17:N17"/>
    <mergeCell ref="B13:E13"/>
    <mergeCell ref="F13:G13"/>
    <mergeCell ref="I13:J13"/>
    <mergeCell ref="B14:E14"/>
    <mergeCell ref="F14:G14"/>
    <mergeCell ref="I14:J14"/>
    <mergeCell ref="B11:E11"/>
    <mergeCell ref="F11:G11"/>
    <mergeCell ref="I11:J11"/>
    <mergeCell ref="B1:E1"/>
    <mergeCell ref="G1:P1"/>
    <mergeCell ref="B9:E9"/>
    <mergeCell ref="F9:G9"/>
    <mergeCell ref="I9:J9"/>
    <mergeCell ref="K9:O9"/>
    <mergeCell ref="B10:E10"/>
    <mergeCell ref="F10:G10"/>
    <mergeCell ref="I10:J10"/>
    <mergeCell ref="K10:N10"/>
    <mergeCell ref="B7:E7"/>
    <mergeCell ref="K7:P7"/>
    <mergeCell ref="B8:L8"/>
    <mergeCell ref="M8:N8"/>
    <mergeCell ref="O8:P8"/>
    <mergeCell ref="B6:E6"/>
    <mergeCell ref="F5:J5"/>
    <mergeCell ref="B5:E5"/>
    <mergeCell ref="F7:J7"/>
    <mergeCell ref="F6:J6"/>
    <mergeCell ref="A2:A8"/>
    <mergeCell ref="B2:E3"/>
    <mergeCell ref="F2:J3"/>
    <mergeCell ref="K2:P2"/>
    <mergeCell ref="K3:P3"/>
    <mergeCell ref="C4:E4"/>
    <mergeCell ref="G4:J4"/>
    <mergeCell ref="K4:P4"/>
    <mergeCell ref="K5:P5"/>
    <mergeCell ref="K6:L6"/>
    <mergeCell ref="M6:P6"/>
  </mergeCells>
  <conditionalFormatting sqref="B5">
    <cfRule type="expression" dxfId="59" priority="11">
      <formula>$E$5="X"</formula>
    </cfRule>
  </conditionalFormatting>
  <conditionalFormatting sqref="B6">
    <cfRule type="expression" dxfId="58" priority="10">
      <formula>$E$6="X"</formula>
    </cfRule>
  </conditionalFormatting>
  <conditionalFormatting sqref="B36:J38">
    <cfRule type="expression" dxfId="57" priority="8">
      <formula>$B36=0</formula>
    </cfRule>
  </conditionalFormatting>
  <conditionalFormatting sqref="F5">
    <cfRule type="expression" dxfId="56" priority="13">
      <formula>$J$5="X"</formula>
    </cfRule>
  </conditionalFormatting>
  <conditionalFormatting sqref="F6">
    <cfRule type="expression" dxfId="55" priority="12">
      <formula>$J$6="X"</formula>
    </cfRule>
  </conditionalFormatting>
  <conditionalFormatting sqref="I19:J19 O21:P21 D47:H47">
    <cfRule type="expression" dxfId="53" priority="6">
      <formula>_OK?&lt;&gt;"OK!"</formula>
    </cfRule>
  </conditionalFormatting>
  <conditionalFormatting sqref="K12 O12:P13">
    <cfRule type="uniqueValues" dxfId="52" priority="1"/>
  </conditionalFormatting>
  <conditionalFormatting sqref="N40:O40 N45:O45 K3:P5">
    <cfRule type="expression" dxfId="49" priority="9">
      <formula>OR(_OK?&lt;&gt;"OK!",_OK_KV?&lt;&gt;"OK_KV!")</formula>
    </cfRule>
  </conditionalFormatting>
  <conditionalFormatting sqref="N40:O40 N45:O45">
    <cfRule type="expression" dxfId="48" priority="5">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4" id="{9C3AE7C3-49BA-4ECF-AD3F-730C845C99E7}">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3" id="{2EF5AA9D-97F4-4312-8F86-A94C40ACD3E3}">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2" id="{6B7101EA-6330-480F-8C8C-513A41220C67}">
            <xm:f>KALKULATION!$F$351="Nein"</xm:f>
            <x14:dxf>
              <font>
                <color theme="0"/>
              </font>
              <border>
                <left style="thin">
                  <color theme="0"/>
                </left>
                <vertical/>
                <horizontal/>
              </border>
            </x14:dxf>
          </x14:cfRule>
          <xm:sqref>K35:L38</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13D19-CC65-4183-A196-046741A7843C}">
  <sheetPr codeName="Tabelle13">
    <tabColor theme="0" tint="-0.499984740745262"/>
  </sheetPr>
  <dimension ref="A1:R48"/>
  <sheetViews>
    <sheetView showGridLines="0" topLeftCell="A28" zoomScaleNormal="100" workbookViewId="0">
      <selection activeCell="I47" sqref="I47:M47"/>
    </sheetView>
  </sheetViews>
  <sheetFormatPr baseColWidth="10" defaultRowHeight="15" x14ac:dyDescent="0.2"/>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5546875" customWidth="1"/>
  </cols>
  <sheetData>
    <row r="1" spans="1:18" ht="18.75" x14ac:dyDescent="0.3">
      <c r="A1" s="31" t="s">
        <v>21</v>
      </c>
      <c r="B1" s="3509" t="s">
        <v>22</v>
      </c>
      <c r="C1" s="3509"/>
      <c r="D1" s="3509"/>
      <c r="E1" s="3510"/>
      <c r="F1" s="424" t="s">
        <v>187</v>
      </c>
      <c r="G1" s="3605" t="str">
        <f>' K3 PP'!G1:P1</f>
        <v xml:space="preserve">Musterprojekt Baugewerbe </v>
      </c>
      <c r="H1" s="3605"/>
      <c r="I1" s="3605"/>
      <c r="J1" s="3605"/>
      <c r="K1" s="3605"/>
      <c r="L1" s="3605"/>
      <c r="M1" s="3605"/>
      <c r="N1" s="3605"/>
      <c r="O1" s="3605"/>
      <c r="P1" s="3606"/>
      <c r="R1" s="784"/>
    </row>
    <row r="2" spans="1:18" x14ac:dyDescent="0.2">
      <c r="A2" s="3600"/>
      <c r="B2" s="3402" t="s">
        <v>57</v>
      </c>
      <c r="C2" s="3403"/>
      <c r="D2" s="3403"/>
      <c r="E2" s="3403"/>
      <c r="F2" s="3601" t="str">
        <f>IF(KALKULATION!D622="","Regiepersonalpreis",KALKULATION!D622)</f>
        <v>FA in Ü-Stunde</v>
      </c>
      <c r="G2" s="3601"/>
      <c r="H2" s="3601"/>
      <c r="I2" s="3601"/>
      <c r="J2" s="3602"/>
      <c r="K2" s="3374" t="s">
        <v>24</v>
      </c>
      <c r="L2" s="3375"/>
      <c r="M2" s="3375"/>
      <c r="N2" s="3375"/>
      <c r="O2" s="3375"/>
      <c r="P2" s="3389"/>
      <c r="R2" s="784"/>
    </row>
    <row r="3" spans="1:18" x14ac:dyDescent="0.2">
      <c r="A3" s="3600"/>
      <c r="B3" s="3264"/>
      <c r="C3" s="3265"/>
      <c r="D3" s="3265"/>
      <c r="E3" s="3265"/>
      <c r="F3" s="3603"/>
      <c r="G3" s="3603"/>
      <c r="H3" s="3603"/>
      <c r="I3" s="3603"/>
      <c r="J3" s="3604"/>
      <c r="K3" s="3380" t="str">
        <f ca="1">' K3 PP'!K3</f>
        <v>Nur als Testversion nutzbar!</v>
      </c>
      <c r="L3" s="3381"/>
      <c r="M3" s="3381"/>
      <c r="N3" s="3381"/>
      <c r="O3" s="3381"/>
      <c r="P3" s="3384"/>
      <c r="R3" s="784"/>
    </row>
    <row r="4" spans="1:18" x14ac:dyDescent="0.2">
      <c r="A4" s="3600"/>
      <c r="B4" s="77" t="s">
        <v>155</v>
      </c>
      <c r="C4" s="3610" t="str">
        <f>' K3 PP'!C4:E4</f>
        <v>Meine GZ</v>
      </c>
      <c r="D4" s="3610"/>
      <c r="E4" s="3611"/>
      <c r="F4" s="77" t="s">
        <v>156</v>
      </c>
      <c r="G4" s="3612" t="str">
        <f>' K3 PP'!G4:J4</f>
        <v>Seine GZ</v>
      </c>
      <c r="H4" s="3612"/>
      <c r="I4" s="3612"/>
      <c r="J4" s="3613"/>
      <c r="K4" s="3414" t="str">
        <f ca="1">' K3 PP'!K4:P4</f>
        <v>Nur als Testversion nutzbar!</v>
      </c>
      <c r="L4" s="3415"/>
      <c r="M4" s="3415"/>
      <c r="N4" s="3415"/>
      <c r="O4" s="3415"/>
      <c r="P4" s="3416"/>
      <c r="R4" s="784"/>
    </row>
    <row r="5" spans="1:18" x14ac:dyDescent="0.2">
      <c r="A5" s="3600"/>
      <c r="B5" s="3523" t="s">
        <v>621</v>
      </c>
      <c r="C5" s="3379"/>
      <c r="D5" s="3379"/>
      <c r="E5" s="3524"/>
      <c r="F5" s="3477" t="s">
        <v>622</v>
      </c>
      <c r="G5" s="3417"/>
      <c r="H5" s="3417"/>
      <c r="I5" s="3417"/>
      <c r="J5" s="3478"/>
      <c r="K5" s="3414" t="str">
        <f ca="1">' K3 PP'!K5</f>
        <v>Nur als Testversion nutzbar!</v>
      </c>
      <c r="L5" s="3415"/>
      <c r="M5" s="3415"/>
      <c r="N5" s="3415"/>
      <c r="O5" s="3415"/>
      <c r="P5" s="3416"/>
      <c r="R5" s="784"/>
    </row>
    <row r="6" spans="1:18" x14ac:dyDescent="0.2">
      <c r="A6" s="3600"/>
      <c r="B6" s="3525" t="str">
        <f>KALKULATION!C28</f>
        <v>Lohn</v>
      </c>
      <c r="C6" s="3526"/>
      <c r="D6" s="3526"/>
      <c r="E6" s="3527"/>
      <c r="F6" s="3594" t="str">
        <f>KALKULATION!C29</f>
        <v>Montage</v>
      </c>
      <c r="G6" s="3595"/>
      <c r="H6" s="3595"/>
      <c r="I6" s="3595"/>
      <c r="J6" s="3596"/>
      <c r="K6" s="3417" t="s">
        <v>1</v>
      </c>
      <c r="L6" s="3417"/>
      <c r="M6" s="3589">
        <f>' K3 PP'!M6</f>
        <v>46143</v>
      </c>
      <c r="N6" s="3589"/>
      <c r="O6" s="3589"/>
      <c r="P6" s="3590"/>
      <c r="R6" s="784"/>
    </row>
    <row r="7" spans="1:18" x14ac:dyDescent="0.2">
      <c r="A7" s="3600"/>
      <c r="B7" s="2726" t="s">
        <v>126</v>
      </c>
      <c r="C7" s="3440"/>
      <c r="D7" s="3440"/>
      <c r="E7" s="3440"/>
      <c r="F7" s="3597" t="s">
        <v>25</v>
      </c>
      <c r="G7" s="3598"/>
      <c r="H7" s="3598"/>
      <c r="I7" s="3598"/>
      <c r="J7" s="3599"/>
      <c r="K7" s="3412" t="s">
        <v>140</v>
      </c>
      <c r="L7" s="3412"/>
      <c r="M7" s="3412"/>
      <c r="N7" s="3412"/>
      <c r="O7" s="3412"/>
      <c r="P7" s="3413"/>
      <c r="R7" s="784"/>
    </row>
    <row r="8" spans="1:18" ht="15.75" thickBot="1" x14ac:dyDescent="0.25">
      <c r="A8" s="3600"/>
      <c r="B8" s="3591" t="str">
        <f ca="1">Stammdaten!B3</f>
        <v>KollV f Bauindustrie und Baugewerbe (Arbeiter)</v>
      </c>
      <c r="C8" s="3592"/>
      <c r="D8" s="3592"/>
      <c r="E8" s="3592"/>
      <c r="F8" s="3592"/>
      <c r="G8" s="3592"/>
      <c r="H8" s="3592"/>
      <c r="I8" s="3592"/>
      <c r="J8" s="3592"/>
      <c r="K8" s="3592"/>
      <c r="L8" s="3593"/>
      <c r="M8" s="3390" t="s">
        <v>26</v>
      </c>
      <c r="N8" s="3391"/>
      <c r="O8" s="3587">
        <f ca="1">Stammdaten!B4</f>
        <v>46143</v>
      </c>
      <c r="P8" s="3588"/>
      <c r="R8" s="784"/>
    </row>
    <row r="9" spans="1:18" x14ac:dyDescent="0.2">
      <c r="A9" s="79">
        <v>1</v>
      </c>
      <c r="B9" s="3421" t="s">
        <v>106</v>
      </c>
      <c r="C9" s="3422"/>
      <c r="D9" s="3422"/>
      <c r="E9" s="3423"/>
      <c r="F9" s="3398" t="s">
        <v>107</v>
      </c>
      <c r="G9" s="3399"/>
      <c r="H9" s="78" t="s">
        <v>27</v>
      </c>
      <c r="I9" s="3511" t="s">
        <v>28</v>
      </c>
      <c r="J9" s="3512"/>
      <c r="K9" s="3422" t="s">
        <v>108</v>
      </c>
      <c r="L9" s="3422"/>
      <c r="M9" s="3422"/>
      <c r="N9" s="3422"/>
      <c r="O9" s="3422"/>
      <c r="P9" s="28">
        <f ca="1">KALKULATION!C87</f>
        <v>39</v>
      </c>
      <c r="R9" s="784"/>
    </row>
    <row r="10" spans="1:18" x14ac:dyDescent="0.2">
      <c r="A10" s="43" t="s">
        <v>29</v>
      </c>
      <c r="B10" s="3607" t="str">
        <f>KALKULATION!A625</f>
        <v>IIb.   Facharbeiter</v>
      </c>
      <c r="C10" s="3607"/>
      <c r="D10" s="3607"/>
      <c r="E10" s="3608"/>
      <c r="F10" s="3609">
        <f ca="1">IFERROR((VLOOKUP(B10,Stammdaten!A$7:D$33,4,FALSE)),"")</f>
        <v>19.989999999999998</v>
      </c>
      <c r="G10" s="3609"/>
      <c r="H10" s="30">
        <f>KALKULATION!F625</f>
        <v>1</v>
      </c>
      <c r="I10" s="3547">
        <f ca="1">IF(PRODUCT(F10,H10)=0,"",F10*H10)</f>
        <v>19.989999999999998</v>
      </c>
      <c r="J10" s="3548"/>
      <c r="K10" s="3583" t="s">
        <v>141</v>
      </c>
      <c r="L10" s="3583"/>
      <c r="M10" s="3583"/>
      <c r="N10" s="3584"/>
      <c r="O10" s="29" t="s">
        <v>30</v>
      </c>
      <c r="P10" s="6" t="s">
        <v>18</v>
      </c>
      <c r="R10" s="784"/>
    </row>
    <row r="11" spans="1:18" x14ac:dyDescent="0.2">
      <c r="A11" s="43" t="s">
        <v>31</v>
      </c>
      <c r="B11" s="3572"/>
      <c r="C11" s="3572"/>
      <c r="D11" s="3572"/>
      <c r="E11" s="3573"/>
      <c r="F11" s="3574"/>
      <c r="G11" s="3574"/>
      <c r="H11" s="33"/>
      <c r="I11" s="3575"/>
      <c r="J11" s="3576"/>
      <c r="K11" s="3614" t="str">
        <f>KALKULATION!N652</f>
        <v>Überstunde 50%</v>
      </c>
      <c r="L11" s="3615"/>
      <c r="M11" s="3615"/>
      <c r="N11" s="3615"/>
      <c r="O11" s="1034" t="str">
        <f ca="1">KALKULATION!P652</f>
        <v>50%</v>
      </c>
      <c r="P11" s="163">
        <v>1</v>
      </c>
      <c r="R11" s="784"/>
    </row>
    <row r="12" spans="1:18" x14ac:dyDescent="0.2">
      <c r="A12" s="43" t="s">
        <v>32</v>
      </c>
      <c r="B12" s="3572"/>
      <c r="C12" s="3572"/>
      <c r="D12" s="3572"/>
      <c r="E12" s="3573"/>
      <c r="F12" s="3574"/>
      <c r="G12" s="3574"/>
      <c r="H12" s="33"/>
      <c r="I12" s="3575"/>
      <c r="J12" s="3576"/>
      <c r="K12" s="3577" t="str">
        <f>IF(AND(_Anzeige_Prozent=_Ja,KALKULATION!N656&lt;&gt;""),"Erfasst sind Verr.std. für: "&amp;KALKULATION!N656,"")</f>
        <v/>
      </c>
      <c r="L12" s="3578"/>
      <c r="M12" s="3578"/>
      <c r="N12" s="3579"/>
      <c r="O12" s="556" t="str">
        <f>IF(K12=KALKULATION!B653,TEXT(KALKULATION!E653,"0%"),IF(K12=KALKULATION!B657,TEXT(KALKULATION!E657,"0,00€"),""))</f>
        <v/>
      </c>
      <c r="P12" s="557"/>
      <c r="R12" s="784"/>
    </row>
    <row r="13" spans="1:18" x14ac:dyDescent="0.2">
      <c r="A13" s="43" t="s">
        <v>33</v>
      </c>
      <c r="B13" s="3572"/>
      <c r="C13" s="3572"/>
      <c r="D13" s="3572"/>
      <c r="E13" s="3573"/>
      <c r="F13" s="3574"/>
      <c r="G13" s="3574"/>
      <c r="H13" s="33"/>
      <c r="I13" s="3575"/>
      <c r="J13" s="3576"/>
      <c r="K13" s="3577"/>
      <c r="L13" s="3578"/>
      <c r="M13" s="3578"/>
      <c r="N13" s="3579"/>
      <c r="O13" s="556" t="str">
        <f>IF(K13=KALKULATION!B653,TEXT(KALKULATION!E653,"0%"),IF(K13=KALKULATION!B657,TEXT(KALKULATION!E657,"0,00€"),""))</f>
        <v/>
      </c>
      <c r="P13" s="557"/>
      <c r="R13" s="784"/>
    </row>
    <row r="14" spans="1:18" x14ac:dyDescent="0.2">
      <c r="A14" s="43" t="s">
        <v>34</v>
      </c>
      <c r="B14" s="3572"/>
      <c r="C14" s="3572"/>
      <c r="D14" s="3572"/>
      <c r="E14" s="3573"/>
      <c r="F14" s="3574"/>
      <c r="G14" s="3574"/>
      <c r="H14" s="33"/>
      <c r="I14" s="3575"/>
      <c r="J14" s="3576"/>
      <c r="K14" s="3577"/>
      <c r="L14" s="3578"/>
      <c r="M14" s="3578"/>
      <c r="N14" s="3579"/>
      <c r="O14" s="34"/>
      <c r="P14" s="35"/>
      <c r="R14" s="784"/>
    </row>
    <row r="15" spans="1:18" x14ac:dyDescent="0.2">
      <c r="A15" s="43" t="s">
        <v>35</v>
      </c>
      <c r="B15" s="3572"/>
      <c r="C15" s="3572"/>
      <c r="D15" s="3572"/>
      <c r="E15" s="3573"/>
      <c r="F15" s="3574"/>
      <c r="G15" s="3574"/>
      <c r="H15" s="33"/>
      <c r="I15" s="3575"/>
      <c r="J15" s="3576"/>
      <c r="K15" s="3572"/>
      <c r="L15" s="3572"/>
      <c r="M15" s="3572"/>
      <c r="N15" s="3573"/>
      <c r="O15" s="34"/>
      <c r="P15" s="35"/>
      <c r="R15" s="784"/>
    </row>
    <row r="16" spans="1:18" x14ac:dyDescent="0.2">
      <c r="A16" s="43" t="s">
        <v>36</v>
      </c>
      <c r="B16" s="3572"/>
      <c r="C16" s="3572"/>
      <c r="D16" s="3572"/>
      <c r="E16" s="3573"/>
      <c r="F16" s="3574"/>
      <c r="G16" s="3574"/>
      <c r="H16" s="33"/>
      <c r="I16" s="3575"/>
      <c r="J16" s="3576"/>
      <c r="K16" s="3616"/>
      <c r="L16" s="3616"/>
      <c r="M16" s="3616"/>
      <c r="N16" s="3617"/>
      <c r="O16" s="36"/>
      <c r="P16" s="37"/>
      <c r="R16" s="784"/>
    </row>
    <row r="17" spans="1:18" x14ac:dyDescent="0.2">
      <c r="A17" s="43" t="s">
        <v>37</v>
      </c>
      <c r="B17" s="3572"/>
      <c r="C17" s="3572"/>
      <c r="D17" s="3572"/>
      <c r="E17" s="3573"/>
      <c r="F17" s="3574"/>
      <c r="G17" s="3574"/>
      <c r="H17" s="33"/>
      <c r="I17" s="3575"/>
      <c r="J17" s="3576"/>
      <c r="K17" s="3616"/>
      <c r="L17" s="3616"/>
      <c r="M17" s="3616"/>
      <c r="N17" s="3617"/>
      <c r="O17" s="36"/>
      <c r="P17" s="37"/>
      <c r="R17" s="784"/>
    </row>
    <row r="18" spans="1:18" ht="15.75" thickBot="1" x14ac:dyDescent="0.25">
      <c r="A18" s="43" t="s">
        <v>38</v>
      </c>
      <c r="B18" s="3565"/>
      <c r="C18" s="3566"/>
      <c r="D18" s="3566"/>
      <c r="E18" s="3567"/>
      <c r="F18" s="3568"/>
      <c r="G18" s="3568"/>
      <c r="H18" s="38"/>
      <c r="I18" s="3569"/>
      <c r="J18" s="3570"/>
      <c r="K18" s="3618"/>
      <c r="L18" s="3618"/>
      <c r="M18" s="3618"/>
      <c r="N18" s="3619"/>
      <c r="O18" s="39"/>
      <c r="P18" s="40"/>
      <c r="R18" s="784"/>
    </row>
    <row r="19" spans="1:18" x14ac:dyDescent="0.2">
      <c r="A19" s="43">
        <v>2</v>
      </c>
      <c r="B19" s="1169" t="s">
        <v>39</v>
      </c>
      <c r="C19" s="1170"/>
      <c r="D19" s="1171"/>
      <c r="E19" s="1171"/>
      <c r="F19" s="1171"/>
      <c r="G19" s="1171"/>
      <c r="H19" s="1167">
        <f>SUM(H10:H18)</f>
        <v>1</v>
      </c>
      <c r="I19" s="3376">
        <f ca="1">IF(AND(_OK?="OK!",_OK_KV?="OK_KV!"),SUM(I10:J18),KALKULATION!G626)</f>
        <v>20</v>
      </c>
      <c r="J19" s="3377"/>
      <c r="K19" s="3626" t="s">
        <v>143</v>
      </c>
      <c r="L19" s="3626"/>
      <c r="M19" s="3626"/>
      <c r="N19" s="3626"/>
      <c r="O19" s="3626"/>
      <c r="P19" s="1173">
        <v>1</v>
      </c>
      <c r="R19" s="784"/>
    </row>
    <row r="20" spans="1:18" x14ac:dyDescent="0.2">
      <c r="A20" s="43"/>
      <c r="B20" s="3440"/>
      <c r="C20" s="3440"/>
      <c r="D20" s="3440"/>
      <c r="E20" s="3440"/>
      <c r="F20" s="3440"/>
      <c r="G20" s="3440"/>
      <c r="H20" s="3440"/>
      <c r="I20" s="3440"/>
      <c r="J20" s="3440"/>
      <c r="K20" s="3440"/>
      <c r="L20" s="2727"/>
      <c r="M20" s="3433" t="s">
        <v>6</v>
      </c>
      <c r="N20" s="3434"/>
      <c r="O20" s="3435" t="s">
        <v>7</v>
      </c>
      <c r="P20" s="3434"/>
      <c r="R20" s="784"/>
    </row>
    <row r="21" spans="1:18" x14ac:dyDescent="0.2">
      <c r="A21" s="43">
        <v>3</v>
      </c>
      <c r="B21" s="144" t="s">
        <v>39</v>
      </c>
      <c r="C21" s="145"/>
      <c r="D21" s="145"/>
      <c r="E21" s="145"/>
      <c r="F21" s="145"/>
      <c r="G21" s="145"/>
      <c r="H21" s="3563"/>
      <c r="I21" s="3563"/>
      <c r="J21" s="3563"/>
      <c r="K21" s="3563"/>
      <c r="L21" s="3563"/>
      <c r="M21" s="3563"/>
      <c r="N21" s="3564"/>
      <c r="O21" s="3627">
        <f ca="1">I19/H19</f>
        <v>20</v>
      </c>
      <c r="P21" s="3628"/>
      <c r="R21" s="784"/>
    </row>
    <row r="22" spans="1:18" ht="15.75" thickBot="1" x14ac:dyDescent="0.25">
      <c r="A22" s="43">
        <v>4</v>
      </c>
      <c r="B22" s="3442" t="s">
        <v>40</v>
      </c>
      <c r="C22" s="3443"/>
      <c r="D22" s="3443"/>
      <c r="E22" s="3443"/>
      <c r="F22" s="3443"/>
      <c r="G22" s="3443"/>
      <c r="H22" s="3450" t="s">
        <v>41</v>
      </c>
      <c r="I22" s="3450"/>
      <c r="J22" s="3451"/>
      <c r="K22" s="3620">
        <f ca="1">KALKULATION!G638</f>
        <v>0</v>
      </c>
      <c r="L22" s="3621"/>
      <c r="M22" s="3390"/>
      <c r="N22" s="3391"/>
      <c r="O22" s="3622">
        <f ca="1">K22*O21</f>
        <v>0</v>
      </c>
      <c r="P22" s="3623"/>
      <c r="R22" s="784"/>
    </row>
    <row r="23" spans="1:18" x14ac:dyDescent="0.2">
      <c r="A23" s="43">
        <v>5</v>
      </c>
      <c r="B23" s="3459" t="s">
        <v>142</v>
      </c>
      <c r="C23" s="3460"/>
      <c r="D23" s="3460"/>
      <c r="E23" s="3460"/>
      <c r="F23" s="3460"/>
      <c r="G23" s="3460"/>
      <c r="H23" s="3531" t="s">
        <v>180</v>
      </c>
      <c r="I23" s="3453"/>
      <c r="J23" s="3453"/>
      <c r="K23" s="3453"/>
      <c r="L23" s="3453"/>
      <c r="M23" s="3453"/>
      <c r="N23" s="147"/>
      <c r="O23" s="3624">
        <f ca="1">SUM(O21:O22)</f>
        <v>20</v>
      </c>
      <c r="P23" s="3625"/>
      <c r="R23" s="784"/>
    </row>
    <row r="24" spans="1:18" x14ac:dyDescent="0.2">
      <c r="A24" s="43">
        <v>6</v>
      </c>
      <c r="B24" s="3375" t="s">
        <v>109</v>
      </c>
      <c r="C24" s="3375"/>
      <c r="D24" s="3375"/>
      <c r="E24" s="3375"/>
      <c r="F24" s="3375"/>
      <c r="G24" s="3375"/>
      <c r="H24" s="3455" t="s">
        <v>87</v>
      </c>
      <c r="I24" s="3455"/>
      <c r="J24" s="3456"/>
      <c r="K24" s="3495">
        <f ca="1">KALKULATION!H638</f>
        <v>0.15</v>
      </c>
      <c r="L24" s="3496"/>
      <c r="M24" s="3457"/>
      <c r="N24" s="3458"/>
      <c r="O24" s="3547">
        <f ca="1">K24*O23</f>
        <v>3</v>
      </c>
      <c r="P24" s="3548"/>
      <c r="R24" s="784"/>
    </row>
    <row r="25" spans="1:18" x14ac:dyDescent="0.2">
      <c r="A25" s="43">
        <v>7</v>
      </c>
      <c r="B25" s="3375" t="s">
        <v>136</v>
      </c>
      <c r="C25" s="3375"/>
      <c r="D25" s="3375"/>
      <c r="E25" s="3375"/>
      <c r="F25" s="3375"/>
      <c r="G25" s="3375"/>
      <c r="H25" s="3455" t="s">
        <v>87</v>
      </c>
      <c r="I25" s="3455"/>
      <c r="J25" s="3456"/>
      <c r="K25" s="3629">
        <f>KALKULATION!H646</f>
        <v>0</v>
      </c>
      <c r="L25" s="3630"/>
      <c r="M25" s="3457"/>
      <c r="N25" s="3458"/>
      <c r="O25" s="3547">
        <f ca="1">K25*O23</f>
        <v>0</v>
      </c>
      <c r="P25" s="3548"/>
      <c r="R25" s="784"/>
    </row>
    <row r="26" spans="1:18" x14ac:dyDescent="0.2">
      <c r="A26" s="43">
        <v>8</v>
      </c>
      <c r="B26" s="3375" t="s">
        <v>67</v>
      </c>
      <c r="C26" s="3375"/>
      <c r="D26" s="3375"/>
      <c r="E26" s="3375"/>
      <c r="F26" s="3375"/>
      <c r="G26" s="3375"/>
      <c r="H26" s="3455" t="s">
        <v>87</v>
      </c>
      <c r="I26" s="3455"/>
      <c r="J26" s="3456"/>
      <c r="K26" s="3629">
        <f ca="1">KALKULATION!H658</f>
        <v>0.6</v>
      </c>
      <c r="L26" s="3630"/>
      <c r="M26" s="3457"/>
      <c r="N26" s="3458"/>
      <c r="O26" s="3547">
        <f ca="1">K26*O23</f>
        <v>12</v>
      </c>
      <c r="P26" s="3548"/>
      <c r="R26" s="784"/>
    </row>
    <row r="27" spans="1:18" ht="15.75" thickBot="1" x14ac:dyDescent="0.25">
      <c r="A27" s="43">
        <v>9</v>
      </c>
      <c r="B27" s="3447" t="s">
        <v>103</v>
      </c>
      <c r="C27" s="3448"/>
      <c r="D27" s="3448"/>
      <c r="E27" s="3448"/>
      <c r="F27" s="3448"/>
      <c r="G27" s="3448"/>
      <c r="H27" s="3448"/>
      <c r="I27" s="3448"/>
      <c r="J27" s="3448"/>
      <c r="K27" s="3448"/>
      <c r="L27" s="3448"/>
      <c r="M27" s="3448"/>
      <c r="N27" s="3449"/>
      <c r="O27" s="3551">
        <f ca="1">KALKULATION!H662</f>
        <v>1.4</v>
      </c>
      <c r="P27" s="3552"/>
      <c r="R27" s="784"/>
    </row>
    <row r="28" spans="1:18" x14ac:dyDescent="0.2">
      <c r="A28" s="43">
        <v>10</v>
      </c>
      <c r="B28" s="3459" t="s">
        <v>42</v>
      </c>
      <c r="C28" s="3460"/>
      <c r="D28" s="3460"/>
      <c r="E28" s="3460"/>
      <c r="F28" s="3460"/>
      <c r="G28" s="3460"/>
      <c r="H28" s="3531" t="s">
        <v>183</v>
      </c>
      <c r="I28" s="3453"/>
      <c r="J28" s="3453"/>
      <c r="K28" s="3453"/>
      <c r="L28" s="3453"/>
      <c r="M28" s="3453"/>
      <c r="N28" s="146"/>
      <c r="O28" s="3624">
        <f ca="1">SUM(O23:P27)</f>
        <v>36.4</v>
      </c>
      <c r="P28" s="3625"/>
      <c r="R28" s="784"/>
    </row>
    <row r="29" spans="1:18" x14ac:dyDescent="0.2">
      <c r="A29" s="43">
        <v>11</v>
      </c>
      <c r="B29" s="2280" t="s">
        <v>104</v>
      </c>
      <c r="C29" s="2280"/>
      <c r="D29" s="2280"/>
      <c r="E29" s="2280"/>
      <c r="F29" s="2280"/>
      <c r="G29" s="2280"/>
      <c r="H29" s="2280"/>
      <c r="I29" s="2280"/>
      <c r="J29" s="2280"/>
      <c r="K29" s="2280"/>
      <c r="L29" s="2280"/>
      <c r="M29" s="2280"/>
      <c r="N29" s="2280"/>
      <c r="O29" s="3547">
        <f ca="1">KALKULATION!H663</f>
        <v>1.6</v>
      </c>
      <c r="P29" s="3548"/>
      <c r="R29" s="784"/>
    </row>
    <row r="30" spans="1:18" x14ac:dyDescent="0.2">
      <c r="A30" s="43">
        <v>12</v>
      </c>
      <c r="B30" s="3375" t="s">
        <v>43</v>
      </c>
      <c r="C30" s="3375"/>
      <c r="D30" s="3375"/>
      <c r="E30" s="3375"/>
      <c r="F30" s="3375"/>
      <c r="G30" s="3375"/>
      <c r="H30" s="3455" t="s">
        <v>44</v>
      </c>
      <c r="I30" s="3455"/>
      <c r="J30" s="3456"/>
      <c r="K30" s="3629">
        <f ca="1">KALKULATION!H664</f>
        <v>0.28999999999999998</v>
      </c>
      <c r="L30" s="3630"/>
      <c r="M30" s="3457"/>
      <c r="N30" s="3458"/>
      <c r="O30" s="3547">
        <f ca="1">K30*O28</f>
        <v>10.56</v>
      </c>
      <c r="P30" s="3548"/>
      <c r="R30" s="784"/>
    </row>
    <row r="31" spans="1:18" x14ac:dyDescent="0.2">
      <c r="A31" s="43">
        <v>13</v>
      </c>
      <c r="B31" s="3375" t="s">
        <v>45</v>
      </c>
      <c r="C31" s="3375"/>
      <c r="D31" s="3375"/>
      <c r="E31" s="3375"/>
      <c r="F31" s="3375"/>
      <c r="G31" s="3375"/>
      <c r="H31" s="3455" t="s">
        <v>44</v>
      </c>
      <c r="I31" s="3455"/>
      <c r="J31" s="3456"/>
      <c r="K31" s="3629">
        <f ca="1">KALKULATION!H665</f>
        <v>0.77</v>
      </c>
      <c r="L31" s="3630"/>
      <c r="M31" s="3457"/>
      <c r="N31" s="3458"/>
      <c r="O31" s="3547">
        <f ca="1">K31*O28</f>
        <v>28.03</v>
      </c>
      <c r="P31" s="3548"/>
      <c r="R31" s="784"/>
    </row>
    <row r="32" spans="1:18" ht="15.75" thickBot="1" x14ac:dyDescent="0.25">
      <c r="A32" s="43">
        <v>14</v>
      </c>
      <c r="B32" s="3473" t="s">
        <v>46</v>
      </c>
      <c r="C32" s="3474"/>
      <c r="D32" s="3474"/>
      <c r="E32" s="3474"/>
      <c r="F32" s="3474"/>
      <c r="G32" s="3474"/>
      <c r="H32" s="3475" t="s">
        <v>44</v>
      </c>
      <c r="I32" s="3475"/>
      <c r="J32" s="3476"/>
      <c r="K32" s="3620">
        <f ca="1">O32/O28</f>
        <v>1.9E-3</v>
      </c>
      <c r="L32" s="3621"/>
      <c r="M32" s="3497"/>
      <c r="N32" s="3498"/>
      <c r="O32" s="3551">
        <f ca="1">KALKULATION!H666</f>
        <v>7.0000000000000007E-2</v>
      </c>
      <c r="P32" s="3552"/>
      <c r="R32" s="784"/>
    </row>
    <row r="33" spans="1:18" x14ac:dyDescent="0.2">
      <c r="A33" s="43">
        <v>15</v>
      </c>
      <c r="B33" s="3459" t="s">
        <v>47</v>
      </c>
      <c r="C33" s="3460"/>
      <c r="D33" s="3460"/>
      <c r="E33" s="3460"/>
      <c r="F33" s="3460"/>
      <c r="G33" s="3460"/>
      <c r="H33" s="3531" t="s">
        <v>184</v>
      </c>
      <c r="I33" s="3453"/>
      <c r="J33" s="3453"/>
      <c r="K33" s="3453"/>
      <c r="L33" s="3453"/>
      <c r="M33" s="3453"/>
      <c r="N33" s="3453"/>
      <c r="O33" s="3624">
        <f ca="1">SUM(O28:P32)</f>
        <v>76.66</v>
      </c>
      <c r="P33" s="3625"/>
      <c r="R33" s="784"/>
    </row>
    <row r="34" spans="1:18" x14ac:dyDescent="0.2">
      <c r="A34" s="43">
        <v>16</v>
      </c>
      <c r="B34" s="3500" t="s">
        <v>48</v>
      </c>
      <c r="C34" s="3500"/>
      <c r="D34" s="3500"/>
      <c r="E34" s="3500"/>
      <c r="F34" s="3500"/>
      <c r="G34" s="3500"/>
      <c r="H34" s="3481" t="str">
        <f>IF(_Anzeige_Prozent=_Nein,"in % auf B15","in % auf B15 + in € = ∑")</f>
        <v>in % auf B15 + in € = ∑</v>
      </c>
      <c r="I34" s="3481"/>
      <c r="J34" s="3482"/>
      <c r="K34" s="3495">
        <f>IF(_Anzeige_Prozent=_Nein,KALKULATION!G667+KALKULATION!H667/O33,KALKULATION!G667)</f>
        <v>0.06</v>
      </c>
      <c r="L34" s="3496"/>
      <c r="M34" s="3631">
        <f ca="1">IF(_Anzeige_Prozent=_Nein,"",KALKULATION!H667)</f>
        <v>2.2599999999999998</v>
      </c>
      <c r="N34" s="3632"/>
      <c r="O34" s="3631">
        <f ca="1">SUM(KALKULATION!H667,KALKULATION!G667*O33)</f>
        <v>6.86</v>
      </c>
      <c r="P34" s="3632"/>
      <c r="R34" s="784"/>
    </row>
    <row r="35" spans="1:18" ht="24.4" customHeight="1" x14ac:dyDescent="0.2">
      <c r="A35" s="43">
        <v>17</v>
      </c>
      <c r="B35" s="3523" t="s">
        <v>89</v>
      </c>
      <c r="C35" s="3379"/>
      <c r="D35" s="3379"/>
      <c r="E35" s="3379"/>
      <c r="F35" s="3379"/>
      <c r="G35" s="3379"/>
      <c r="H35" s="3379"/>
      <c r="I35" s="3379"/>
      <c r="J35" s="3524"/>
      <c r="K35" s="3483" t="str">
        <f>IF(SUM(K36:L38)&lt;&gt;0,"Umlage in % (U%) auf B15","")</f>
        <v/>
      </c>
      <c r="L35" s="3484"/>
      <c r="M35" s="3483" t="str">
        <f>IF(SUM(K36:L38)&lt;&gt;0,"Umlage in €/Std (inkl % in €)","Umlage in €/Std)")</f>
        <v>Umlage in €/Std)</v>
      </c>
      <c r="N35" s="3484"/>
      <c r="O35" s="3539"/>
      <c r="P35" s="3540"/>
      <c r="R35" s="784"/>
    </row>
    <row r="36" spans="1:18" x14ac:dyDescent="0.2">
      <c r="A36" s="79" t="s">
        <v>49</v>
      </c>
      <c r="B36" s="3392" t="str">
        <f>IF(SUM(K36:N36)=0,"",KALKULATION!A670)</f>
        <v/>
      </c>
      <c r="C36" s="3393"/>
      <c r="D36" s="3393"/>
      <c r="E36" s="3393"/>
      <c r="F36" s="3393"/>
      <c r="G36" s="3393"/>
      <c r="H36" s="3393"/>
      <c r="I36" s="3393"/>
      <c r="J36" s="3446"/>
      <c r="K36" s="3537" t="str">
        <f>IF(KALKULATION!A670="","",IF(_Anzeige_Prozent=_Nein,"",KALKULATION!G670))</f>
        <v/>
      </c>
      <c r="L36" s="3537"/>
      <c r="M36" s="3532" t="str">
        <f>IF(KALKULATION!A670="","",SUM(KALKULATION!F670,KALKULATION!H670))</f>
        <v/>
      </c>
      <c r="N36" s="3533"/>
      <c r="O36" s="3541"/>
      <c r="P36" s="3542"/>
      <c r="R36" s="784"/>
    </row>
    <row r="37" spans="1:18" x14ac:dyDescent="0.2">
      <c r="A37" s="79" t="s">
        <v>50</v>
      </c>
      <c r="B37" s="3380" t="str">
        <f>IF(SUM(K37:N37)=0,"",KALKULATION!A671)</f>
        <v/>
      </c>
      <c r="C37" s="3381"/>
      <c r="D37" s="3381"/>
      <c r="E37" s="3381"/>
      <c r="F37" s="3381"/>
      <c r="G37" s="3381"/>
      <c r="H37" s="3381"/>
      <c r="I37" s="3381"/>
      <c r="J37" s="3384"/>
      <c r="K37" s="3545" t="str">
        <f>IF(KALKULATION!A671="","",IF(_Anzeige_Prozent=_Nein,"",KALKULATION!G671))</f>
        <v/>
      </c>
      <c r="L37" s="3545"/>
      <c r="M37" s="3547" t="str">
        <f>IF(KALKULATION!A671="","",SUM(KALKULATION!F671,KALKULATION!H671))</f>
        <v/>
      </c>
      <c r="N37" s="3548"/>
      <c r="O37" s="3541"/>
      <c r="P37" s="3542"/>
      <c r="R37" s="784"/>
    </row>
    <row r="38" spans="1:18" ht="15.75" thickBot="1" x14ac:dyDescent="0.25">
      <c r="A38" s="79" t="s">
        <v>51</v>
      </c>
      <c r="B38" s="3386" t="str">
        <f>IF(SUM(K38:N38)=0,"",KALKULATION!A672)</f>
        <v/>
      </c>
      <c r="C38" s="3387"/>
      <c r="D38" s="3387"/>
      <c r="E38" s="3387"/>
      <c r="F38" s="3387"/>
      <c r="G38" s="3387"/>
      <c r="H38" s="3387"/>
      <c r="I38" s="3387"/>
      <c r="J38" s="3388"/>
      <c r="K38" s="3549" t="str">
        <f>IF(KALKULATION!A672="","",IF(_Anzeige_Prozent=_Nein,"",KALKULATION!G672))</f>
        <v/>
      </c>
      <c r="L38" s="3549"/>
      <c r="M38" s="3551" t="str">
        <f>IF(KALKULATION!A672="","",SUM(KALKULATION!F672,KALKULATION!H672))</f>
        <v/>
      </c>
      <c r="N38" s="3552"/>
      <c r="O38" s="3543"/>
      <c r="P38" s="3544"/>
      <c r="R38" s="784"/>
    </row>
    <row r="39" spans="1:18" x14ac:dyDescent="0.2">
      <c r="A39" s="43">
        <v>18</v>
      </c>
      <c r="B39" s="1152" t="s">
        <v>896</v>
      </c>
      <c r="C39" s="1153"/>
      <c r="D39" s="1153"/>
      <c r="E39" s="1153"/>
      <c r="F39" s="1154"/>
      <c r="G39" s="1154"/>
      <c r="H39" s="1155"/>
      <c r="I39" s="1156"/>
      <c r="J39" s="1156"/>
      <c r="K39" s="1156"/>
      <c r="L39" s="1157"/>
      <c r="M39" s="3534" t="str">
        <f>IF(SUM(M36:N38)&gt;0,SUM(M36:N38),"")</f>
        <v/>
      </c>
      <c r="N39" s="3535"/>
      <c r="O39" s="3536">
        <f ca="1">SUM(O33:P34)</f>
        <v>83.52</v>
      </c>
      <c r="P39" s="3535"/>
      <c r="R39" s="784"/>
    </row>
    <row r="40" spans="1:18" ht="27.95" customHeight="1" x14ac:dyDescent="0.2">
      <c r="A40" s="43">
        <v>19</v>
      </c>
      <c r="B40" s="3461" t="str">
        <f>KALKULATION!M302</f>
        <v>Personalkosten gesamt (Regie)</v>
      </c>
      <c r="C40" s="3462"/>
      <c r="D40" s="3462"/>
      <c r="E40" s="3462"/>
      <c r="F40" s="3462"/>
      <c r="G40" s="3462"/>
      <c r="H40" s="3462"/>
      <c r="I40" s="3462"/>
      <c r="J40" s="3463"/>
      <c r="K40" s="3472" t="s">
        <v>185</v>
      </c>
      <c r="L40" s="3044"/>
      <c r="M40" s="1164"/>
      <c r="N40" s="3559">
        <f ca="1">SUM(M39:P39)</f>
        <v>83.52</v>
      </c>
      <c r="O40" s="3559"/>
      <c r="P40" s="376"/>
      <c r="R40" s="784"/>
    </row>
    <row r="41" spans="1:18" hidden="1" x14ac:dyDescent="0.2">
      <c r="A41" s="43"/>
      <c r="B41" s="102" t="s">
        <v>55</v>
      </c>
      <c r="C41" s="4"/>
      <c r="D41" s="4"/>
      <c r="E41" s="4"/>
      <c r="F41" s="4"/>
      <c r="G41" s="4"/>
      <c r="H41" s="5"/>
      <c r="I41" s="1"/>
      <c r="K41" s="3"/>
      <c r="L41" s="3"/>
      <c r="M41" s="25"/>
      <c r="N41" s="26"/>
      <c r="O41" s="26"/>
      <c r="P41" s="27"/>
      <c r="R41" s="784"/>
    </row>
    <row r="42" spans="1:18" x14ac:dyDescent="0.2">
      <c r="A42" s="43"/>
      <c r="B42" s="3477" t="s">
        <v>54</v>
      </c>
      <c r="C42" s="3417"/>
      <c r="D42" s="3417"/>
      <c r="E42" s="3417"/>
      <c r="F42" s="3417"/>
      <c r="G42" s="3417"/>
      <c r="H42" s="3478"/>
      <c r="I42" s="3514" t="s">
        <v>52</v>
      </c>
      <c r="J42" s="3515"/>
      <c r="K42" s="3514" t="s">
        <v>53</v>
      </c>
      <c r="L42" s="3515"/>
      <c r="M42" s="3560"/>
      <c r="N42" s="3561"/>
      <c r="O42" s="3561"/>
      <c r="P42" s="3562"/>
      <c r="R42" s="784"/>
    </row>
    <row r="43" spans="1:18" ht="15.75" thickBot="1" x14ac:dyDescent="0.25">
      <c r="A43" s="43">
        <v>20</v>
      </c>
      <c r="B43" s="3473"/>
      <c r="C43" s="3474"/>
      <c r="D43" s="3474"/>
      <c r="E43" s="3474"/>
      <c r="F43" s="3474"/>
      <c r="G43" s="3474"/>
      <c r="H43" s="3479"/>
      <c r="I43" s="3636" t="str">
        <f>IF(M39="","",KALKULATION!H674)</f>
        <v/>
      </c>
      <c r="J43" s="3637"/>
      <c r="K43" s="3636">
        <f>KALKULATION!H677</f>
        <v>0.28999999999999998</v>
      </c>
      <c r="L43" s="3637"/>
      <c r="M43" s="3638" t="str">
        <f>IFERROR(I43*M39,"")</f>
        <v/>
      </c>
      <c r="N43" s="3639"/>
      <c r="O43" s="3638">
        <f ca="1">K43*O39</f>
        <v>24.22</v>
      </c>
      <c r="P43" s="3639"/>
      <c r="R43" s="784"/>
    </row>
    <row r="44" spans="1:18" x14ac:dyDescent="0.2">
      <c r="A44" s="43">
        <v>21</v>
      </c>
      <c r="B44" s="1152" t="s">
        <v>897</v>
      </c>
      <c r="C44" s="1158"/>
      <c r="D44" s="1158"/>
      <c r="E44" s="1158"/>
      <c r="F44" s="1158"/>
      <c r="G44" s="1158"/>
      <c r="H44" s="1158"/>
      <c r="I44" s="1156"/>
      <c r="J44" s="1156"/>
      <c r="K44" s="1156"/>
      <c r="L44" s="1157"/>
      <c r="M44" s="3534" t="str">
        <f>IFERROR(IF(M39="","",SUM(M39,M43)),"")</f>
        <v/>
      </c>
      <c r="N44" s="3535"/>
      <c r="O44" s="3534">
        <f ca="1">SUM(O39:P43)</f>
        <v>107.74</v>
      </c>
      <c r="P44" s="3535"/>
      <c r="R44" s="784"/>
    </row>
    <row r="45" spans="1:18" ht="27.95" customHeight="1" x14ac:dyDescent="0.2">
      <c r="A45" s="44">
        <v>22</v>
      </c>
      <c r="B45" s="3556" t="str">
        <f ca="1">KALKULATION!C679</f>
        <v>Regielohnpreis gesamt für [IIb.   Facharbeiter] als [Überstunde 50% (50%)]</v>
      </c>
      <c r="C45" s="3557"/>
      <c r="D45" s="3557"/>
      <c r="E45" s="3557"/>
      <c r="F45" s="3557"/>
      <c r="G45" s="3557"/>
      <c r="H45" s="3557"/>
      <c r="I45" s="3557"/>
      <c r="J45" s="3558"/>
      <c r="K45" s="3472" t="s">
        <v>186</v>
      </c>
      <c r="L45" s="3044"/>
      <c r="M45" s="1164"/>
      <c r="N45" s="3559">
        <f ca="1">IFERROR(SUM(M44:P44),"??")</f>
        <v>107.74</v>
      </c>
      <c r="O45" s="3559"/>
      <c r="P45" s="376"/>
      <c r="R45" s="784"/>
    </row>
    <row r="46" spans="1:18" hidden="1" x14ac:dyDescent="0.2">
      <c r="A46" s="101"/>
      <c r="B46" s="102" t="s">
        <v>55</v>
      </c>
      <c r="C46" s="1"/>
      <c r="D46" s="1"/>
      <c r="E46" s="1"/>
      <c r="F46" s="1"/>
      <c r="G46" s="1"/>
      <c r="H46" s="1"/>
      <c r="I46" s="2"/>
      <c r="J46" s="23"/>
      <c r="K46" s="23"/>
      <c r="M46" s="22"/>
      <c r="N46" s="22"/>
      <c r="O46" s="21"/>
      <c r="R46" s="784"/>
    </row>
    <row r="47" spans="1:18" ht="55.9" customHeight="1" x14ac:dyDescent="0.2">
      <c r="A47" s="3485" t="str">
        <f>"Lizenziert für:
"&amp;'Lizenz u lies mich'!B32</f>
        <v>Lizenziert für:
Vers V4.0</v>
      </c>
      <c r="B47" s="3486"/>
      <c r="C47" s="3486"/>
      <c r="D47" s="3503" t="str">
        <f ca="1">' K3 PP'!D47</f>
        <v>Keine gültige Lizenz! Nur als Testversion nutzbar!</v>
      </c>
      <c r="E47" s="3503"/>
      <c r="F47" s="3503"/>
      <c r="G47" s="3503"/>
      <c r="H47" s="3504"/>
      <c r="I47" s="3502"/>
      <c r="J47" s="3502"/>
      <c r="K47" s="3502"/>
      <c r="L47" s="3502"/>
      <c r="M47" s="3502"/>
      <c r="N47" s="3501" t="s">
        <v>260</v>
      </c>
      <c r="O47" s="3412"/>
      <c r="P47" s="3413"/>
      <c r="R47" s="784"/>
    </row>
    <row r="48" spans="1:18" ht="10.15" customHeight="1" x14ac:dyDescent="0.2">
      <c r="A48" s="597"/>
      <c r="B48" s="597"/>
      <c r="C48" s="597"/>
      <c r="D48" s="597"/>
      <c r="E48" s="597"/>
      <c r="F48" s="597"/>
      <c r="G48" s="597"/>
      <c r="H48" s="597"/>
      <c r="I48" s="597"/>
      <c r="J48" s="597"/>
      <c r="K48" s="597"/>
      <c r="L48" s="597"/>
      <c r="M48" s="597"/>
      <c r="N48" s="597"/>
      <c r="O48" s="597"/>
      <c r="P48" s="597"/>
    </row>
  </sheetData>
  <sheetProtection password="B984" sheet="1" formatColumns="0" selectLockedCells="1"/>
  <mergeCells count="156">
    <mergeCell ref="A47:C47"/>
    <mergeCell ref="O43:P43"/>
    <mergeCell ref="M44:N44"/>
    <mergeCell ref="O44:P44"/>
    <mergeCell ref="K45:L45"/>
    <mergeCell ref="N45:O45"/>
    <mergeCell ref="N47:P47"/>
    <mergeCell ref="I47:M47"/>
    <mergeCell ref="D47:H47"/>
    <mergeCell ref="B45:J45"/>
    <mergeCell ref="B40:J40"/>
    <mergeCell ref="K40:L40"/>
    <mergeCell ref="N40:O40"/>
    <mergeCell ref="B42:H43"/>
    <mergeCell ref="I42:J42"/>
    <mergeCell ref="K42:L42"/>
    <mergeCell ref="M42:P42"/>
    <mergeCell ref="I43:J43"/>
    <mergeCell ref="K43:L43"/>
    <mergeCell ref="M43:N43"/>
    <mergeCell ref="B38:J38"/>
    <mergeCell ref="K38:L38"/>
    <mergeCell ref="M38:N38"/>
    <mergeCell ref="M39:N39"/>
    <mergeCell ref="O39:P39"/>
    <mergeCell ref="B35:J35"/>
    <mergeCell ref="K35:L35"/>
    <mergeCell ref="M35:N35"/>
    <mergeCell ref="O35:P38"/>
    <mergeCell ref="B36:J36"/>
    <mergeCell ref="K36:L36"/>
    <mergeCell ref="M36:N36"/>
    <mergeCell ref="B37:J37"/>
    <mergeCell ref="K37:L37"/>
    <mergeCell ref="M37:N37"/>
    <mergeCell ref="B33:G33"/>
    <mergeCell ref="H33:N33"/>
    <mergeCell ref="O33:P33"/>
    <mergeCell ref="B34:G34"/>
    <mergeCell ref="H34:J34"/>
    <mergeCell ref="K34:L34"/>
    <mergeCell ref="M34:N34"/>
    <mergeCell ref="O34:P34"/>
    <mergeCell ref="B31:G31"/>
    <mergeCell ref="H31:J31"/>
    <mergeCell ref="K31:L31"/>
    <mergeCell ref="M31:N31"/>
    <mergeCell ref="O31:P31"/>
    <mergeCell ref="B32:G32"/>
    <mergeCell ref="H32:J32"/>
    <mergeCell ref="K32:L32"/>
    <mergeCell ref="M32:N32"/>
    <mergeCell ref="O32:P32"/>
    <mergeCell ref="B28:G28"/>
    <mergeCell ref="H28:M28"/>
    <mergeCell ref="O28:P28"/>
    <mergeCell ref="B29:N29"/>
    <mergeCell ref="O29:P29"/>
    <mergeCell ref="B30:G30"/>
    <mergeCell ref="H30:J30"/>
    <mergeCell ref="K30:L30"/>
    <mergeCell ref="M30:N30"/>
    <mergeCell ref="O30:P30"/>
    <mergeCell ref="B26:G26"/>
    <mergeCell ref="H26:J26"/>
    <mergeCell ref="K26:L26"/>
    <mergeCell ref="M26:N26"/>
    <mergeCell ref="O26:P26"/>
    <mergeCell ref="B27:N27"/>
    <mergeCell ref="O27:P27"/>
    <mergeCell ref="B24:G24"/>
    <mergeCell ref="H24:J24"/>
    <mergeCell ref="K24:L24"/>
    <mergeCell ref="M24:N24"/>
    <mergeCell ref="O24:P24"/>
    <mergeCell ref="B25:G25"/>
    <mergeCell ref="H25:J25"/>
    <mergeCell ref="K25:L25"/>
    <mergeCell ref="M25:N25"/>
    <mergeCell ref="O25:P25"/>
    <mergeCell ref="B22:G22"/>
    <mergeCell ref="H22:J22"/>
    <mergeCell ref="K22:L22"/>
    <mergeCell ref="M22:N22"/>
    <mergeCell ref="O22:P22"/>
    <mergeCell ref="B23:G23"/>
    <mergeCell ref="H23:M23"/>
    <mergeCell ref="O23:P23"/>
    <mergeCell ref="I19:J19"/>
    <mergeCell ref="K19:O19"/>
    <mergeCell ref="B20:L20"/>
    <mergeCell ref="M20:N20"/>
    <mergeCell ref="O20:P20"/>
    <mergeCell ref="H21:N21"/>
    <mergeCell ref="O21:P21"/>
    <mergeCell ref="B18:E18"/>
    <mergeCell ref="F18:G18"/>
    <mergeCell ref="I18:J18"/>
    <mergeCell ref="K18:N18"/>
    <mergeCell ref="B15:E15"/>
    <mergeCell ref="F15:G15"/>
    <mergeCell ref="I15:J15"/>
    <mergeCell ref="K15:N15"/>
    <mergeCell ref="B16:E16"/>
    <mergeCell ref="F16:G16"/>
    <mergeCell ref="I16:J16"/>
    <mergeCell ref="K16:N16"/>
    <mergeCell ref="K11:N11"/>
    <mergeCell ref="B12:E12"/>
    <mergeCell ref="F12:G12"/>
    <mergeCell ref="I12:J12"/>
    <mergeCell ref="K12:N14"/>
    <mergeCell ref="B17:E17"/>
    <mergeCell ref="F17:G17"/>
    <mergeCell ref="I17:J17"/>
    <mergeCell ref="K17:N17"/>
    <mergeCell ref="B13:E13"/>
    <mergeCell ref="F13:G13"/>
    <mergeCell ref="I13:J13"/>
    <mergeCell ref="B14:E14"/>
    <mergeCell ref="F14:G14"/>
    <mergeCell ref="I14:J14"/>
    <mergeCell ref="B11:E11"/>
    <mergeCell ref="F11:G11"/>
    <mergeCell ref="I11:J11"/>
    <mergeCell ref="B1:E1"/>
    <mergeCell ref="G1:P1"/>
    <mergeCell ref="B9:E9"/>
    <mergeCell ref="F9:G9"/>
    <mergeCell ref="I9:J9"/>
    <mergeCell ref="K9:O9"/>
    <mergeCell ref="B10:E10"/>
    <mergeCell ref="F10:G10"/>
    <mergeCell ref="I10:J10"/>
    <mergeCell ref="K10:N10"/>
    <mergeCell ref="B7:E7"/>
    <mergeCell ref="K7:P7"/>
    <mergeCell ref="B8:L8"/>
    <mergeCell ref="M8:N8"/>
    <mergeCell ref="O8:P8"/>
    <mergeCell ref="B6:E6"/>
    <mergeCell ref="F5:J5"/>
    <mergeCell ref="B5:E5"/>
    <mergeCell ref="F7:J7"/>
    <mergeCell ref="F6:J6"/>
    <mergeCell ref="A2:A8"/>
    <mergeCell ref="B2:E3"/>
    <mergeCell ref="F2:J3"/>
    <mergeCell ref="K2:P2"/>
    <mergeCell ref="K3:P3"/>
    <mergeCell ref="C4:E4"/>
    <mergeCell ref="G4:J4"/>
    <mergeCell ref="K4:P4"/>
    <mergeCell ref="K5:P5"/>
    <mergeCell ref="K6:L6"/>
    <mergeCell ref="M6:P6"/>
  </mergeCells>
  <conditionalFormatting sqref="B5">
    <cfRule type="expression" dxfId="47" priority="10">
      <formula>$E$5="X"</formula>
    </cfRule>
  </conditionalFormatting>
  <conditionalFormatting sqref="B6">
    <cfRule type="expression" dxfId="46" priority="9">
      <formula>$E$6="X"</formula>
    </cfRule>
  </conditionalFormatting>
  <conditionalFormatting sqref="B36:J38">
    <cfRule type="expression" dxfId="45" priority="7">
      <formula>$B36=0</formula>
    </cfRule>
  </conditionalFormatting>
  <conditionalFormatting sqref="F5">
    <cfRule type="expression" dxfId="44" priority="12">
      <formula>$J$5="X"</formula>
    </cfRule>
  </conditionalFormatting>
  <conditionalFormatting sqref="F6">
    <cfRule type="expression" dxfId="43" priority="11">
      <formula>$J$6="X"</formula>
    </cfRule>
  </conditionalFormatting>
  <conditionalFormatting sqref="I19:J19 O21:P21 D47:H47">
    <cfRule type="expression" dxfId="41" priority="6">
      <formula>_OK?&lt;&gt;"OK!"</formula>
    </cfRule>
  </conditionalFormatting>
  <conditionalFormatting sqref="K12 O12:P13">
    <cfRule type="uniqueValues" dxfId="40" priority="1"/>
  </conditionalFormatting>
  <conditionalFormatting sqref="N40:O40 N45:O45 K3:P5">
    <cfRule type="expression" dxfId="37" priority="8">
      <formula>OR(_OK?&lt;&gt;"OK!",_OK_KV?&lt;&gt;"OK_KV!")</formula>
    </cfRule>
  </conditionalFormatting>
  <conditionalFormatting sqref="N40:O40 N45:O45">
    <cfRule type="expression" dxfId="36" priority="5">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4" id="{526A2510-74C5-40D6-B379-B8A19924E4C5}">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3" id="{EB85AE38-C245-494D-B629-742E8E1BE2FC}">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2" id="{A5302761-6346-470E-92C4-325772FE497E}">
            <xm:f>KALKULATION!$F$351="Nein"</xm:f>
            <x14:dxf>
              <font>
                <color theme="0"/>
              </font>
              <border>
                <left style="thin">
                  <color theme="0"/>
                </left>
                <vertical/>
                <horizontal/>
              </border>
            </x14:dxf>
          </x14:cfRule>
          <xm:sqref>K35:L38</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B32F8-D2C3-4A0C-B72D-11701DE3C989}">
  <sheetPr codeName="Tabelle14">
    <tabColor theme="4" tint="0.59999389629810485"/>
  </sheetPr>
  <dimension ref="A1:U48"/>
  <sheetViews>
    <sheetView showGridLines="0" topLeftCell="A28" zoomScaleNormal="100" workbookViewId="0">
      <selection activeCell="I47" sqref="I47:M47"/>
    </sheetView>
  </sheetViews>
  <sheetFormatPr baseColWidth="10" defaultRowHeight="15" x14ac:dyDescent="0.2"/>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5546875" customWidth="1"/>
  </cols>
  <sheetData>
    <row r="1" spans="1:21" ht="18.75" x14ac:dyDescent="0.3">
      <c r="A1" s="31" t="s">
        <v>21</v>
      </c>
      <c r="B1" s="3509" t="s">
        <v>22</v>
      </c>
      <c r="C1" s="3509"/>
      <c r="D1" s="3509"/>
      <c r="E1" s="3510"/>
      <c r="F1" s="424" t="s">
        <v>187</v>
      </c>
      <c r="G1" s="3605" t="str">
        <f>' K3 PP'!G1:P1</f>
        <v xml:space="preserve">Musterprojekt Baugewerbe </v>
      </c>
      <c r="H1" s="3605"/>
      <c r="I1" s="3605"/>
      <c r="J1" s="3605"/>
      <c r="K1" s="3605"/>
      <c r="L1" s="3605"/>
      <c r="M1" s="3605"/>
      <c r="N1" s="3605"/>
      <c r="O1" s="3605"/>
      <c r="P1" s="3606"/>
      <c r="R1" s="785"/>
    </row>
    <row r="2" spans="1:21" x14ac:dyDescent="0.2">
      <c r="A2" s="3600"/>
      <c r="B2" s="3402" t="s">
        <v>57</v>
      </c>
      <c r="C2" s="3403"/>
      <c r="D2" s="3403"/>
      <c r="E2" s="3403"/>
      <c r="F2" s="3645" t="str">
        <f>IF(KALKULATION!D690="","Regiepartiepersonalpreis",KALKULATION!D690)</f>
        <v>Regiepartie01</v>
      </c>
      <c r="G2" s="3645"/>
      <c r="H2" s="3645"/>
      <c r="I2" s="3645"/>
      <c r="J2" s="3646"/>
      <c r="K2" s="3374" t="s">
        <v>24</v>
      </c>
      <c r="L2" s="3375"/>
      <c r="M2" s="3375"/>
      <c r="N2" s="3375"/>
      <c r="O2" s="3375"/>
      <c r="P2" s="3389"/>
      <c r="R2" s="785"/>
    </row>
    <row r="3" spans="1:21" x14ac:dyDescent="0.2">
      <c r="A3" s="3600"/>
      <c r="B3" s="3264"/>
      <c r="C3" s="3265"/>
      <c r="D3" s="3265"/>
      <c r="E3" s="3265"/>
      <c r="F3" s="3647"/>
      <c r="G3" s="3647"/>
      <c r="H3" s="3647"/>
      <c r="I3" s="3647"/>
      <c r="J3" s="3648"/>
      <c r="K3" s="3380" t="str">
        <f ca="1">' K3 PP'!K3</f>
        <v>Nur als Testversion nutzbar!</v>
      </c>
      <c r="L3" s="3381"/>
      <c r="M3" s="3381"/>
      <c r="N3" s="3381"/>
      <c r="O3" s="3381"/>
      <c r="P3" s="3384"/>
      <c r="R3" s="785"/>
    </row>
    <row r="4" spans="1:21" x14ac:dyDescent="0.2">
      <c r="A4" s="3600"/>
      <c r="B4" s="77" t="s">
        <v>155</v>
      </c>
      <c r="C4" s="3610" t="str">
        <f>' K3 PP'!C4:E4</f>
        <v>Meine GZ</v>
      </c>
      <c r="D4" s="3610"/>
      <c r="E4" s="3611"/>
      <c r="F4" s="77" t="s">
        <v>156</v>
      </c>
      <c r="G4" s="3612" t="str">
        <f>' K3 PP'!G4:J4</f>
        <v>Seine GZ</v>
      </c>
      <c r="H4" s="3612"/>
      <c r="I4" s="3612"/>
      <c r="J4" s="3613"/>
      <c r="K4" s="3414" t="str">
        <f ca="1">' K3 PP'!K4:P4</f>
        <v>Nur als Testversion nutzbar!</v>
      </c>
      <c r="L4" s="3415"/>
      <c r="M4" s="3415"/>
      <c r="N4" s="3415"/>
      <c r="O4" s="3415"/>
      <c r="P4" s="3416"/>
      <c r="R4" s="785"/>
    </row>
    <row r="5" spans="1:21" x14ac:dyDescent="0.2">
      <c r="A5" s="3600"/>
      <c r="B5" s="3523" t="s">
        <v>621</v>
      </c>
      <c r="C5" s="3379"/>
      <c r="D5" s="3379"/>
      <c r="E5" s="3524"/>
      <c r="F5" s="3477" t="s">
        <v>622</v>
      </c>
      <c r="G5" s="3417"/>
      <c r="H5" s="3417"/>
      <c r="I5" s="3417"/>
      <c r="J5" s="3478"/>
      <c r="K5" s="3414" t="str">
        <f ca="1">' K3 PP'!K5</f>
        <v>Nur als Testversion nutzbar!</v>
      </c>
      <c r="L5" s="3415"/>
      <c r="M5" s="3415"/>
      <c r="N5" s="3415"/>
      <c r="O5" s="3415"/>
      <c r="P5" s="3416"/>
      <c r="R5" s="785"/>
    </row>
    <row r="6" spans="1:21" x14ac:dyDescent="0.2">
      <c r="A6" s="3600"/>
      <c r="B6" s="3525" t="str">
        <f>KALKULATION!C28</f>
        <v>Lohn</v>
      </c>
      <c r="C6" s="3526"/>
      <c r="D6" s="3526"/>
      <c r="E6" s="3527"/>
      <c r="F6" s="3594" t="str">
        <f>KALKULATION!C29</f>
        <v>Montage</v>
      </c>
      <c r="G6" s="3595"/>
      <c r="H6" s="3595"/>
      <c r="I6" s="3595"/>
      <c r="J6" s="3596"/>
      <c r="K6" s="3417" t="s">
        <v>1</v>
      </c>
      <c r="L6" s="3417"/>
      <c r="M6" s="3589">
        <f>' K3 PP'!M6</f>
        <v>46143</v>
      </c>
      <c r="N6" s="3589"/>
      <c r="O6" s="3589"/>
      <c r="P6" s="3590"/>
      <c r="R6" s="785"/>
    </row>
    <row r="7" spans="1:21" x14ac:dyDescent="0.2">
      <c r="A7" s="3600"/>
      <c r="B7" s="2726" t="s">
        <v>126</v>
      </c>
      <c r="C7" s="3440"/>
      <c r="D7" s="3440"/>
      <c r="E7" s="3440"/>
      <c r="F7" s="3597" t="str">
        <f>IF(OR(COUNTA(KALKULATION!A695:C699)&gt;1),"FÜR REGIEPARTIE","FÜR REGIE")</f>
        <v>FÜR REGIEPARTIE</v>
      </c>
      <c r="G7" s="3598"/>
      <c r="H7" s="3598"/>
      <c r="I7" s="3598"/>
      <c r="J7" s="3599"/>
      <c r="K7" s="3412" t="s">
        <v>140</v>
      </c>
      <c r="L7" s="3412"/>
      <c r="M7" s="3412"/>
      <c r="N7" s="3412"/>
      <c r="O7" s="3412"/>
      <c r="P7" s="3413"/>
      <c r="R7" s="785"/>
    </row>
    <row r="8" spans="1:21" ht="15.75" thickBot="1" x14ac:dyDescent="0.25">
      <c r="A8" s="3600"/>
      <c r="B8" s="3591" t="str">
        <f ca="1">Stammdaten!B3</f>
        <v>KollV f Bauindustrie und Baugewerbe (Arbeiter)</v>
      </c>
      <c r="C8" s="3592"/>
      <c r="D8" s="3592"/>
      <c r="E8" s="3592"/>
      <c r="F8" s="3592"/>
      <c r="G8" s="3592"/>
      <c r="H8" s="3592"/>
      <c r="I8" s="3592"/>
      <c r="J8" s="3592"/>
      <c r="K8" s="3592"/>
      <c r="L8" s="3593"/>
      <c r="M8" s="3390" t="s">
        <v>26</v>
      </c>
      <c r="N8" s="3391"/>
      <c r="O8" s="3587">
        <f ca="1">Stammdaten!B4</f>
        <v>46143</v>
      </c>
      <c r="P8" s="3588"/>
      <c r="R8" s="785"/>
    </row>
    <row r="9" spans="1:21" x14ac:dyDescent="0.2">
      <c r="A9" s="79">
        <v>1</v>
      </c>
      <c r="B9" s="3421" t="s">
        <v>106</v>
      </c>
      <c r="C9" s="3422"/>
      <c r="D9" s="3422"/>
      <c r="E9" s="3423"/>
      <c r="F9" s="3457" t="s">
        <v>107</v>
      </c>
      <c r="G9" s="3649"/>
      <c r="H9" s="78" t="str">
        <f>IF(KALKULATION!H693="Ø","Anteil","Anzahl")</f>
        <v>Anzahl</v>
      </c>
      <c r="I9" s="3511" t="s">
        <v>257</v>
      </c>
      <c r="J9" s="3512"/>
      <c r="K9" s="3422" t="s">
        <v>108</v>
      </c>
      <c r="L9" s="3422"/>
      <c r="M9" s="3422"/>
      <c r="N9" s="3422"/>
      <c r="O9" s="3422"/>
      <c r="P9" s="28">
        <f ca="1">KALKULATION!C87</f>
        <v>39</v>
      </c>
      <c r="R9" s="785"/>
    </row>
    <row r="10" spans="1:21" x14ac:dyDescent="0.2">
      <c r="A10" s="43" t="s">
        <v>29</v>
      </c>
      <c r="B10" s="3650"/>
      <c r="C10" s="3651"/>
      <c r="D10" s="3651"/>
      <c r="E10" s="3652"/>
      <c r="F10" s="3575"/>
      <c r="G10" s="3576"/>
      <c r="H10" s="200"/>
      <c r="I10" s="3653"/>
      <c r="J10" s="3654"/>
      <c r="K10" s="3583" t="s">
        <v>141</v>
      </c>
      <c r="L10" s="3583"/>
      <c r="M10" s="3583"/>
      <c r="N10" s="3584"/>
      <c r="O10" s="29" t="s">
        <v>30</v>
      </c>
      <c r="P10" s="6" t="s">
        <v>18</v>
      </c>
      <c r="R10" s="785"/>
      <c r="U10">
        <f>COUNTA(B11:E16)</f>
        <v>5</v>
      </c>
    </row>
    <row r="11" spans="1:21" ht="15.75" x14ac:dyDescent="0.25">
      <c r="A11" s="43" t="s">
        <v>31</v>
      </c>
      <c r="B11" s="3642" t="str">
        <f>IF(KALKULATION!A695=0,"",(KALKULATION!A695))</f>
        <v>IIb.   Facharbeiter</v>
      </c>
      <c r="C11" s="3643"/>
      <c r="D11" s="3643"/>
      <c r="E11" s="3644"/>
      <c r="F11" s="3547">
        <f ca="1">IFERROR((VLOOKUP(B11,Stammdaten!A$7:D$33,4,FALSE)),"")</f>
        <v>19.989999999999998</v>
      </c>
      <c r="G11" s="3548"/>
      <c r="H11" s="381" t="str">
        <f ca="1">IF(F11="","",IF(KALKULATION!H$693="Ø",TEXT(KALKULATION!F695,"0,00%"),TEXT(KALKULATION!E695,"0,0")))</f>
        <v>1,0</v>
      </c>
      <c r="I11" s="3547">
        <f ca="1">IFERROR(IF(OR(F11*H11=0,B11=""),"",F11*H11),"")</f>
        <v>19.989999999999998</v>
      </c>
      <c r="J11" s="3548"/>
      <c r="K11" s="3614" t="str">
        <f>IF(B11="","1b darf nicht leer sein!",KALKULATION!N726)</f>
        <v>Regiestunde</v>
      </c>
      <c r="L11" s="3615"/>
      <c r="M11" s="3615"/>
      <c r="N11" s="3615"/>
      <c r="O11" s="1035" t="str">
        <f>KALKULATION!P726</f>
        <v/>
      </c>
      <c r="P11" s="163">
        <v>1</v>
      </c>
      <c r="R11" s="786"/>
    </row>
    <row r="12" spans="1:21" x14ac:dyDescent="0.2">
      <c r="A12" s="43" t="s">
        <v>32</v>
      </c>
      <c r="B12" s="3642" t="str">
        <f>IF(KALKULATION!A696=0,"",(KALKULATION!A696))</f>
        <v>IV.   Bauhilfsarbeiter</v>
      </c>
      <c r="C12" s="3643"/>
      <c r="D12" s="3643"/>
      <c r="E12" s="3644"/>
      <c r="F12" s="3547">
        <f ca="1">IFERROR((VLOOKUP(B12,Stammdaten!A$7:D$33,4,FALSE)),"")</f>
        <v>17.03</v>
      </c>
      <c r="G12" s="3548"/>
      <c r="H12" s="381" t="str">
        <f ca="1">IF(F12="","",IF(KALKULATION!H$693="Ø",TEXT(KALKULATION!F696,"0,00%"),TEXT(KALKULATION!E696,"0,0")))</f>
        <v>1,0</v>
      </c>
      <c r="I12" s="3547">
        <f t="shared" ref="I12:I15" ca="1" si="0">IFERROR(IF(OR(F12*H12=0,B12=""),"",F12*H12),"")</f>
        <v>17.03</v>
      </c>
      <c r="J12" s="3548"/>
      <c r="K12" s="3577" t="str">
        <f>IF(AND(_Anzeige_Prozent=_Ja,KALKULATION!N730&lt;&gt;""),"Erfasst sind Verr.std. für: "&amp;KALKULATION!N730,"")</f>
        <v/>
      </c>
      <c r="L12" s="3578"/>
      <c r="M12" s="3578"/>
      <c r="N12" s="3579"/>
      <c r="O12" s="556"/>
      <c r="P12" s="35"/>
      <c r="R12" s="785"/>
    </row>
    <row r="13" spans="1:21" x14ac:dyDescent="0.2">
      <c r="A13" s="43" t="s">
        <v>33</v>
      </c>
      <c r="B13" s="3642" t="str">
        <f>IF(KALKULATION!A697=0,"",(KALKULATION!A697))</f>
        <v/>
      </c>
      <c r="C13" s="3643"/>
      <c r="D13" s="3643"/>
      <c r="E13" s="3644"/>
      <c r="F13" s="3547" t="str">
        <f ca="1">IFERROR((VLOOKUP(B13,Stammdaten!A$7:D$33,4,FALSE)),"")</f>
        <v/>
      </c>
      <c r="G13" s="3548"/>
      <c r="H13" s="381" t="str">
        <f ca="1">IF(F13="","",IF(KALKULATION!H$693="Ø",TEXT(KALKULATION!F697,"0,00%"),TEXT(KALKULATION!E697,"0,0")))</f>
        <v/>
      </c>
      <c r="I13" s="3547" t="str">
        <f t="shared" ca="1" si="0"/>
        <v/>
      </c>
      <c r="J13" s="3548"/>
      <c r="K13" s="3577"/>
      <c r="L13" s="3578"/>
      <c r="M13" s="3578"/>
      <c r="N13" s="3579"/>
      <c r="O13" s="556"/>
      <c r="P13" s="35"/>
      <c r="R13" s="785"/>
    </row>
    <row r="14" spans="1:21" x14ac:dyDescent="0.2">
      <c r="A14" s="43" t="s">
        <v>34</v>
      </c>
      <c r="B14" s="3642" t="str">
        <f>IF(KALKULATION!A698=0,"",(KALKULATION!A698))</f>
        <v/>
      </c>
      <c r="C14" s="3643"/>
      <c r="D14" s="3643"/>
      <c r="E14" s="3644"/>
      <c r="F14" s="3547" t="str">
        <f ca="1">IFERROR((VLOOKUP(B14,Stammdaten!A$7:D$33,4,FALSE)),"")</f>
        <v/>
      </c>
      <c r="G14" s="3548"/>
      <c r="H14" s="381" t="str">
        <f ca="1">IF(F14="","",IF(KALKULATION!H$693="Ø",TEXT(KALKULATION!F698,"0,00%"),TEXT(KALKULATION!E698,"0,0")))</f>
        <v/>
      </c>
      <c r="I14" s="3547" t="str">
        <f t="shared" ca="1" si="0"/>
        <v/>
      </c>
      <c r="J14" s="3548"/>
      <c r="K14" s="3577"/>
      <c r="L14" s="3578"/>
      <c r="M14" s="3578"/>
      <c r="N14" s="3579"/>
      <c r="O14" s="34"/>
      <c r="P14" s="35"/>
      <c r="R14" s="785"/>
    </row>
    <row r="15" spans="1:21" x14ac:dyDescent="0.2">
      <c r="A15" s="43" t="s">
        <v>35</v>
      </c>
      <c r="B15" s="3643" t="str">
        <f>IF(KALKULATION!A699=0,"",(KALKULATION!A699))</f>
        <v/>
      </c>
      <c r="C15" s="3643"/>
      <c r="D15" s="3643"/>
      <c r="E15" s="3643"/>
      <c r="F15" s="3547" t="str">
        <f ca="1">IFERROR((VLOOKUP(B15,Stammdaten!A$7:D$33,4,FALSE)),"")</f>
        <v/>
      </c>
      <c r="G15" s="3548"/>
      <c r="H15" s="381" t="str">
        <f ca="1">IF(F15="","",IF(KALKULATION!H$693="Ø",TEXT(KALKULATION!F699,"0,00%"),TEXT(KALKULATION!E699,"0,0")))</f>
        <v/>
      </c>
      <c r="I15" s="3547" t="str">
        <f t="shared" ca="1" si="0"/>
        <v/>
      </c>
      <c r="J15" s="3548"/>
      <c r="K15" s="3572"/>
      <c r="L15" s="3572"/>
      <c r="M15" s="3572"/>
      <c r="N15" s="3573"/>
      <c r="O15" s="34"/>
      <c r="P15" s="35"/>
      <c r="R15" s="785"/>
    </row>
    <row r="16" spans="1:21" x14ac:dyDescent="0.2">
      <c r="A16" s="43" t="s">
        <v>36</v>
      </c>
      <c r="B16" s="3572"/>
      <c r="C16" s="3572"/>
      <c r="D16" s="3572"/>
      <c r="E16" s="3572"/>
      <c r="F16" s="3575"/>
      <c r="G16" s="3576"/>
      <c r="H16" s="200"/>
      <c r="I16" s="3575"/>
      <c r="J16" s="3576"/>
      <c r="K16" s="3616"/>
      <c r="L16" s="3616"/>
      <c r="M16" s="3616"/>
      <c r="N16" s="3617"/>
      <c r="O16" s="36"/>
      <c r="P16" s="37"/>
      <c r="R16" s="785"/>
    </row>
    <row r="17" spans="1:18" x14ac:dyDescent="0.2">
      <c r="A17" s="43" t="s">
        <v>37</v>
      </c>
      <c r="B17" s="3572"/>
      <c r="C17" s="3572"/>
      <c r="D17" s="3572"/>
      <c r="E17" s="3572"/>
      <c r="F17" s="3575"/>
      <c r="G17" s="3576"/>
      <c r="H17" s="200"/>
      <c r="I17" s="3575"/>
      <c r="J17" s="3576"/>
      <c r="K17" s="3616"/>
      <c r="L17" s="3616"/>
      <c r="M17" s="3616"/>
      <c r="N17" s="3617"/>
      <c r="O17" s="36"/>
      <c r="P17" s="37"/>
      <c r="R17" s="785"/>
    </row>
    <row r="18" spans="1:18" ht="15.75" thickBot="1" x14ac:dyDescent="0.25">
      <c r="A18" s="43" t="s">
        <v>38</v>
      </c>
      <c r="B18" s="3565"/>
      <c r="C18" s="3566"/>
      <c r="D18" s="3566"/>
      <c r="E18" s="3566"/>
      <c r="F18" s="3569"/>
      <c r="G18" s="3570"/>
      <c r="H18" s="201"/>
      <c r="I18" s="3569"/>
      <c r="J18" s="3570"/>
      <c r="K18" s="3618"/>
      <c r="L18" s="3618"/>
      <c r="M18" s="3618"/>
      <c r="N18" s="3619"/>
      <c r="O18" s="39"/>
      <c r="P18" s="40"/>
      <c r="R18" s="785"/>
    </row>
    <row r="19" spans="1:18" x14ac:dyDescent="0.2">
      <c r="A19" s="43">
        <v>2</v>
      </c>
      <c r="B19" s="1169" t="s">
        <v>258</v>
      </c>
      <c r="C19" s="1170"/>
      <c r="D19" s="1171"/>
      <c r="E19" s="1171"/>
      <c r="F19" s="1171"/>
      <c r="G19" s="1171"/>
      <c r="H19" s="1172" t="str">
        <f>IF(KALKULATION!H$693="Ø",TEXT(KALKULATION!F700,"0%"),TEXT(KALKULATION!E700,"0,0"))</f>
        <v>2,0</v>
      </c>
      <c r="I19" s="3376">
        <f ca="1">IF(AND(_OK?="OK!",_OK_KV?="OK_KV!"),SUM(I10:J18),KALKULATION!G700)</f>
        <v>19</v>
      </c>
      <c r="J19" s="3377"/>
      <c r="K19" s="3626" t="s">
        <v>143</v>
      </c>
      <c r="L19" s="3626"/>
      <c r="M19" s="3626"/>
      <c r="N19" s="3626"/>
      <c r="O19" s="3626"/>
      <c r="P19" s="1173">
        <v>1</v>
      </c>
      <c r="R19" s="785"/>
    </row>
    <row r="20" spans="1:18" x14ac:dyDescent="0.2">
      <c r="A20" s="43"/>
      <c r="B20" s="3440"/>
      <c r="C20" s="3440"/>
      <c r="D20" s="3440"/>
      <c r="E20" s="3440"/>
      <c r="F20" s="3440"/>
      <c r="G20" s="3440"/>
      <c r="H20" s="3440"/>
      <c r="I20" s="3440"/>
      <c r="J20" s="3440"/>
      <c r="K20" s="3440"/>
      <c r="L20" s="2727"/>
      <c r="M20" s="3433" t="s">
        <v>6</v>
      </c>
      <c r="N20" s="3434"/>
      <c r="O20" s="3435" t="s">
        <v>7</v>
      </c>
      <c r="P20" s="3434"/>
      <c r="R20" s="785"/>
    </row>
    <row r="21" spans="1:18" x14ac:dyDescent="0.2">
      <c r="A21" s="43">
        <v>3</v>
      </c>
      <c r="B21" s="144" t="s">
        <v>39</v>
      </c>
      <c r="C21" s="145"/>
      <c r="D21" s="145"/>
      <c r="E21" s="145"/>
      <c r="F21" s="145"/>
      <c r="G21" s="145"/>
      <c r="H21" s="3563"/>
      <c r="I21" s="3563"/>
      <c r="J21" s="3563"/>
      <c r="K21" s="3563"/>
      <c r="L21" s="3563"/>
      <c r="M21" s="3563"/>
      <c r="N21" s="3564"/>
      <c r="O21" s="3627">
        <f ca="1">I19/H19</f>
        <v>9.5</v>
      </c>
      <c r="P21" s="3628"/>
      <c r="R21" s="785"/>
    </row>
    <row r="22" spans="1:18" ht="15.75" thickBot="1" x14ac:dyDescent="0.25">
      <c r="A22" s="43">
        <v>4</v>
      </c>
      <c r="B22" s="3442" t="s">
        <v>40</v>
      </c>
      <c r="C22" s="3443"/>
      <c r="D22" s="3443"/>
      <c r="E22" s="3443"/>
      <c r="F22" s="3443"/>
      <c r="G22" s="3443"/>
      <c r="H22" s="3450" t="s">
        <v>41</v>
      </c>
      <c r="I22" s="3450"/>
      <c r="J22" s="3451"/>
      <c r="K22" s="3620">
        <f ca="1">KALKULATION!G712</f>
        <v>0</v>
      </c>
      <c r="L22" s="3621"/>
      <c r="M22" s="3444"/>
      <c r="N22" s="3445"/>
      <c r="O22" s="3622">
        <f ca="1">K22*O21</f>
        <v>0</v>
      </c>
      <c r="P22" s="3623"/>
      <c r="R22" s="785"/>
    </row>
    <row r="23" spans="1:18" x14ac:dyDescent="0.2">
      <c r="A23" s="43">
        <v>5</v>
      </c>
      <c r="B23" s="3459" t="s">
        <v>142</v>
      </c>
      <c r="C23" s="3460"/>
      <c r="D23" s="3460"/>
      <c r="E23" s="3460"/>
      <c r="F23" s="3460"/>
      <c r="G23" s="3460"/>
      <c r="H23" s="3531" t="s">
        <v>180</v>
      </c>
      <c r="I23" s="3453"/>
      <c r="J23" s="3453"/>
      <c r="K23" s="3453"/>
      <c r="L23" s="3453"/>
      <c r="M23" s="3453"/>
      <c r="N23" s="147"/>
      <c r="O23" s="3624">
        <f ca="1">SUM(O21:O22)</f>
        <v>9.5</v>
      </c>
      <c r="P23" s="3625"/>
      <c r="R23" s="785"/>
    </row>
    <row r="24" spans="1:18" x14ac:dyDescent="0.2">
      <c r="A24" s="43">
        <v>6</v>
      </c>
      <c r="B24" s="3375" t="s">
        <v>109</v>
      </c>
      <c r="C24" s="3375"/>
      <c r="D24" s="3375"/>
      <c r="E24" s="3375"/>
      <c r="F24" s="3375"/>
      <c r="G24" s="3375"/>
      <c r="H24" s="3455" t="s">
        <v>87</v>
      </c>
      <c r="I24" s="3455"/>
      <c r="J24" s="3456"/>
      <c r="K24" s="3495">
        <f ca="1">KALKULATION!H712</f>
        <v>0.14630000000000001</v>
      </c>
      <c r="L24" s="3496"/>
      <c r="M24" s="3457"/>
      <c r="N24" s="3458"/>
      <c r="O24" s="3547">
        <f ca="1">K24*O23</f>
        <v>1.39</v>
      </c>
      <c r="P24" s="3548"/>
      <c r="R24" s="785"/>
    </row>
    <row r="25" spans="1:18" x14ac:dyDescent="0.2">
      <c r="A25" s="43">
        <v>7</v>
      </c>
      <c r="B25" s="3375" t="s">
        <v>136</v>
      </c>
      <c r="C25" s="3375"/>
      <c r="D25" s="3375"/>
      <c r="E25" s="3375"/>
      <c r="F25" s="3375"/>
      <c r="G25" s="3375"/>
      <c r="H25" s="3455" t="s">
        <v>87</v>
      </c>
      <c r="I25" s="3455"/>
      <c r="J25" s="3456"/>
      <c r="K25" s="3629">
        <f>KALKULATION!H720</f>
        <v>0</v>
      </c>
      <c r="L25" s="3630"/>
      <c r="M25" s="3457"/>
      <c r="N25" s="3458"/>
      <c r="O25" s="3547">
        <f ca="1">K25*O23</f>
        <v>0</v>
      </c>
      <c r="P25" s="3548"/>
      <c r="R25" s="785"/>
    </row>
    <row r="26" spans="1:18" x14ac:dyDescent="0.2">
      <c r="A26" s="43">
        <v>8</v>
      </c>
      <c r="B26" s="3375" t="s">
        <v>67</v>
      </c>
      <c r="C26" s="3375"/>
      <c r="D26" s="3375"/>
      <c r="E26" s="3375"/>
      <c r="F26" s="3375"/>
      <c r="G26" s="3375"/>
      <c r="H26" s="3455" t="s">
        <v>87</v>
      </c>
      <c r="I26" s="3455"/>
      <c r="J26" s="3456"/>
      <c r="K26" s="3629">
        <f>KALKULATION!H732</f>
        <v>0</v>
      </c>
      <c r="L26" s="3630"/>
      <c r="M26" s="3457"/>
      <c r="N26" s="3458"/>
      <c r="O26" s="3547">
        <f ca="1">K26*O23</f>
        <v>0</v>
      </c>
      <c r="P26" s="3548"/>
      <c r="R26" s="785"/>
    </row>
    <row r="27" spans="1:18" ht="15.75" thickBot="1" x14ac:dyDescent="0.25">
      <c r="A27" s="43">
        <v>9</v>
      </c>
      <c r="B27" s="3447" t="s">
        <v>103</v>
      </c>
      <c r="C27" s="3448"/>
      <c r="D27" s="3448"/>
      <c r="E27" s="3448"/>
      <c r="F27" s="3448"/>
      <c r="G27" s="3448"/>
      <c r="H27" s="3448"/>
      <c r="I27" s="3448"/>
      <c r="J27" s="3448"/>
      <c r="K27" s="3448"/>
      <c r="L27" s="3448"/>
      <c r="M27" s="3448"/>
      <c r="N27" s="3449"/>
      <c r="O27" s="3551">
        <f ca="1">KALKULATION!H736</f>
        <v>1.4</v>
      </c>
      <c r="P27" s="3552"/>
      <c r="R27" s="785"/>
    </row>
    <row r="28" spans="1:18" x14ac:dyDescent="0.2">
      <c r="A28" s="43">
        <v>10</v>
      </c>
      <c r="B28" s="3459" t="s">
        <v>42</v>
      </c>
      <c r="C28" s="3460"/>
      <c r="D28" s="3460"/>
      <c r="E28" s="3460"/>
      <c r="F28" s="3460"/>
      <c r="G28" s="3460"/>
      <c r="H28" s="3531" t="s">
        <v>183</v>
      </c>
      <c r="I28" s="3453"/>
      <c r="J28" s="3453"/>
      <c r="K28" s="3453"/>
      <c r="L28" s="3453"/>
      <c r="M28" s="3453"/>
      <c r="N28" s="146"/>
      <c r="O28" s="3624">
        <f ca="1">SUM(O23:P27)</f>
        <v>12.29</v>
      </c>
      <c r="P28" s="3625"/>
      <c r="R28" s="785"/>
    </row>
    <row r="29" spans="1:18" x14ac:dyDescent="0.2">
      <c r="A29" s="43">
        <v>11</v>
      </c>
      <c r="B29" s="2280" t="s">
        <v>104</v>
      </c>
      <c r="C29" s="2280"/>
      <c r="D29" s="2280"/>
      <c r="E29" s="2280"/>
      <c r="F29" s="2280"/>
      <c r="G29" s="2280"/>
      <c r="H29" s="2280"/>
      <c r="I29" s="2280"/>
      <c r="J29" s="2280"/>
      <c r="K29" s="2280"/>
      <c r="L29" s="2280"/>
      <c r="M29" s="2280"/>
      <c r="N29" s="2280"/>
      <c r="O29" s="3547">
        <f ca="1">KALKULATION!H737</f>
        <v>1.6</v>
      </c>
      <c r="P29" s="3548"/>
      <c r="R29" s="785"/>
    </row>
    <row r="30" spans="1:18" x14ac:dyDescent="0.2">
      <c r="A30" s="43">
        <v>12</v>
      </c>
      <c r="B30" s="3375" t="s">
        <v>43</v>
      </c>
      <c r="C30" s="3375"/>
      <c r="D30" s="3375"/>
      <c r="E30" s="3375"/>
      <c r="F30" s="3375"/>
      <c r="G30" s="3375"/>
      <c r="H30" s="3455" t="s">
        <v>44</v>
      </c>
      <c r="I30" s="3455"/>
      <c r="J30" s="3456"/>
      <c r="K30" s="3629">
        <f ca="1">KALKULATION!H738</f>
        <v>0.28999999999999998</v>
      </c>
      <c r="L30" s="3630"/>
      <c r="M30" s="3457"/>
      <c r="N30" s="3458"/>
      <c r="O30" s="3547">
        <f ca="1">K30*O28</f>
        <v>3.56</v>
      </c>
      <c r="P30" s="3548"/>
      <c r="R30" s="785"/>
    </row>
    <row r="31" spans="1:18" x14ac:dyDescent="0.2">
      <c r="A31" s="43">
        <v>13</v>
      </c>
      <c r="B31" s="3375" t="s">
        <v>45</v>
      </c>
      <c r="C31" s="3375"/>
      <c r="D31" s="3375"/>
      <c r="E31" s="3375"/>
      <c r="F31" s="3375"/>
      <c r="G31" s="3375"/>
      <c r="H31" s="3455" t="s">
        <v>44</v>
      </c>
      <c r="I31" s="3455"/>
      <c r="J31" s="3456"/>
      <c r="K31" s="3629">
        <f ca="1">KALKULATION!H739</f>
        <v>0.77</v>
      </c>
      <c r="L31" s="3630"/>
      <c r="M31" s="3457"/>
      <c r="N31" s="3458"/>
      <c r="O31" s="3547">
        <f ca="1">K31*O28</f>
        <v>9.4600000000000009</v>
      </c>
      <c r="P31" s="3548"/>
      <c r="R31" s="785"/>
    </row>
    <row r="32" spans="1:18" ht="15.75" thickBot="1" x14ac:dyDescent="0.25">
      <c r="A32" s="43">
        <v>14</v>
      </c>
      <c r="B32" s="3473" t="s">
        <v>46</v>
      </c>
      <c r="C32" s="3474"/>
      <c r="D32" s="3474"/>
      <c r="E32" s="3474"/>
      <c r="F32" s="3474"/>
      <c r="G32" s="3474"/>
      <c r="H32" s="3475" t="s">
        <v>44</v>
      </c>
      <c r="I32" s="3475"/>
      <c r="J32" s="3476"/>
      <c r="K32" s="3620">
        <f ca="1">O32/O28</f>
        <v>5.7000000000000002E-3</v>
      </c>
      <c r="L32" s="3621"/>
      <c r="M32" s="3497"/>
      <c r="N32" s="3498"/>
      <c r="O32" s="3551">
        <f ca="1">KALKULATION!H740</f>
        <v>7.0000000000000007E-2</v>
      </c>
      <c r="P32" s="3552"/>
      <c r="R32" s="785"/>
    </row>
    <row r="33" spans="1:19" x14ac:dyDescent="0.2">
      <c r="A33" s="43">
        <v>15</v>
      </c>
      <c r="B33" s="3459" t="s">
        <v>47</v>
      </c>
      <c r="C33" s="3460"/>
      <c r="D33" s="3460"/>
      <c r="E33" s="3460"/>
      <c r="F33" s="3460"/>
      <c r="G33" s="3460"/>
      <c r="H33" s="3531" t="s">
        <v>184</v>
      </c>
      <c r="I33" s="3453"/>
      <c r="J33" s="3453"/>
      <c r="K33" s="3453"/>
      <c r="L33" s="3453"/>
      <c r="M33" s="3453"/>
      <c r="N33" s="3453"/>
      <c r="O33" s="3624">
        <f ca="1">SUM(O28:P32)</f>
        <v>26.98</v>
      </c>
      <c r="P33" s="3625"/>
      <c r="R33" s="785"/>
    </row>
    <row r="34" spans="1:19" x14ac:dyDescent="0.2">
      <c r="A34" s="43">
        <v>16</v>
      </c>
      <c r="B34" s="2280" t="s">
        <v>48</v>
      </c>
      <c r="C34" s="2280"/>
      <c r="D34" s="2280"/>
      <c r="E34" s="2280"/>
      <c r="F34" s="2280"/>
      <c r="G34" s="2280"/>
      <c r="H34" s="3655" t="str">
        <f>IF(_Anzeige_Prozent=_Nein,"in % auf B15","in % auf B15 + in € = ∑")</f>
        <v>in % auf B15 + in € = ∑</v>
      </c>
      <c r="I34" s="3655"/>
      <c r="J34" s="3656"/>
      <c r="K34" s="3657">
        <f>IF(_Anzeige_Prozent=_Nein,KALKULATION!G741+KALKULATION!H741/O33,KALKULATION!G741)</f>
        <v>0.06</v>
      </c>
      <c r="L34" s="3658"/>
      <c r="M34" s="3659">
        <f ca="1">IF(_Anzeige_Prozent=_Nein,"",KALKULATION!H741)</f>
        <v>2.2599999999999998</v>
      </c>
      <c r="N34" s="3660"/>
      <c r="O34" s="3547">
        <f ca="1">SUM(KALKULATION!H741,KALKULATION!G741*O33)</f>
        <v>3.88</v>
      </c>
      <c r="P34" s="3548"/>
      <c r="R34" s="785"/>
    </row>
    <row r="35" spans="1:19" ht="24.4" customHeight="1" x14ac:dyDescent="0.2">
      <c r="A35" s="79">
        <v>17</v>
      </c>
      <c r="B35" s="3523" t="s">
        <v>89</v>
      </c>
      <c r="C35" s="3379"/>
      <c r="D35" s="3379"/>
      <c r="E35" s="3379"/>
      <c r="F35" s="3379"/>
      <c r="G35" s="3379"/>
      <c r="H35" s="3379"/>
      <c r="I35" s="3379"/>
      <c r="J35" s="3379"/>
      <c r="K35" s="3491" t="str">
        <f>IF(SUM(K36:L38)&lt;&gt;0,"Umlage in % (U%) auf B15","")</f>
        <v/>
      </c>
      <c r="L35" s="3492"/>
      <c r="M35" s="3491" t="str">
        <f>IF(SUM(K36:L38)&lt;&gt;0,"Umlage in €/Std (inkl % in €)","Umlage in €/Std)")</f>
        <v>Umlage in €/Std)</v>
      </c>
      <c r="N35" s="3492"/>
      <c r="O35" s="3661"/>
      <c r="P35" s="3540"/>
      <c r="R35" s="785"/>
    </row>
    <row r="36" spans="1:19" x14ac:dyDescent="0.2">
      <c r="A36" s="79" t="s">
        <v>49</v>
      </c>
      <c r="B36" s="3392" t="str">
        <f>IF(SUM(K36:N36)=0,"",KALKULATION!A744)</f>
        <v/>
      </c>
      <c r="C36" s="3393"/>
      <c r="D36" s="3393"/>
      <c r="E36" s="3393"/>
      <c r="F36" s="3393"/>
      <c r="G36" s="3393"/>
      <c r="H36" s="3393"/>
      <c r="I36" s="3393"/>
      <c r="J36" s="3446"/>
      <c r="K36" s="3545" t="str">
        <f>IF(KALKULATION!A744="","",IF(_Anzeige_Prozent=_Nein,"",KALKULATION!G744))</f>
        <v/>
      </c>
      <c r="L36" s="3546"/>
      <c r="M36" s="3547" t="str">
        <f>IF(KALKULATION!A744="","",SUM(KALKULATION!F744,KALKULATION!H744))</f>
        <v/>
      </c>
      <c r="N36" s="3548"/>
      <c r="O36" s="3541"/>
      <c r="P36" s="3542"/>
      <c r="R36" s="785"/>
    </row>
    <row r="37" spans="1:19" x14ac:dyDescent="0.2">
      <c r="A37" s="79" t="s">
        <v>50</v>
      </c>
      <c r="B37" s="3380" t="str">
        <f>IF(SUM(K37:N37)=0,"",KALKULATION!A745)</f>
        <v/>
      </c>
      <c r="C37" s="3381"/>
      <c r="D37" s="3381"/>
      <c r="E37" s="3381"/>
      <c r="F37" s="3381"/>
      <c r="G37" s="3381"/>
      <c r="H37" s="3381"/>
      <c r="I37" s="3381"/>
      <c r="J37" s="3384"/>
      <c r="K37" s="3545" t="str">
        <f>IF(KALKULATION!A745="","",IF(_Anzeige_Prozent=_Nein,"",KALKULATION!G745))</f>
        <v/>
      </c>
      <c r="L37" s="3546"/>
      <c r="M37" s="3547" t="str">
        <f>IF(KALKULATION!A745="","",SUM(KALKULATION!F745,KALKULATION!H745))</f>
        <v/>
      </c>
      <c r="N37" s="3548"/>
      <c r="O37" s="3541"/>
      <c r="P37" s="3542"/>
      <c r="R37" s="785"/>
    </row>
    <row r="38" spans="1:19" ht="15.75" thickBot="1" x14ac:dyDescent="0.25">
      <c r="A38" s="79" t="s">
        <v>51</v>
      </c>
      <c r="B38" s="3386" t="str">
        <f>IF(SUM(K38:N38)=0,"",KALKULATION!A746)</f>
        <v/>
      </c>
      <c r="C38" s="3387"/>
      <c r="D38" s="3387"/>
      <c r="E38" s="3387"/>
      <c r="F38" s="3387"/>
      <c r="G38" s="3387"/>
      <c r="H38" s="3387"/>
      <c r="I38" s="3387"/>
      <c r="J38" s="3388"/>
      <c r="K38" s="3549" t="str">
        <f>IF(KALKULATION!A746="","",IF(_Anzeige_Prozent=_Nein,"",KALKULATION!G746))</f>
        <v/>
      </c>
      <c r="L38" s="3550"/>
      <c r="M38" s="3551" t="str">
        <f>IF(KALKULATION!A746="","",SUM(KALKULATION!F746,KALKULATION!H746))</f>
        <v/>
      </c>
      <c r="N38" s="3552"/>
      <c r="O38" s="3543"/>
      <c r="P38" s="3544"/>
      <c r="R38" s="785"/>
    </row>
    <row r="39" spans="1:19" x14ac:dyDescent="0.2">
      <c r="A39" s="43">
        <v>18</v>
      </c>
      <c r="B39" s="1152" t="s">
        <v>896</v>
      </c>
      <c r="C39" s="1153"/>
      <c r="D39" s="1153"/>
      <c r="E39" s="1153"/>
      <c r="F39" s="1154"/>
      <c r="G39" s="1154"/>
      <c r="H39" s="1155"/>
      <c r="I39" s="1156"/>
      <c r="J39" s="1156"/>
      <c r="K39" s="1156"/>
      <c r="L39" s="1157"/>
      <c r="M39" s="3534" t="str">
        <f>IF(SUM(M36:N38)&gt;0,SUM(M36:N38),"")</f>
        <v/>
      </c>
      <c r="N39" s="3535"/>
      <c r="O39" s="3536">
        <f ca="1">SUM(O33:P34)</f>
        <v>30.86</v>
      </c>
      <c r="P39" s="3535"/>
      <c r="R39" s="785"/>
    </row>
    <row r="40" spans="1:19" ht="27.95" customHeight="1" x14ac:dyDescent="0.2">
      <c r="A40" s="43">
        <v>19</v>
      </c>
      <c r="B40" s="3461" t="str">
        <f>IF(AND(COUNTA(KALKULATION!A695:C699)=1,KALKULATION!E695=1),KALKULATION!M302,IF(KALKULATION!H693="Ø","Personalkosten gesamt (Regie) pro Person","Personalkosten gesamt (Regie) für die Partie"))</f>
        <v>Personalkosten gesamt (Regie) für die Partie</v>
      </c>
      <c r="C40" s="3462"/>
      <c r="D40" s="3462"/>
      <c r="E40" s="3462"/>
      <c r="F40" s="3462"/>
      <c r="G40" s="3462"/>
      <c r="H40" s="3462"/>
      <c r="I40" s="3462"/>
      <c r="J40" s="3463"/>
      <c r="K40" s="3472" t="s">
        <v>185</v>
      </c>
      <c r="L40" s="3044"/>
      <c r="M40" s="375"/>
      <c r="N40" s="3559">
        <f ca="1">IF(KALKULATION!H693="Ø",SUM(M39,O39),SUM(M39,O39)*H19)</f>
        <v>61.72</v>
      </c>
      <c r="O40" s="3559"/>
      <c r="P40" s="376"/>
      <c r="R40" s="785"/>
    </row>
    <row r="41" spans="1:19" hidden="1" x14ac:dyDescent="0.2">
      <c r="A41" s="43"/>
      <c r="B41" s="102" t="s">
        <v>55</v>
      </c>
      <c r="C41" s="4"/>
      <c r="D41" s="4"/>
      <c r="E41" s="4"/>
      <c r="F41" s="4"/>
      <c r="G41" s="4"/>
      <c r="H41" s="5"/>
      <c r="I41" s="1"/>
      <c r="K41" s="3"/>
      <c r="L41" s="3"/>
      <c r="M41" s="25"/>
      <c r="N41" s="26"/>
      <c r="O41" s="26"/>
      <c r="P41" s="27"/>
      <c r="R41" s="785"/>
    </row>
    <row r="42" spans="1:19" x14ac:dyDescent="0.2">
      <c r="A42" s="43"/>
      <c r="B42" s="3477" t="s">
        <v>54</v>
      </c>
      <c r="C42" s="3417"/>
      <c r="D42" s="3417"/>
      <c r="E42" s="3417"/>
      <c r="F42" s="3417"/>
      <c r="G42" s="3417"/>
      <c r="H42" s="3478"/>
      <c r="I42" s="3514" t="s">
        <v>52</v>
      </c>
      <c r="J42" s="3515"/>
      <c r="K42" s="3514" t="s">
        <v>53</v>
      </c>
      <c r="L42" s="3515"/>
      <c r="M42" s="3560"/>
      <c r="N42" s="3561"/>
      <c r="O42" s="3561"/>
      <c r="P42" s="3562"/>
      <c r="R42" s="785"/>
    </row>
    <row r="43" spans="1:19" ht="15.75" thickBot="1" x14ac:dyDescent="0.25">
      <c r="A43" s="43">
        <v>20</v>
      </c>
      <c r="B43" s="3473"/>
      <c r="C43" s="3474"/>
      <c r="D43" s="3474"/>
      <c r="E43" s="3474"/>
      <c r="F43" s="3474"/>
      <c r="G43" s="3474"/>
      <c r="H43" s="3479"/>
      <c r="I43" s="3636" t="str">
        <f>IF(M39="","",KALKULATION!H748)</f>
        <v/>
      </c>
      <c r="J43" s="3637"/>
      <c r="K43" s="3636">
        <f>KALKULATION!H751</f>
        <v>0.28999999999999998</v>
      </c>
      <c r="L43" s="3637"/>
      <c r="M43" s="3638" t="str">
        <f>IFERROR(I43*M39,"")</f>
        <v/>
      </c>
      <c r="N43" s="3639"/>
      <c r="O43" s="3638">
        <f ca="1">K43*O39</f>
        <v>8.9499999999999993</v>
      </c>
      <c r="P43" s="3639"/>
      <c r="R43" s="785"/>
    </row>
    <row r="44" spans="1:19" x14ac:dyDescent="0.2">
      <c r="A44" s="43">
        <v>21</v>
      </c>
      <c r="B44" s="1152" t="s">
        <v>897</v>
      </c>
      <c r="C44" s="1158"/>
      <c r="D44" s="1158"/>
      <c r="E44" s="1158"/>
      <c r="F44" s="1158"/>
      <c r="G44" s="1158"/>
      <c r="H44" s="1158"/>
      <c r="I44" s="1160"/>
      <c r="J44" s="1156"/>
      <c r="K44" s="1156"/>
      <c r="L44" s="1157"/>
      <c r="M44" s="3534" t="str">
        <f>IFERROR(IF(M39="","",SUM(M39,M43)),"")</f>
        <v/>
      </c>
      <c r="N44" s="3535"/>
      <c r="O44" s="3534">
        <f ca="1">IFERROR(SUM(O39,O43),"")</f>
        <v>39.81</v>
      </c>
      <c r="P44" s="3535"/>
      <c r="R44" s="785"/>
    </row>
    <row r="45" spans="1:19" ht="27.95" customHeight="1" x14ac:dyDescent="0.2">
      <c r="A45" s="44">
        <v>22</v>
      </c>
      <c r="B45" s="3556" t="str">
        <f>KALKULATION!C753</f>
        <v>Regielohnpreis gesamt als Partiepreis pro Stunde für [2 Personen]</v>
      </c>
      <c r="C45" s="3557"/>
      <c r="D45" s="3557"/>
      <c r="E45" s="3557"/>
      <c r="F45" s="3557"/>
      <c r="G45" s="3557"/>
      <c r="H45" s="3557"/>
      <c r="I45" s="3557"/>
      <c r="J45" s="3558"/>
      <c r="K45" s="3472" t="s">
        <v>186</v>
      </c>
      <c r="L45" s="3044"/>
      <c r="M45" s="375"/>
      <c r="N45" s="3559">
        <f ca="1">IFERROR(IF(KALKULATION!H693="Ø",SUM(M44,O44),SUM(M44,O44)*KALKULATION!E700),"??")</f>
        <v>79.62</v>
      </c>
      <c r="O45" s="3559"/>
      <c r="P45" s="376"/>
      <c r="R45" s="785"/>
      <c r="S45" s="374"/>
    </row>
    <row r="46" spans="1:19" hidden="1" x14ac:dyDescent="0.2">
      <c r="A46" s="101"/>
      <c r="B46" s="102" t="s">
        <v>55</v>
      </c>
      <c r="C46" s="1"/>
      <c r="D46" s="1"/>
      <c r="E46" s="1"/>
      <c r="F46" s="1"/>
      <c r="G46" s="1"/>
      <c r="H46" s="1"/>
      <c r="I46" s="2"/>
      <c r="J46" s="23"/>
      <c r="K46" s="23"/>
      <c r="M46" s="22"/>
      <c r="N46" s="22"/>
      <c r="O46" s="21"/>
      <c r="R46" s="785"/>
    </row>
    <row r="47" spans="1:19" ht="55.9" customHeight="1" x14ac:dyDescent="0.2">
      <c r="A47" s="3485" t="str">
        <f>"Lizenziert für:
"&amp;'Lizenz u lies mich'!B32</f>
        <v>Lizenziert für:
Vers V4.0</v>
      </c>
      <c r="B47" s="3486"/>
      <c r="C47" s="3486"/>
      <c r="D47" s="3503" t="str">
        <f ca="1">' K3 PP'!D47</f>
        <v>Keine gültige Lizenz! Nur als Testversion nutzbar!</v>
      </c>
      <c r="E47" s="3503"/>
      <c r="F47" s="3503"/>
      <c r="G47" s="3503"/>
      <c r="H47" s="3504"/>
      <c r="I47" s="3502"/>
      <c r="J47" s="3502"/>
      <c r="K47" s="3502"/>
      <c r="L47" s="3502"/>
      <c r="M47" s="3502"/>
      <c r="N47" s="3501" t="s">
        <v>260</v>
      </c>
      <c r="O47" s="3412"/>
      <c r="P47" s="3413"/>
      <c r="R47" s="785"/>
    </row>
    <row r="48" spans="1:19" ht="10.15" customHeight="1" x14ac:dyDescent="0.2">
      <c r="A48" s="597"/>
      <c r="B48" s="597"/>
      <c r="C48" s="597"/>
      <c r="D48" s="597"/>
      <c r="E48" s="597"/>
      <c r="F48" s="597"/>
      <c r="G48" s="597"/>
      <c r="H48" s="597"/>
      <c r="I48" s="597"/>
      <c r="J48" s="597"/>
      <c r="K48" s="597"/>
      <c r="L48" s="597"/>
      <c r="M48" s="597"/>
      <c r="N48" s="597"/>
      <c r="O48" s="597"/>
      <c r="P48" s="597"/>
    </row>
  </sheetData>
  <sheetProtection password="B984" sheet="1" formatColumns="0" selectLockedCells="1"/>
  <mergeCells count="156">
    <mergeCell ref="A47:C47"/>
    <mergeCell ref="O43:P43"/>
    <mergeCell ref="M44:N44"/>
    <mergeCell ref="O44:P44"/>
    <mergeCell ref="B45:J45"/>
    <mergeCell ref="K45:L45"/>
    <mergeCell ref="B40:J40"/>
    <mergeCell ref="K40:L40"/>
    <mergeCell ref="B42:H43"/>
    <mergeCell ref="I42:J42"/>
    <mergeCell ref="K42:L42"/>
    <mergeCell ref="M42:P42"/>
    <mergeCell ref="I43:J43"/>
    <mergeCell ref="K43:L43"/>
    <mergeCell ref="M43:N43"/>
    <mergeCell ref="N47:P47"/>
    <mergeCell ref="I47:M47"/>
    <mergeCell ref="D47:H47"/>
    <mergeCell ref="N40:O40"/>
    <mergeCell ref="N45:O45"/>
    <mergeCell ref="B38:J38"/>
    <mergeCell ref="K38:L38"/>
    <mergeCell ref="M38:N38"/>
    <mergeCell ref="M39:N39"/>
    <mergeCell ref="O39:P39"/>
    <mergeCell ref="B35:J35"/>
    <mergeCell ref="K35:L35"/>
    <mergeCell ref="M35:N35"/>
    <mergeCell ref="O35:P38"/>
    <mergeCell ref="B36:J36"/>
    <mergeCell ref="K36:L36"/>
    <mergeCell ref="M36:N36"/>
    <mergeCell ref="B37:J37"/>
    <mergeCell ref="K37:L37"/>
    <mergeCell ref="M37:N37"/>
    <mergeCell ref="B33:G33"/>
    <mergeCell ref="H33:N33"/>
    <mergeCell ref="O33:P33"/>
    <mergeCell ref="B34:G34"/>
    <mergeCell ref="H34:J34"/>
    <mergeCell ref="K34:L34"/>
    <mergeCell ref="M34:N34"/>
    <mergeCell ref="O34:P34"/>
    <mergeCell ref="B31:G31"/>
    <mergeCell ref="H31:J31"/>
    <mergeCell ref="K31:L31"/>
    <mergeCell ref="M31:N31"/>
    <mergeCell ref="O31:P31"/>
    <mergeCell ref="B32:G32"/>
    <mergeCell ref="H32:J32"/>
    <mergeCell ref="K32:L32"/>
    <mergeCell ref="M32:N32"/>
    <mergeCell ref="O32:P32"/>
    <mergeCell ref="B28:G28"/>
    <mergeCell ref="H28:M28"/>
    <mergeCell ref="O28:P28"/>
    <mergeCell ref="B29:N29"/>
    <mergeCell ref="O29:P29"/>
    <mergeCell ref="B30:G30"/>
    <mergeCell ref="H30:J30"/>
    <mergeCell ref="K30:L30"/>
    <mergeCell ref="M30:N30"/>
    <mergeCell ref="O30:P30"/>
    <mergeCell ref="B26:G26"/>
    <mergeCell ref="H26:J26"/>
    <mergeCell ref="K26:L26"/>
    <mergeCell ref="M26:N26"/>
    <mergeCell ref="O26:P26"/>
    <mergeCell ref="B27:N27"/>
    <mergeCell ref="O27:P27"/>
    <mergeCell ref="B24:G24"/>
    <mergeCell ref="H24:J24"/>
    <mergeCell ref="K24:L24"/>
    <mergeCell ref="M24:N24"/>
    <mergeCell ref="O24:P24"/>
    <mergeCell ref="B25:G25"/>
    <mergeCell ref="H25:J25"/>
    <mergeCell ref="K25:L25"/>
    <mergeCell ref="M25:N25"/>
    <mergeCell ref="O25:P25"/>
    <mergeCell ref="O22:P22"/>
    <mergeCell ref="B23:G23"/>
    <mergeCell ref="H23:M23"/>
    <mergeCell ref="O23:P23"/>
    <mergeCell ref="I19:J19"/>
    <mergeCell ref="K19:O19"/>
    <mergeCell ref="B20:L20"/>
    <mergeCell ref="M20:N20"/>
    <mergeCell ref="O20:P20"/>
    <mergeCell ref="H21:N21"/>
    <mergeCell ref="O21:P21"/>
    <mergeCell ref="B22:G22"/>
    <mergeCell ref="H22:J22"/>
    <mergeCell ref="K22:L22"/>
    <mergeCell ref="M22:N22"/>
    <mergeCell ref="B18:E18"/>
    <mergeCell ref="F18:G18"/>
    <mergeCell ref="I18:J18"/>
    <mergeCell ref="K18:N18"/>
    <mergeCell ref="B15:E15"/>
    <mergeCell ref="F15:G15"/>
    <mergeCell ref="I15:J15"/>
    <mergeCell ref="K15:N15"/>
    <mergeCell ref="B16:E16"/>
    <mergeCell ref="F16:G16"/>
    <mergeCell ref="I16:J16"/>
    <mergeCell ref="K16:N16"/>
    <mergeCell ref="B17:E17"/>
    <mergeCell ref="F17:G17"/>
    <mergeCell ref="I17:J17"/>
    <mergeCell ref="K17:N17"/>
    <mergeCell ref="B1:E1"/>
    <mergeCell ref="G1:P1"/>
    <mergeCell ref="B9:E9"/>
    <mergeCell ref="F9:G9"/>
    <mergeCell ref="I9:J9"/>
    <mergeCell ref="K9:O9"/>
    <mergeCell ref="B10:E10"/>
    <mergeCell ref="F10:G10"/>
    <mergeCell ref="I10:J10"/>
    <mergeCell ref="K10:N10"/>
    <mergeCell ref="B7:E7"/>
    <mergeCell ref="K7:P7"/>
    <mergeCell ref="B8:L8"/>
    <mergeCell ref="M8:N8"/>
    <mergeCell ref="O8:P8"/>
    <mergeCell ref="A2:A8"/>
    <mergeCell ref="B2:E3"/>
    <mergeCell ref="F2:J3"/>
    <mergeCell ref="K2:P2"/>
    <mergeCell ref="K3:P3"/>
    <mergeCell ref="C4:E4"/>
    <mergeCell ref="G4:J4"/>
    <mergeCell ref="K4:P4"/>
    <mergeCell ref="K5:P5"/>
    <mergeCell ref="K6:L6"/>
    <mergeCell ref="M6:P6"/>
    <mergeCell ref="B6:E6"/>
    <mergeCell ref="F5:J5"/>
    <mergeCell ref="B5:E5"/>
    <mergeCell ref="F6:J6"/>
    <mergeCell ref="F7:J7"/>
    <mergeCell ref="K12:N14"/>
    <mergeCell ref="B13:E13"/>
    <mergeCell ref="F13:G13"/>
    <mergeCell ref="I13:J13"/>
    <mergeCell ref="B14:E14"/>
    <mergeCell ref="F14:G14"/>
    <mergeCell ref="I14:J14"/>
    <mergeCell ref="B11:E11"/>
    <mergeCell ref="F11:G11"/>
    <mergeCell ref="I11:J11"/>
    <mergeCell ref="K11:N11"/>
    <mergeCell ref="B12:E12"/>
    <mergeCell ref="F12:G12"/>
    <mergeCell ref="I12:J12"/>
  </mergeCells>
  <conditionalFormatting sqref="B5">
    <cfRule type="expression" dxfId="35" priority="18">
      <formula>$E$5="X"</formula>
    </cfRule>
  </conditionalFormatting>
  <conditionalFormatting sqref="B6">
    <cfRule type="expression" dxfId="34" priority="17">
      <formula>$E$6="X"</formula>
    </cfRule>
  </conditionalFormatting>
  <conditionalFormatting sqref="B11:J15">
    <cfRule type="expression" dxfId="33" priority="14">
      <formula>$B11=""</formula>
    </cfRule>
  </conditionalFormatting>
  <conditionalFormatting sqref="B36:J38">
    <cfRule type="expression" dxfId="32" priority="13">
      <formula>$B36=0</formula>
    </cfRule>
  </conditionalFormatting>
  <conditionalFormatting sqref="F5">
    <cfRule type="expression" dxfId="31" priority="20">
      <formula>$J$5="X"</formula>
    </cfRule>
  </conditionalFormatting>
  <conditionalFormatting sqref="F6">
    <cfRule type="expression" dxfId="30" priority="19">
      <formula>$J$6="X"</formula>
    </cfRule>
  </conditionalFormatting>
  <conditionalFormatting sqref="H19">
    <cfRule type="expression" dxfId="29" priority="4">
      <formula>$B19=0</formula>
    </cfRule>
  </conditionalFormatting>
  <conditionalFormatting sqref="I19:J19 O21:P21 D47:H47">
    <cfRule type="expression" dxfId="27" priority="11">
      <formula>_OK?&lt;&gt;"OK!"</formula>
    </cfRule>
  </conditionalFormatting>
  <conditionalFormatting sqref="K12 O12:O13">
    <cfRule type="uniqueValues" dxfId="26" priority="3"/>
  </conditionalFormatting>
  <conditionalFormatting sqref="K11:N11">
    <cfRule type="expression" dxfId="23" priority="1">
      <formula>$B$11=""</formula>
    </cfRule>
  </conditionalFormatting>
  <conditionalFormatting sqref="M40 K3:P5">
    <cfRule type="expression" dxfId="22" priority="16">
      <formula>OR(_OK?&lt;&gt;"OK!",_OK_KV?&lt;&gt;"OK_KV!")</formula>
    </cfRule>
  </conditionalFormatting>
  <conditionalFormatting sqref="M45">
    <cfRule type="expression" dxfId="21" priority="6">
      <formula>OR(_OK?&lt;&gt;"OK!",_OK_KV?&lt;&gt;"OK_KV!")</formula>
    </cfRule>
  </conditionalFormatting>
  <conditionalFormatting sqref="M40:N40 P40">
    <cfRule type="expression" dxfId="20" priority="10">
      <formula>_OK?&lt;&gt;"OK!"</formula>
    </cfRule>
  </conditionalFormatting>
  <conditionalFormatting sqref="M45:N45 P45">
    <cfRule type="expression" dxfId="19" priority="5">
      <formula>_OK?&lt;&gt;"OK!"</formula>
    </cfRule>
  </conditionalFormatting>
  <conditionalFormatting sqref="O11">
    <cfRule type="uniqueValues" dxfId="18" priority="2"/>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9" id="{4571985E-5172-4F75-A867-A57A1F8B91F5}">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8" id="{E1A39514-FE1F-45B2-BEEE-B9A5B9799382}">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7" id="{89D7CC42-3C00-40F0-886F-B9716C193738}">
            <xm:f>KALKULATION!$F$351="Nein"</xm:f>
            <x14:dxf>
              <font>
                <color theme="0"/>
              </font>
              <border>
                <left style="thin">
                  <color theme="0"/>
                </left>
                <vertical/>
                <horizontal/>
              </border>
            </x14:dxf>
          </x14:cfRule>
          <xm:sqref>K35:L38</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0D934-F81A-48B4-8FF0-BA2DC141C759}">
  <sheetPr codeName="Tabelle15">
    <tabColor theme="5" tint="0.59999389629810485"/>
  </sheetPr>
  <dimension ref="A1:S48"/>
  <sheetViews>
    <sheetView showGridLines="0" topLeftCell="A25" zoomScaleNormal="100" workbookViewId="0">
      <selection activeCell="I47" sqref="I47:M47"/>
    </sheetView>
  </sheetViews>
  <sheetFormatPr baseColWidth="10" defaultRowHeight="15" x14ac:dyDescent="0.2"/>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5546875" customWidth="1"/>
  </cols>
  <sheetData>
    <row r="1" spans="1:18" ht="18.75" x14ac:dyDescent="0.3">
      <c r="A1" s="31" t="s">
        <v>21</v>
      </c>
      <c r="B1" s="3509" t="s">
        <v>22</v>
      </c>
      <c r="C1" s="3509"/>
      <c r="D1" s="3509"/>
      <c r="E1" s="3510"/>
      <c r="F1" s="424" t="s">
        <v>187</v>
      </c>
      <c r="G1" s="3605" t="str">
        <f>' K3 PP'!G1:P1</f>
        <v xml:space="preserve">Musterprojekt Baugewerbe </v>
      </c>
      <c r="H1" s="3605"/>
      <c r="I1" s="3605"/>
      <c r="J1" s="3605"/>
      <c r="K1" s="3605"/>
      <c r="L1" s="3605"/>
      <c r="M1" s="3605"/>
      <c r="N1" s="3605"/>
      <c r="O1" s="3605"/>
      <c r="P1" s="3606"/>
      <c r="R1" s="815"/>
    </row>
    <row r="2" spans="1:18" x14ac:dyDescent="0.2">
      <c r="A2" s="3600"/>
      <c r="B2" s="3402" t="s">
        <v>57</v>
      </c>
      <c r="C2" s="3403"/>
      <c r="D2" s="3403"/>
      <c r="E2" s="3403"/>
      <c r="F2" s="3601" t="str">
        <f>IF(KALKULATION!D764="","Regiepartiepersonalpreis",KALKULATION!D764)</f>
        <v>Regiepartie02</v>
      </c>
      <c r="G2" s="3601"/>
      <c r="H2" s="3601"/>
      <c r="I2" s="3601"/>
      <c r="J2" s="3602"/>
      <c r="K2" s="3374" t="s">
        <v>24</v>
      </c>
      <c r="L2" s="3375"/>
      <c r="M2" s="3375"/>
      <c r="N2" s="3375"/>
      <c r="O2" s="3375"/>
      <c r="P2" s="3389"/>
      <c r="R2" s="815"/>
    </row>
    <row r="3" spans="1:18" x14ac:dyDescent="0.2">
      <c r="A3" s="3600"/>
      <c r="B3" s="3264"/>
      <c r="C3" s="3265"/>
      <c r="D3" s="3265"/>
      <c r="E3" s="3265"/>
      <c r="F3" s="3603"/>
      <c r="G3" s="3603"/>
      <c r="H3" s="3603"/>
      <c r="I3" s="3603"/>
      <c r="J3" s="3604"/>
      <c r="K3" s="3380" t="str">
        <f ca="1">' K3 PP'!K3</f>
        <v>Nur als Testversion nutzbar!</v>
      </c>
      <c r="L3" s="3381"/>
      <c r="M3" s="3381"/>
      <c r="N3" s="3381"/>
      <c r="O3" s="3381"/>
      <c r="P3" s="3384"/>
      <c r="R3" s="815"/>
    </row>
    <row r="4" spans="1:18" x14ac:dyDescent="0.2">
      <c r="A4" s="3600"/>
      <c r="B4" s="77" t="s">
        <v>155</v>
      </c>
      <c r="C4" s="3610" t="str">
        <f>' K3 PP'!C4:E4</f>
        <v>Meine GZ</v>
      </c>
      <c r="D4" s="3610"/>
      <c r="E4" s="3611"/>
      <c r="F4" s="77" t="s">
        <v>156</v>
      </c>
      <c r="G4" s="3612" t="str">
        <f>' K3 PP'!G4:J4</f>
        <v>Seine GZ</v>
      </c>
      <c r="H4" s="3612"/>
      <c r="I4" s="3612"/>
      <c r="J4" s="3613"/>
      <c r="K4" s="3414" t="str">
        <f ca="1">' K3 PP'!K4:P4</f>
        <v>Nur als Testversion nutzbar!</v>
      </c>
      <c r="L4" s="3415"/>
      <c r="M4" s="3415"/>
      <c r="N4" s="3415"/>
      <c r="O4" s="3415"/>
      <c r="P4" s="3416"/>
      <c r="R4" s="815"/>
    </row>
    <row r="5" spans="1:18" x14ac:dyDescent="0.2">
      <c r="A5" s="3600"/>
      <c r="B5" s="3523" t="s">
        <v>621</v>
      </c>
      <c r="C5" s="3379"/>
      <c r="D5" s="3379"/>
      <c r="E5" s="3524"/>
      <c r="F5" s="3477" t="s">
        <v>622</v>
      </c>
      <c r="G5" s="3417"/>
      <c r="H5" s="3417"/>
      <c r="I5" s="3417"/>
      <c r="J5" s="3478"/>
      <c r="K5" s="3414" t="str">
        <f ca="1">' K3 PP'!K5</f>
        <v>Nur als Testversion nutzbar!</v>
      </c>
      <c r="L5" s="3415"/>
      <c r="M5" s="3415"/>
      <c r="N5" s="3415"/>
      <c r="O5" s="3415"/>
      <c r="P5" s="3416"/>
      <c r="R5" s="815"/>
    </row>
    <row r="6" spans="1:18" x14ac:dyDescent="0.2">
      <c r="A6" s="3600"/>
      <c r="B6" s="3525" t="str">
        <f>KALKULATION!C28</f>
        <v>Lohn</v>
      </c>
      <c r="C6" s="3526"/>
      <c r="D6" s="3526"/>
      <c r="E6" s="3527"/>
      <c r="F6" s="3594" t="str">
        <f>KALKULATION!C29</f>
        <v>Montage</v>
      </c>
      <c r="G6" s="3595"/>
      <c r="H6" s="3595"/>
      <c r="I6" s="3595"/>
      <c r="J6" s="3596"/>
      <c r="K6" s="3417" t="s">
        <v>1</v>
      </c>
      <c r="L6" s="3417"/>
      <c r="M6" s="3589">
        <f>' K3 PP'!M6</f>
        <v>46143</v>
      </c>
      <c r="N6" s="3589"/>
      <c r="O6" s="3589"/>
      <c r="P6" s="3590"/>
      <c r="R6" s="815"/>
    </row>
    <row r="7" spans="1:18" x14ac:dyDescent="0.2">
      <c r="A7" s="3600"/>
      <c r="B7" s="2726" t="s">
        <v>126</v>
      </c>
      <c r="C7" s="3440"/>
      <c r="D7" s="3440"/>
      <c r="E7" s="3440"/>
      <c r="F7" s="3597" t="str">
        <f>IF(OR(COUNTA(KALKULATION!A769:C773)&gt;1),"FÜR REGIEPARTIE","FÜR REGIE")</f>
        <v>FÜR REGIEPARTIE</v>
      </c>
      <c r="G7" s="3598"/>
      <c r="H7" s="3598"/>
      <c r="I7" s="3598"/>
      <c r="J7" s="3599"/>
      <c r="K7" s="3412" t="s">
        <v>140</v>
      </c>
      <c r="L7" s="3412"/>
      <c r="M7" s="3412"/>
      <c r="N7" s="3412"/>
      <c r="O7" s="3412"/>
      <c r="P7" s="3413"/>
      <c r="R7" s="815"/>
    </row>
    <row r="8" spans="1:18" ht="15.75" thickBot="1" x14ac:dyDescent="0.25">
      <c r="A8" s="3600"/>
      <c r="B8" s="3591" t="str">
        <f ca="1">Stammdaten!B3</f>
        <v>KollV f Bauindustrie und Baugewerbe (Arbeiter)</v>
      </c>
      <c r="C8" s="3592"/>
      <c r="D8" s="3592"/>
      <c r="E8" s="3592"/>
      <c r="F8" s="3592"/>
      <c r="G8" s="3592"/>
      <c r="H8" s="3592"/>
      <c r="I8" s="3592"/>
      <c r="J8" s="3592"/>
      <c r="K8" s="3592"/>
      <c r="L8" s="3593"/>
      <c r="M8" s="3390" t="s">
        <v>26</v>
      </c>
      <c r="N8" s="3391"/>
      <c r="O8" s="3587">
        <f ca="1">Stammdaten!B4</f>
        <v>46143</v>
      </c>
      <c r="P8" s="3588"/>
      <c r="R8" s="815"/>
    </row>
    <row r="9" spans="1:18" x14ac:dyDescent="0.2">
      <c r="A9" s="79">
        <v>1</v>
      </c>
      <c r="B9" s="3421" t="s">
        <v>106</v>
      </c>
      <c r="C9" s="3422"/>
      <c r="D9" s="3422"/>
      <c r="E9" s="3423"/>
      <c r="F9" s="3457" t="s">
        <v>107</v>
      </c>
      <c r="G9" s="3649"/>
      <c r="H9" s="78" t="str">
        <f>IF(KALKULATION!H767="Ø","Anteil","Anzahl")</f>
        <v>Anteil</v>
      </c>
      <c r="I9" s="3511" t="s">
        <v>257</v>
      </c>
      <c r="J9" s="3512"/>
      <c r="K9" s="3422" t="s">
        <v>108</v>
      </c>
      <c r="L9" s="3422"/>
      <c r="M9" s="3422"/>
      <c r="N9" s="3422"/>
      <c r="O9" s="3422"/>
      <c r="P9" s="28">
        <f ca="1">KALKULATION!C87</f>
        <v>39</v>
      </c>
      <c r="R9" s="815"/>
    </row>
    <row r="10" spans="1:18" x14ac:dyDescent="0.2">
      <c r="A10" s="43" t="s">
        <v>29</v>
      </c>
      <c r="B10" s="3572"/>
      <c r="C10" s="3572"/>
      <c r="D10" s="3572"/>
      <c r="E10" s="3572"/>
      <c r="F10" s="3575"/>
      <c r="G10" s="3576"/>
      <c r="H10" s="200"/>
      <c r="I10" s="3575"/>
      <c r="J10" s="3576"/>
      <c r="K10" s="3583" t="s">
        <v>141</v>
      </c>
      <c r="L10" s="3583"/>
      <c r="M10" s="3583"/>
      <c r="N10" s="3584"/>
      <c r="O10" s="29" t="s">
        <v>30</v>
      </c>
      <c r="P10" s="6" t="s">
        <v>18</v>
      </c>
      <c r="R10" s="815"/>
    </row>
    <row r="11" spans="1:18" ht="15.75" x14ac:dyDescent="0.25">
      <c r="A11" s="43" t="s">
        <v>31</v>
      </c>
      <c r="B11" s="3643" t="str">
        <f>IF(KALKULATION!A769=0,"",(KALKULATION!A769))</f>
        <v>IIa.    Vorarbeiter</v>
      </c>
      <c r="C11" s="3643"/>
      <c r="D11" s="3643"/>
      <c r="E11" s="3643"/>
      <c r="F11" s="3547">
        <f ca="1">IFERROR((VLOOKUP(B11,Stammdaten!A$7:D$33,4,FALSE)),"")</f>
        <v>21.96</v>
      </c>
      <c r="G11" s="3548"/>
      <c r="H11" s="381" t="str">
        <f ca="1">IF(F11="","",IF(KALKULATION!H$767="Ø",TEXT(KALKULATION!F769,"0,00%"),TEXT(KALKULATION!E769,"0,0")))</f>
        <v>15,00%</v>
      </c>
      <c r="I11" s="3547">
        <f ca="1">IFERROR(IF(OR(F11*H11=0,B11=""),"",F11*H11),"")</f>
        <v>3.29</v>
      </c>
      <c r="J11" s="3548"/>
      <c r="K11" s="3614" t="str">
        <f>IF(B11="","1b darf nicht leer sein!!!",KALKULATION!N800)</f>
        <v>Regiestunde</v>
      </c>
      <c r="L11" s="3615"/>
      <c r="M11" s="3615"/>
      <c r="N11" s="3615"/>
      <c r="O11" s="1034" t="str">
        <f>KALKULATION!P800</f>
        <v/>
      </c>
      <c r="P11" s="163">
        <v>1</v>
      </c>
      <c r="R11" s="816"/>
    </row>
    <row r="12" spans="1:18" x14ac:dyDescent="0.2">
      <c r="A12" s="43" t="s">
        <v>32</v>
      </c>
      <c r="B12" s="3643" t="str">
        <f>IF(KALKULATION!A770=0,"",(KALKULATION!A770))</f>
        <v>IIb.   Facharbeiter</v>
      </c>
      <c r="C12" s="3643"/>
      <c r="D12" s="3643"/>
      <c r="E12" s="3643"/>
      <c r="F12" s="3547">
        <f ca="1">IFERROR((VLOOKUP(B12,Stammdaten!A$7:D$33,4,FALSE)),"")</f>
        <v>19.989999999999998</v>
      </c>
      <c r="G12" s="3548"/>
      <c r="H12" s="381" t="str">
        <f ca="1">IF(F12="","",IF(KALKULATION!H$767="Ø",TEXT(KALKULATION!F770,"0,00%"),TEXT(KALKULATION!E770,"0,0")))</f>
        <v>35,00%</v>
      </c>
      <c r="I12" s="3547">
        <f t="shared" ref="I12:I15" ca="1" si="0">IFERROR(IF(OR(F12*H12=0,B12=""),"",F12*H12),"")</f>
        <v>7</v>
      </c>
      <c r="J12" s="3548"/>
      <c r="K12" s="3577" t="str">
        <f>IF(AND(_Anzeige_Prozent=_Ja,KALKULATION!N804&lt;&gt;""),"Erfasst sind Verr.std. für: "&amp;KALKULATION!O804,"")</f>
        <v/>
      </c>
      <c r="L12" s="3578"/>
      <c r="M12" s="3578"/>
      <c r="N12" s="3579"/>
      <c r="O12" s="556"/>
      <c r="P12" s="164"/>
      <c r="R12" s="815"/>
    </row>
    <row r="13" spans="1:18" x14ac:dyDescent="0.2">
      <c r="A13" s="43" t="s">
        <v>33</v>
      </c>
      <c r="B13" s="3643" t="str">
        <f>IF(KALKULATION!A771=0,"",(KALKULATION!A771))</f>
        <v>IIIb.  Angelernter Bauarbeiter</v>
      </c>
      <c r="C13" s="3643"/>
      <c r="D13" s="3643"/>
      <c r="E13" s="3643"/>
      <c r="F13" s="3547">
        <f ca="1">IFERROR((VLOOKUP(B13,Stammdaten!A$7:D$33,4,FALSE)),"")</f>
        <v>19.53</v>
      </c>
      <c r="G13" s="3548"/>
      <c r="H13" s="381" t="str">
        <f ca="1">IF(F13="","",IF(KALKULATION!H$767="Ø",TEXT(KALKULATION!F771,"0,00%"),TEXT(KALKULATION!E771,"0,0")))</f>
        <v>20,00%</v>
      </c>
      <c r="I13" s="3547">
        <f t="shared" ca="1" si="0"/>
        <v>3.91</v>
      </c>
      <c r="J13" s="3548"/>
      <c r="K13" s="3577"/>
      <c r="L13" s="3578"/>
      <c r="M13" s="3578"/>
      <c r="N13" s="3579"/>
      <c r="O13" s="556"/>
      <c r="P13" s="35"/>
      <c r="R13" s="815"/>
    </row>
    <row r="14" spans="1:18" x14ac:dyDescent="0.2">
      <c r="A14" s="43" t="s">
        <v>34</v>
      </c>
      <c r="B14" s="3643" t="str">
        <f>IF(KALKULATION!A772=0,"",(KALKULATION!A772))</f>
        <v>IV.   Bauhilfsarbeiter</v>
      </c>
      <c r="C14" s="3643"/>
      <c r="D14" s="3643"/>
      <c r="E14" s="3643"/>
      <c r="F14" s="3547">
        <f ca="1">IFERROR((VLOOKUP(B14,Stammdaten!A$7:D$33,4,FALSE)),"")</f>
        <v>17.03</v>
      </c>
      <c r="G14" s="3548"/>
      <c r="H14" s="381" t="str">
        <f ca="1">IF(F14="","",IF(KALKULATION!H$767="Ø",TEXT(KALKULATION!F772,"0,00%"),TEXT(KALKULATION!E772,"0,0")))</f>
        <v>30,00%</v>
      </c>
      <c r="I14" s="3547">
        <f t="shared" ca="1" si="0"/>
        <v>5.1100000000000003</v>
      </c>
      <c r="J14" s="3548"/>
      <c r="K14" s="3577"/>
      <c r="L14" s="3578"/>
      <c r="M14" s="3578"/>
      <c r="N14" s="3579"/>
      <c r="O14" s="34"/>
      <c r="P14" s="35"/>
      <c r="R14" s="815"/>
    </row>
    <row r="15" spans="1:18" x14ac:dyDescent="0.2">
      <c r="A15" s="43" t="s">
        <v>35</v>
      </c>
      <c r="B15" s="3643" t="str">
        <f>IF(KALKULATION!A773=0,"",(KALKULATION!A773))</f>
        <v/>
      </c>
      <c r="C15" s="3643"/>
      <c r="D15" s="3643"/>
      <c r="E15" s="3643"/>
      <c r="F15" s="3547" t="str">
        <f ca="1">IFERROR((VLOOKUP(B15,Stammdaten!A$7:D$33,4,FALSE)),"")</f>
        <v/>
      </c>
      <c r="G15" s="3548"/>
      <c r="H15" s="381" t="str">
        <f ca="1">IF(F15="","",IF(KALKULATION!H$767="Ø",TEXT(KALKULATION!F773,"0,00%"),TEXT(KALKULATION!E773,"0,0")))</f>
        <v/>
      </c>
      <c r="I15" s="3547" t="str">
        <f t="shared" ca="1" si="0"/>
        <v/>
      </c>
      <c r="J15" s="3548"/>
      <c r="K15" s="3572"/>
      <c r="L15" s="3572"/>
      <c r="M15" s="3572"/>
      <c r="N15" s="3573"/>
      <c r="O15" s="34"/>
      <c r="P15" s="35"/>
      <c r="R15" s="815"/>
    </row>
    <row r="16" spans="1:18" x14ac:dyDescent="0.2">
      <c r="A16" s="43" t="s">
        <v>36</v>
      </c>
      <c r="B16" s="3572"/>
      <c r="C16" s="3572"/>
      <c r="D16" s="3572"/>
      <c r="E16" s="3572"/>
      <c r="F16" s="3575"/>
      <c r="G16" s="3576"/>
      <c r="H16" s="200"/>
      <c r="I16" s="3575"/>
      <c r="J16" s="3576"/>
      <c r="K16" s="3616"/>
      <c r="L16" s="3616"/>
      <c r="M16" s="3616"/>
      <c r="N16" s="3617"/>
      <c r="O16" s="36"/>
      <c r="P16" s="37"/>
      <c r="R16" s="815"/>
    </row>
    <row r="17" spans="1:18" x14ac:dyDescent="0.2">
      <c r="A17" s="43" t="s">
        <v>37</v>
      </c>
      <c r="B17" s="3572"/>
      <c r="C17" s="3572"/>
      <c r="D17" s="3572"/>
      <c r="E17" s="3572"/>
      <c r="F17" s="3575"/>
      <c r="G17" s="3576"/>
      <c r="H17" s="200"/>
      <c r="I17" s="3575"/>
      <c r="J17" s="3576"/>
      <c r="K17" s="3616"/>
      <c r="L17" s="3616"/>
      <c r="M17" s="3616"/>
      <c r="N17" s="3617"/>
      <c r="O17" s="36"/>
      <c r="P17" s="37"/>
      <c r="R17" s="815"/>
    </row>
    <row r="18" spans="1:18" ht="15.75" thickBot="1" x14ac:dyDescent="0.25">
      <c r="A18" s="43" t="s">
        <v>38</v>
      </c>
      <c r="B18" s="3565"/>
      <c r="C18" s="3566"/>
      <c r="D18" s="3566"/>
      <c r="E18" s="3566"/>
      <c r="F18" s="3569"/>
      <c r="G18" s="3570"/>
      <c r="H18" s="201"/>
      <c r="I18" s="3569"/>
      <c r="J18" s="3570"/>
      <c r="K18" s="3618"/>
      <c r="L18" s="3618"/>
      <c r="M18" s="3618"/>
      <c r="N18" s="3619"/>
      <c r="O18" s="39"/>
      <c r="P18" s="40"/>
      <c r="R18" s="815"/>
    </row>
    <row r="19" spans="1:18" x14ac:dyDescent="0.2">
      <c r="A19" s="43">
        <v>2</v>
      </c>
      <c r="B19" s="1169" t="s">
        <v>258</v>
      </c>
      <c r="C19" s="1170"/>
      <c r="D19" s="1171"/>
      <c r="E19" s="1171"/>
      <c r="F19" s="1171"/>
      <c r="G19" s="1171"/>
      <c r="H19" s="1172" t="str">
        <f>IF(KALKULATION!H$767="Ø",TEXT(KALKULATION!F774,"0%"),TEXT(KALKULATION!E774,"0,0"))</f>
        <v>100%</v>
      </c>
      <c r="I19" s="3376">
        <f ca="1">IF(AND(_OK?="OK!",_OK_KV?="OK_KV!"),SUM(I10:J18),KALKULATION!G774)</f>
        <v>20</v>
      </c>
      <c r="J19" s="3377"/>
      <c r="K19" s="3626" t="s">
        <v>143</v>
      </c>
      <c r="L19" s="3626"/>
      <c r="M19" s="3626"/>
      <c r="N19" s="3626"/>
      <c r="O19" s="3626"/>
      <c r="P19" s="1173">
        <v>1</v>
      </c>
      <c r="R19" s="815"/>
    </row>
    <row r="20" spans="1:18" x14ac:dyDescent="0.2">
      <c r="A20" s="43"/>
      <c r="B20" s="3440"/>
      <c r="C20" s="3440"/>
      <c r="D20" s="3440"/>
      <c r="E20" s="3440"/>
      <c r="F20" s="3440"/>
      <c r="G20" s="3440"/>
      <c r="H20" s="3440"/>
      <c r="I20" s="3440"/>
      <c r="J20" s="3440"/>
      <c r="K20" s="3440"/>
      <c r="L20" s="2727"/>
      <c r="M20" s="3433" t="s">
        <v>6</v>
      </c>
      <c r="N20" s="3434"/>
      <c r="O20" s="3435" t="s">
        <v>7</v>
      </c>
      <c r="P20" s="3434"/>
      <c r="R20" s="815"/>
    </row>
    <row r="21" spans="1:18" x14ac:dyDescent="0.2">
      <c r="A21" s="43">
        <v>3</v>
      </c>
      <c r="B21" s="144" t="s">
        <v>39</v>
      </c>
      <c r="C21" s="145"/>
      <c r="D21" s="145"/>
      <c r="E21" s="145"/>
      <c r="F21" s="145"/>
      <c r="G21" s="145"/>
      <c r="H21" s="3563"/>
      <c r="I21" s="3563"/>
      <c r="J21" s="3563"/>
      <c r="K21" s="3563"/>
      <c r="L21" s="3563"/>
      <c r="M21" s="3563"/>
      <c r="N21" s="3564"/>
      <c r="O21" s="3627">
        <f ca="1">I19/H19</f>
        <v>20</v>
      </c>
      <c r="P21" s="3628"/>
      <c r="R21" s="815"/>
    </row>
    <row r="22" spans="1:18" ht="15.75" thickBot="1" x14ac:dyDescent="0.25">
      <c r="A22" s="43">
        <v>4</v>
      </c>
      <c r="B22" s="3442" t="s">
        <v>40</v>
      </c>
      <c r="C22" s="3443"/>
      <c r="D22" s="3443"/>
      <c r="E22" s="3443"/>
      <c r="F22" s="3443"/>
      <c r="G22" s="3443"/>
      <c r="H22" s="3450" t="s">
        <v>41</v>
      </c>
      <c r="I22" s="3450"/>
      <c r="J22" s="3451"/>
      <c r="K22" s="3620">
        <f ca="1">KALKULATION!G786</f>
        <v>0</v>
      </c>
      <c r="L22" s="3621"/>
      <c r="M22" s="3444"/>
      <c r="N22" s="3445"/>
      <c r="O22" s="3622">
        <f ca="1">K22*O21</f>
        <v>0</v>
      </c>
      <c r="P22" s="3623"/>
      <c r="R22" s="815"/>
    </row>
    <row r="23" spans="1:18" x14ac:dyDescent="0.2">
      <c r="A23" s="43">
        <v>5</v>
      </c>
      <c r="B23" s="3459" t="s">
        <v>142</v>
      </c>
      <c r="C23" s="3460"/>
      <c r="D23" s="3460"/>
      <c r="E23" s="3460"/>
      <c r="F23" s="3460"/>
      <c r="G23" s="3460"/>
      <c r="H23" s="3531" t="s">
        <v>180</v>
      </c>
      <c r="I23" s="3453"/>
      <c r="J23" s="3453"/>
      <c r="K23" s="3453"/>
      <c r="L23" s="3453"/>
      <c r="M23" s="3453"/>
      <c r="N23" s="147"/>
      <c r="O23" s="3624">
        <f ca="1">SUM(O21:O22)</f>
        <v>20</v>
      </c>
      <c r="P23" s="3625"/>
      <c r="R23" s="815"/>
    </row>
    <row r="24" spans="1:18" x14ac:dyDescent="0.2">
      <c r="A24" s="43">
        <v>6</v>
      </c>
      <c r="B24" s="3375" t="s">
        <v>109</v>
      </c>
      <c r="C24" s="3375"/>
      <c r="D24" s="3375"/>
      <c r="E24" s="3375"/>
      <c r="F24" s="3375"/>
      <c r="G24" s="3375"/>
      <c r="H24" s="3455" t="s">
        <v>87</v>
      </c>
      <c r="I24" s="3455"/>
      <c r="J24" s="3456"/>
      <c r="K24" s="3495">
        <f ca="1">KALKULATION!H786</f>
        <v>0.14499999999999999</v>
      </c>
      <c r="L24" s="3496"/>
      <c r="M24" s="3457"/>
      <c r="N24" s="3458"/>
      <c r="O24" s="3547">
        <f ca="1">K24*O23</f>
        <v>2.9</v>
      </c>
      <c r="P24" s="3548"/>
      <c r="R24" s="815"/>
    </row>
    <row r="25" spans="1:18" x14ac:dyDescent="0.2">
      <c r="A25" s="43">
        <v>7</v>
      </c>
      <c r="B25" s="3375" t="s">
        <v>136</v>
      </c>
      <c r="C25" s="3375"/>
      <c r="D25" s="3375"/>
      <c r="E25" s="3375"/>
      <c r="F25" s="3375"/>
      <c r="G25" s="3375"/>
      <c r="H25" s="3455" t="s">
        <v>87</v>
      </c>
      <c r="I25" s="3455"/>
      <c r="J25" s="3456"/>
      <c r="K25" s="3629">
        <f>KALKULATION!H794</f>
        <v>0</v>
      </c>
      <c r="L25" s="3630"/>
      <c r="M25" s="3457"/>
      <c r="N25" s="3458"/>
      <c r="O25" s="3547">
        <f ca="1">K25*O23</f>
        <v>0</v>
      </c>
      <c r="P25" s="3548"/>
      <c r="R25" s="815"/>
    </row>
    <row r="26" spans="1:18" x14ac:dyDescent="0.2">
      <c r="A26" s="43">
        <v>8</v>
      </c>
      <c r="B26" s="3375" t="s">
        <v>67</v>
      </c>
      <c r="C26" s="3375"/>
      <c r="D26" s="3375"/>
      <c r="E26" s="3375"/>
      <c r="F26" s="3375"/>
      <c r="G26" s="3375"/>
      <c r="H26" s="3455" t="s">
        <v>87</v>
      </c>
      <c r="I26" s="3455"/>
      <c r="J26" s="3456"/>
      <c r="K26" s="3629">
        <f>KALKULATION!H806</f>
        <v>0</v>
      </c>
      <c r="L26" s="3630"/>
      <c r="M26" s="3457"/>
      <c r="N26" s="3458"/>
      <c r="O26" s="3547">
        <f ca="1">K26*O23</f>
        <v>0</v>
      </c>
      <c r="P26" s="3548"/>
      <c r="R26" s="815"/>
    </row>
    <row r="27" spans="1:18" ht="15.75" thickBot="1" x14ac:dyDescent="0.25">
      <c r="A27" s="43">
        <v>9</v>
      </c>
      <c r="B27" s="3447" t="s">
        <v>103</v>
      </c>
      <c r="C27" s="3448"/>
      <c r="D27" s="3448"/>
      <c r="E27" s="3448"/>
      <c r="F27" s="3448"/>
      <c r="G27" s="3448"/>
      <c r="H27" s="3448"/>
      <c r="I27" s="3448"/>
      <c r="J27" s="3448"/>
      <c r="K27" s="3448"/>
      <c r="L27" s="3448"/>
      <c r="M27" s="3448"/>
      <c r="N27" s="3449"/>
      <c r="O27" s="3551">
        <f ca="1">KALKULATION!H810</f>
        <v>1.4</v>
      </c>
      <c r="P27" s="3552"/>
      <c r="R27" s="815"/>
    </row>
    <row r="28" spans="1:18" x14ac:dyDescent="0.2">
      <c r="A28" s="43">
        <v>10</v>
      </c>
      <c r="B28" s="3459" t="s">
        <v>42</v>
      </c>
      <c r="C28" s="3460"/>
      <c r="D28" s="3460"/>
      <c r="E28" s="3460"/>
      <c r="F28" s="3460"/>
      <c r="G28" s="3460"/>
      <c r="H28" s="3531" t="s">
        <v>183</v>
      </c>
      <c r="I28" s="3453"/>
      <c r="J28" s="3453"/>
      <c r="K28" s="3453"/>
      <c r="L28" s="3453"/>
      <c r="M28" s="3453"/>
      <c r="N28" s="146"/>
      <c r="O28" s="3624">
        <f ca="1">SUM(O23:P27)</f>
        <v>24.3</v>
      </c>
      <c r="P28" s="3625"/>
      <c r="R28" s="815"/>
    </row>
    <row r="29" spans="1:18" x14ac:dyDescent="0.2">
      <c r="A29" s="43">
        <v>11</v>
      </c>
      <c r="B29" s="2280" t="s">
        <v>104</v>
      </c>
      <c r="C29" s="2280"/>
      <c r="D29" s="2280"/>
      <c r="E29" s="2280"/>
      <c r="F29" s="2280"/>
      <c r="G29" s="2280"/>
      <c r="H29" s="2280"/>
      <c r="I29" s="2280"/>
      <c r="J29" s="2280"/>
      <c r="K29" s="2280"/>
      <c r="L29" s="2280"/>
      <c r="M29" s="2280"/>
      <c r="N29" s="2280"/>
      <c r="O29" s="3547">
        <f ca="1">KALKULATION!H811</f>
        <v>1.6</v>
      </c>
      <c r="P29" s="3548"/>
      <c r="R29" s="815"/>
    </row>
    <row r="30" spans="1:18" x14ac:dyDescent="0.2">
      <c r="A30" s="43">
        <v>12</v>
      </c>
      <c r="B30" s="3375" t="s">
        <v>43</v>
      </c>
      <c r="C30" s="3375"/>
      <c r="D30" s="3375"/>
      <c r="E30" s="3375"/>
      <c r="F30" s="3375"/>
      <c r="G30" s="3375"/>
      <c r="H30" s="3455" t="s">
        <v>44</v>
      </c>
      <c r="I30" s="3455"/>
      <c r="J30" s="3456"/>
      <c r="K30" s="3629">
        <f ca="1">KALKULATION!H812</f>
        <v>0.28999999999999998</v>
      </c>
      <c r="L30" s="3630"/>
      <c r="M30" s="3457"/>
      <c r="N30" s="3458"/>
      <c r="O30" s="3547">
        <f ca="1">K30*O28</f>
        <v>7.05</v>
      </c>
      <c r="P30" s="3548"/>
      <c r="R30" s="815"/>
    </row>
    <row r="31" spans="1:18" x14ac:dyDescent="0.2">
      <c r="A31" s="43">
        <v>13</v>
      </c>
      <c r="B31" s="3375" t="s">
        <v>45</v>
      </c>
      <c r="C31" s="3375"/>
      <c r="D31" s="3375"/>
      <c r="E31" s="3375"/>
      <c r="F31" s="3375"/>
      <c r="G31" s="3375"/>
      <c r="H31" s="3455" t="s">
        <v>44</v>
      </c>
      <c r="I31" s="3455"/>
      <c r="J31" s="3456"/>
      <c r="K31" s="3629">
        <f ca="1">KALKULATION!H813</f>
        <v>0.77</v>
      </c>
      <c r="L31" s="3630"/>
      <c r="M31" s="3457"/>
      <c r="N31" s="3458"/>
      <c r="O31" s="3547">
        <f ca="1">K31*O28</f>
        <v>18.71</v>
      </c>
      <c r="P31" s="3548"/>
      <c r="R31" s="815"/>
    </row>
    <row r="32" spans="1:18" ht="15.75" thickBot="1" x14ac:dyDescent="0.25">
      <c r="A32" s="43">
        <v>14</v>
      </c>
      <c r="B32" s="3473" t="s">
        <v>46</v>
      </c>
      <c r="C32" s="3474"/>
      <c r="D32" s="3474"/>
      <c r="E32" s="3474"/>
      <c r="F32" s="3474"/>
      <c r="G32" s="3474"/>
      <c r="H32" s="3475" t="s">
        <v>44</v>
      </c>
      <c r="I32" s="3475"/>
      <c r="J32" s="3476"/>
      <c r="K32" s="3620">
        <f ca="1">O32/O28</f>
        <v>2.8999999999999998E-3</v>
      </c>
      <c r="L32" s="3621"/>
      <c r="M32" s="3497"/>
      <c r="N32" s="3498"/>
      <c r="O32" s="3551">
        <f ca="1">KALKULATION!H814</f>
        <v>7.0000000000000007E-2</v>
      </c>
      <c r="P32" s="3552"/>
      <c r="R32" s="815"/>
    </row>
    <row r="33" spans="1:19" x14ac:dyDescent="0.2">
      <c r="A33" s="43">
        <v>15</v>
      </c>
      <c r="B33" s="3459" t="s">
        <v>47</v>
      </c>
      <c r="C33" s="3460"/>
      <c r="D33" s="3460"/>
      <c r="E33" s="3460"/>
      <c r="F33" s="3460"/>
      <c r="G33" s="3460"/>
      <c r="H33" s="3531" t="s">
        <v>184</v>
      </c>
      <c r="I33" s="3453"/>
      <c r="J33" s="3453"/>
      <c r="K33" s="3453"/>
      <c r="L33" s="3453"/>
      <c r="M33" s="3453"/>
      <c r="N33" s="3453"/>
      <c r="O33" s="3624">
        <f ca="1">SUM(O28:P32)</f>
        <v>51.73</v>
      </c>
      <c r="P33" s="3625"/>
      <c r="R33" s="815"/>
    </row>
    <row r="34" spans="1:19" x14ac:dyDescent="0.2">
      <c r="A34" s="43">
        <v>16</v>
      </c>
      <c r="B34" s="2280" t="s">
        <v>48</v>
      </c>
      <c r="C34" s="2280"/>
      <c r="D34" s="2280"/>
      <c r="E34" s="2280"/>
      <c r="F34" s="2280"/>
      <c r="G34" s="2280"/>
      <c r="H34" s="3655" t="str">
        <f>IF(_Anzeige_Prozent=_Nein,"in % auf B15","in % auf B15 + in € = ∑")</f>
        <v>in % auf B15 + in € = ∑</v>
      </c>
      <c r="I34" s="3655"/>
      <c r="J34" s="3656"/>
      <c r="K34" s="3657">
        <f>IF(_Anzeige_Prozent=_Nein,KALKULATION!G815+KALKULATION!H815/O33,KALKULATION!G815)</f>
        <v>0.06</v>
      </c>
      <c r="L34" s="3658"/>
      <c r="M34" s="3659">
        <f ca="1">IF(_Anzeige_Prozent=_Nein,"",KALKULATION!H815)</f>
        <v>2.2599999999999998</v>
      </c>
      <c r="N34" s="3660"/>
      <c r="O34" s="3547">
        <f ca="1">SUM(KALKULATION!H815,KALKULATION!G815*O33)</f>
        <v>5.36</v>
      </c>
      <c r="P34" s="3548"/>
      <c r="R34" s="815"/>
    </row>
    <row r="35" spans="1:19" ht="24.4" customHeight="1" x14ac:dyDescent="0.2">
      <c r="A35" s="79">
        <v>17</v>
      </c>
      <c r="B35" s="3523" t="s">
        <v>89</v>
      </c>
      <c r="C35" s="3379"/>
      <c r="D35" s="3379"/>
      <c r="E35" s="3379"/>
      <c r="F35" s="3379"/>
      <c r="G35" s="3379"/>
      <c r="H35" s="3379"/>
      <c r="I35" s="3379"/>
      <c r="J35" s="3379"/>
      <c r="K35" s="3491" t="str">
        <f>IF(SUM(K36:L38)&lt;&gt;0,"Umlage in % (U%) auf B15","")</f>
        <v/>
      </c>
      <c r="L35" s="3492"/>
      <c r="M35" s="3491" t="str">
        <f>IF(SUM(K36:L38)&lt;&gt;0,"Umlage in €/Std (inkl % in €)","Umlage in €/Std)")</f>
        <v>Umlage in €/Std)</v>
      </c>
      <c r="N35" s="3492"/>
      <c r="O35" s="3661"/>
      <c r="P35" s="3540"/>
      <c r="R35" s="815"/>
    </row>
    <row r="36" spans="1:19" x14ac:dyDescent="0.2">
      <c r="A36" s="79" t="s">
        <v>49</v>
      </c>
      <c r="B36" s="3392" t="str">
        <f>IF(SUM(K$36:N$36)=0,"",KALKULATION!A818)</f>
        <v/>
      </c>
      <c r="C36" s="3393"/>
      <c r="D36" s="3393"/>
      <c r="E36" s="3393"/>
      <c r="F36" s="3393"/>
      <c r="G36" s="3393"/>
      <c r="H36" s="3393"/>
      <c r="I36" s="3393"/>
      <c r="J36" s="3446"/>
      <c r="K36" s="3545" t="str">
        <f>IF(KALKULATION!A818="","",IF(_Anzeige_Prozent=_Nein,"",KALKULATION!G818))</f>
        <v/>
      </c>
      <c r="L36" s="3546"/>
      <c r="M36" s="3547" t="str">
        <f>IF(KALKULATION!A818="","",SUM(KALKULATION!F818,KALKULATION!H818))</f>
        <v/>
      </c>
      <c r="N36" s="3548"/>
      <c r="O36" s="3541"/>
      <c r="P36" s="3542"/>
      <c r="R36" s="815"/>
    </row>
    <row r="37" spans="1:19" x14ac:dyDescent="0.2">
      <c r="A37" s="79" t="s">
        <v>50</v>
      </c>
      <c r="B37" s="3380" t="str">
        <f>IF(SUM(K$36:N$36)=0,"",KALKULATION!A819)</f>
        <v/>
      </c>
      <c r="C37" s="3381"/>
      <c r="D37" s="3381"/>
      <c r="E37" s="3381"/>
      <c r="F37" s="3381"/>
      <c r="G37" s="3381"/>
      <c r="H37" s="3381"/>
      <c r="I37" s="3381"/>
      <c r="J37" s="3384"/>
      <c r="K37" s="3545" t="str">
        <f>IF(KALKULATION!A819="","",IF(_Anzeige_Prozent=_Nein,"",KALKULATION!G819))</f>
        <v/>
      </c>
      <c r="L37" s="3546"/>
      <c r="M37" s="3547" t="str">
        <f>IF(KALKULATION!A819="","",SUM(KALKULATION!F819,KALKULATION!H819))</f>
        <v/>
      </c>
      <c r="N37" s="3548"/>
      <c r="O37" s="3541"/>
      <c r="P37" s="3542"/>
      <c r="R37" s="815"/>
    </row>
    <row r="38" spans="1:19" ht="15.75" thickBot="1" x14ac:dyDescent="0.25">
      <c r="A38" s="79" t="s">
        <v>51</v>
      </c>
      <c r="B38" s="3386" t="str">
        <f>IF(SUM(K$36:N$36)=0,"",KALKULATION!A820)</f>
        <v/>
      </c>
      <c r="C38" s="3387"/>
      <c r="D38" s="3387"/>
      <c r="E38" s="3387"/>
      <c r="F38" s="3387"/>
      <c r="G38" s="3387"/>
      <c r="H38" s="3387"/>
      <c r="I38" s="3387"/>
      <c r="J38" s="3388"/>
      <c r="K38" s="3549" t="str">
        <f>IF(KALKULATION!A820="","",IF(_Anzeige_Prozent=_Nein,"",KALKULATION!G820))</f>
        <v/>
      </c>
      <c r="L38" s="3550"/>
      <c r="M38" s="3551" t="str">
        <f>IF(KALKULATION!A820="","",SUM(KALKULATION!F820,KALKULATION!H820))</f>
        <v/>
      </c>
      <c r="N38" s="3552"/>
      <c r="O38" s="3543"/>
      <c r="P38" s="3544"/>
      <c r="R38" s="815"/>
    </row>
    <row r="39" spans="1:19" x14ac:dyDescent="0.2">
      <c r="A39" s="43">
        <v>18</v>
      </c>
      <c r="B39" s="1152" t="s">
        <v>896</v>
      </c>
      <c r="C39" s="1153"/>
      <c r="D39" s="1153"/>
      <c r="E39" s="1153"/>
      <c r="F39" s="1154"/>
      <c r="G39" s="1154"/>
      <c r="H39" s="1155"/>
      <c r="I39" s="1156"/>
      <c r="J39" s="1156"/>
      <c r="K39" s="1156"/>
      <c r="L39" s="1157"/>
      <c r="M39" s="3534" t="str">
        <f>IF(SUM(M36:N38)&gt;0,SUM(M36:N38),"")</f>
        <v/>
      </c>
      <c r="N39" s="3535"/>
      <c r="O39" s="3536">
        <f ca="1">SUM(O33:P34)</f>
        <v>57.09</v>
      </c>
      <c r="P39" s="3535"/>
      <c r="R39" s="815"/>
    </row>
    <row r="40" spans="1:19" ht="27.95" customHeight="1" x14ac:dyDescent="0.2">
      <c r="A40" s="43">
        <v>19</v>
      </c>
      <c r="B40" s="3461" t="str">
        <f>IF(AND(COUNTA(KALKULATION!A769:C773)=1,KALKULATION!E769=1),KALKULATION!M302,IF(KALKULATION!H767="Ø","Personalkosten gesamt (Regie) pro Person","Personalkosten gesamt (Regie) für die Partie"))</f>
        <v>Personalkosten gesamt (Regie) pro Person</v>
      </c>
      <c r="C40" s="3462"/>
      <c r="D40" s="3462"/>
      <c r="E40" s="3462"/>
      <c r="F40" s="3462"/>
      <c r="G40" s="3462"/>
      <c r="H40" s="3462"/>
      <c r="I40" s="3462"/>
      <c r="J40" s="3463"/>
      <c r="K40" s="3472" t="s">
        <v>185</v>
      </c>
      <c r="L40" s="3044"/>
      <c r="M40" s="375"/>
      <c r="N40" s="3559">
        <f ca="1">IF(KALKULATION!H767="Ø",SUM(M39,O39),SUM(M39,O39)*H19)</f>
        <v>57.09</v>
      </c>
      <c r="O40" s="3559"/>
      <c r="P40" s="376"/>
      <c r="R40" s="815"/>
    </row>
    <row r="41" spans="1:19" hidden="1" x14ac:dyDescent="0.2">
      <c r="A41" s="43"/>
      <c r="B41" s="102" t="s">
        <v>55</v>
      </c>
      <c r="C41" s="4"/>
      <c r="D41" s="4"/>
      <c r="E41" s="4"/>
      <c r="F41" s="4"/>
      <c r="G41" s="4"/>
      <c r="H41" s="5"/>
      <c r="I41" s="1"/>
      <c r="K41" s="3"/>
      <c r="L41" s="3"/>
      <c r="M41" s="25"/>
      <c r="N41" s="26"/>
      <c r="O41" s="26"/>
      <c r="P41" s="27"/>
      <c r="R41" s="815"/>
    </row>
    <row r="42" spans="1:19" x14ac:dyDescent="0.2">
      <c r="A42" s="43"/>
      <c r="B42" s="3477" t="s">
        <v>54</v>
      </c>
      <c r="C42" s="3417"/>
      <c r="D42" s="3417"/>
      <c r="E42" s="3417"/>
      <c r="F42" s="3417"/>
      <c r="G42" s="3417"/>
      <c r="H42" s="3478"/>
      <c r="I42" s="3514" t="s">
        <v>52</v>
      </c>
      <c r="J42" s="3515"/>
      <c r="K42" s="3514" t="s">
        <v>53</v>
      </c>
      <c r="L42" s="3515"/>
      <c r="M42" s="3560"/>
      <c r="N42" s="3561"/>
      <c r="O42" s="3561"/>
      <c r="P42" s="3562"/>
      <c r="R42" s="815"/>
    </row>
    <row r="43" spans="1:19" ht="15.75" thickBot="1" x14ac:dyDescent="0.25">
      <c r="A43" s="43">
        <v>20</v>
      </c>
      <c r="B43" s="3473"/>
      <c r="C43" s="3474"/>
      <c r="D43" s="3474"/>
      <c r="E43" s="3474"/>
      <c r="F43" s="3474"/>
      <c r="G43" s="3474"/>
      <c r="H43" s="3479"/>
      <c r="I43" s="3636" t="str">
        <f>IF(M39="","",KALKULATION!H822)</f>
        <v/>
      </c>
      <c r="J43" s="3637"/>
      <c r="K43" s="3636">
        <f>KALKULATION!H825</f>
        <v>0.28999999999999998</v>
      </c>
      <c r="L43" s="3637"/>
      <c r="M43" s="3638" t="str">
        <f>IFERROR(I43*M39,"")</f>
        <v/>
      </c>
      <c r="N43" s="3639"/>
      <c r="O43" s="3638">
        <f ca="1">K43*O39</f>
        <v>16.559999999999999</v>
      </c>
      <c r="P43" s="3639"/>
      <c r="R43" s="815"/>
    </row>
    <row r="44" spans="1:19" x14ac:dyDescent="0.2">
      <c r="A44" s="43">
        <v>21</v>
      </c>
      <c r="B44" s="1152" t="s">
        <v>897</v>
      </c>
      <c r="C44" s="1158"/>
      <c r="D44" s="1158"/>
      <c r="E44" s="1158"/>
      <c r="F44" s="1158"/>
      <c r="G44" s="1158"/>
      <c r="H44" s="1158"/>
      <c r="I44" s="1160"/>
      <c r="J44" s="1156"/>
      <c r="K44" s="1156"/>
      <c r="L44" s="1157"/>
      <c r="M44" s="3534" t="str">
        <f>IFERROR(IF(M39="","",SUM(M39,M43)),"")</f>
        <v/>
      </c>
      <c r="N44" s="3535"/>
      <c r="O44" s="3534">
        <f ca="1">IFERROR(SUM(O39,O43),"")</f>
        <v>73.650000000000006</v>
      </c>
      <c r="P44" s="3535"/>
      <c r="R44" s="815"/>
    </row>
    <row r="45" spans="1:19" ht="27.95" customHeight="1" x14ac:dyDescent="0.2">
      <c r="A45" s="44">
        <v>22</v>
      </c>
      <c r="B45" s="3556" t="str">
        <f>KALKULATION!C827</f>
        <v>Regielohnpreis gesamt als Ø-Preis pro Person und Stunde</v>
      </c>
      <c r="C45" s="3557"/>
      <c r="D45" s="3557"/>
      <c r="E45" s="3557"/>
      <c r="F45" s="3557"/>
      <c r="G45" s="3557"/>
      <c r="H45" s="3557"/>
      <c r="I45" s="3557"/>
      <c r="J45" s="3558"/>
      <c r="K45" s="3472" t="s">
        <v>186</v>
      </c>
      <c r="L45" s="3044"/>
      <c r="M45" s="375"/>
      <c r="N45" s="3559">
        <f ca="1">IFERROR(IF(KALKULATION!H767="Ø",SUM(M44,O44),SUM(M44,O44)*KALKULATION!E774),"??")</f>
        <v>73.650000000000006</v>
      </c>
      <c r="O45" s="3559"/>
      <c r="P45" s="376"/>
      <c r="R45" s="815"/>
      <c r="S45" s="374"/>
    </row>
    <row r="46" spans="1:19" ht="15.75" hidden="1" thickTop="1" x14ac:dyDescent="0.2">
      <c r="A46" s="101"/>
      <c r="B46" s="102" t="s">
        <v>55</v>
      </c>
      <c r="C46" s="1"/>
      <c r="D46" s="1"/>
      <c r="E46" s="1"/>
      <c r="F46" s="1"/>
      <c r="G46" s="1"/>
      <c r="H46" s="1"/>
      <c r="I46" s="2"/>
      <c r="J46" s="23"/>
      <c r="K46" s="23"/>
      <c r="M46" s="22"/>
      <c r="N46" s="22"/>
      <c r="O46" s="21"/>
      <c r="R46" s="815"/>
    </row>
    <row r="47" spans="1:19" ht="55.9" customHeight="1" x14ac:dyDescent="0.2">
      <c r="A47" s="3485" t="str">
        <f>"Lizenziert für:
"&amp;'Lizenz u lies mich'!B32</f>
        <v>Lizenziert für:
Vers V4.0</v>
      </c>
      <c r="B47" s="3486"/>
      <c r="C47" s="3486"/>
      <c r="D47" s="3503" t="str">
        <f ca="1">' K3 PP'!D47</f>
        <v>Keine gültige Lizenz! Nur als Testversion nutzbar!</v>
      </c>
      <c r="E47" s="3503"/>
      <c r="F47" s="3503"/>
      <c r="G47" s="3503"/>
      <c r="H47" s="3504"/>
      <c r="I47" s="3502"/>
      <c r="J47" s="3502"/>
      <c r="K47" s="3502"/>
      <c r="L47" s="3502"/>
      <c r="M47" s="3502"/>
      <c r="N47" s="3501" t="s">
        <v>260</v>
      </c>
      <c r="O47" s="3412"/>
      <c r="P47" s="3413"/>
      <c r="R47" s="827"/>
    </row>
    <row r="48" spans="1:19" ht="10.15" customHeight="1" x14ac:dyDescent="0.2">
      <c r="A48" s="597"/>
      <c r="B48" s="597"/>
      <c r="C48" s="597"/>
      <c r="D48" s="597"/>
      <c r="E48" s="597"/>
      <c r="F48" s="597"/>
      <c r="G48" s="597"/>
      <c r="H48" s="597"/>
      <c r="I48" s="597"/>
      <c r="J48" s="597"/>
      <c r="K48" s="597"/>
      <c r="L48" s="597"/>
      <c r="M48" s="597"/>
      <c r="N48" s="597"/>
      <c r="O48" s="597"/>
      <c r="P48" s="597"/>
      <c r="R48" s="815"/>
    </row>
  </sheetData>
  <sheetProtection password="B984" sheet="1" formatColumns="0" selectLockedCells="1"/>
  <mergeCells count="156">
    <mergeCell ref="M44:N44"/>
    <mergeCell ref="O44:P44"/>
    <mergeCell ref="B45:J45"/>
    <mergeCell ref="K45:L45"/>
    <mergeCell ref="N45:O45"/>
    <mergeCell ref="A47:C47"/>
    <mergeCell ref="D47:H47"/>
    <mergeCell ref="I47:M47"/>
    <mergeCell ref="N47:P47"/>
    <mergeCell ref="B42:H43"/>
    <mergeCell ref="I42:J42"/>
    <mergeCell ref="K42:L42"/>
    <mergeCell ref="M42:P42"/>
    <mergeCell ref="I43:J43"/>
    <mergeCell ref="K43:L43"/>
    <mergeCell ref="M43:N43"/>
    <mergeCell ref="O43:P43"/>
    <mergeCell ref="B38:J38"/>
    <mergeCell ref="K38:L38"/>
    <mergeCell ref="M38:N38"/>
    <mergeCell ref="M39:N39"/>
    <mergeCell ref="O39:P39"/>
    <mergeCell ref="B40:J40"/>
    <mergeCell ref="K40:L40"/>
    <mergeCell ref="N40:O40"/>
    <mergeCell ref="B35:J35"/>
    <mergeCell ref="K35:L35"/>
    <mergeCell ref="M35:N35"/>
    <mergeCell ref="O35:P38"/>
    <mergeCell ref="B36:J36"/>
    <mergeCell ref="K36:L36"/>
    <mergeCell ref="M36:N36"/>
    <mergeCell ref="B37:J37"/>
    <mergeCell ref="K37:L37"/>
    <mergeCell ref="M37:N37"/>
    <mergeCell ref="B33:G33"/>
    <mergeCell ref="H33:N33"/>
    <mergeCell ref="O33:P33"/>
    <mergeCell ref="B34:G34"/>
    <mergeCell ref="H34:J34"/>
    <mergeCell ref="K34:L34"/>
    <mergeCell ref="M34:N34"/>
    <mergeCell ref="O34:P34"/>
    <mergeCell ref="B31:G31"/>
    <mergeCell ref="H31:J31"/>
    <mergeCell ref="K31:L31"/>
    <mergeCell ref="M31:N31"/>
    <mergeCell ref="O31:P31"/>
    <mergeCell ref="B32:G32"/>
    <mergeCell ref="H32:J32"/>
    <mergeCell ref="K32:L32"/>
    <mergeCell ref="M32:N32"/>
    <mergeCell ref="O32:P32"/>
    <mergeCell ref="B28:G28"/>
    <mergeCell ref="H28:M28"/>
    <mergeCell ref="O28:P28"/>
    <mergeCell ref="B29:N29"/>
    <mergeCell ref="O29:P29"/>
    <mergeCell ref="B30:G30"/>
    <mergeCell ref="H30:J30"/>
    <mergeCell ref="K30:L30"/>
    <mergeCell ref="M30:N30"/>
    <mergeCell ref="O30:P30"/>
    <mergeCell ref="B26:G26"/>
    <mergeCell ref="H26:J26"/>
    <mergeCell ref="K26:L26"/>
    <mergeCell ref="M26:N26"/>
    <mergeCell ref="O26:P26"/>
    <mergeCell ref="B27:N27"/>
    <mergeCell ref="O27:P27"/>
    <mergeCell ref="B24:G24"/>
    <mergeCell ref="H24:J24"/>
    <mergeCell ref="K24:L24"/>
    <mergeCell ref="M24:N24"/>
    <mergeCell ref="O24:P24"/>
    <mergeCell ref="B25:G25"/>
    <mergeCell ref="H25:J25"/>
    <mergeCell ref="K25:L25"/>
    <mergeCell ref="M25:N25"/>
    <mergeCell ref="O25:P25"/>
    <mergeCell ref="B22:G22"/>
    <mergeCell ref="H22:J22"/>
    <mergeCell ref="K22:L22"/>
    <mergeCell ref="M22:N22"/>
    <mergeCell ref="O22:P22"/>
    <mergeCell ref="B23:G23"/>
    <mergeCell ref="H23:M23"/>
    <mergeCell ref="O23:P23"/>
    <mergeCell ref="I19:J19"/>
    <mergeCell ref="K19:O19"/>
    <mergeCell ref="B20:L20"/>
    <mergeCell ref="M20:N20"/>
    <mergeCell ref="O20:P20"/>
    <mergeCell ref="H21:N21"/>
    <mergeCell ref="O21:P21"/>
    <mergeCell ref="B18:E18"/>
    <mergeCell ref="F18:G18"/>
    <mergeCell ref="I18:J18"/>
    <mergeCell ref="K18:N18"/>
    <mergeCell ref="B15:E15"/>
    <mergeCell ref="F15:G15"/>
    <mergeCell ref="I15:J15"/>
    <mergeCell ref="K15:N15"/>
    <mergeCell ref="B16:E16"/>
    <mergeCell ref="F16:G16"/>
    <mergeCell ref="I16:J16"/>
    <mergeCell ref="K16:N16"/>
    <mergeCell ref="K11:N11"/>
    <mergeCell ref="B12:E12"/>
    <mergeCell ref="F12:G12"/>
    <mergeCell ref="I12:J12"/>
    <mergeCell ref="K12:N14"/>
    <mergeCell ref="B17:E17"/>
    <mergeCell ref="F17:G17"/>
    <mergeCell ref="I17:J17"/>
    <mergeCell ref="K17:N17"/>
    <mergeCell ref="B13:E13"/>
    <mergeCell ref="F13:G13"/>
    <mergeCell ref="I13:J13"/>
    <mergeCell ref="B14:E14"/>
    <mergeCell ref="F14:G14"/>
    <mergeCell ref="I14:J14"/>
    <mergeCell ref="B11:E11"/>
    <mergeCell ref="F11:G11"/>
    <mergeCell ref="I11:J11"/>
    <mergeCell ref="B1:E1"/>
    <mergeCell ref="G1:P1"/>
    <mergeCell ref="B9:E9"/>
    <mergeCell ref="F9:G9"/>
    <mergeCell ref="I9:J9"/>
    <mergeCell ref="K9:O9"/>
    <mergeCell ref="B10:E10"/>
    <mergeCell ref="F10:G10"/>
    <mergeCell ref="I10:J10"/>
    <mergeCell ref="K10:N10"/>
    <mergeCell ref="B7:E7"/>
    <mergeCell ref="F7:J7"/>
    <mergeCell ref="K7:P7"/>
    <mergeCell ref="B8:L8"/>
    <mergeCell ref="M8:N8"/>
    <mergeCell ref="O8:P8"/>
    <mergeCell ref="A2:A8"/>
    <mergeCell ref="B2:E3"/>
    <mergeCell ref="F2:J3"/>
    <mergeCell ref="K2:P2"/>
    <mergeCell ref="K3:P3"/>
    <mergeCell ref="C4:E4"/>
    <mergeCell ref="G4:J4"/>
    <mergeCell ref="K4:P4"/>
    <mergeCell ref="B5:E5"/>
    <mergeCell ref="F5:J5"/>
    <mergeCell ref="K5:P5"/>
    <mergeCell ref="B6:E6"/>
    <mergeCell ref="K6:L6"/>
    <mergeCell ref="M6:P6"/>
    <mergeCell ref="F6:J6"/>
  </mergeCells>
  <conditionalFormatting sqref="B5">
    <cfRule type="expression" dxfId="17" priority="16">
      <formula>$E$5="X"</formula>
    </cfRule>
  </conditionalFormatting>
  <conditionalFormatting sqref="B6">
    <cfRule type="expression" dxfId="16" priority="15">
      <formula>$E$6="X"</formula>
    </cfRule>
  </conditionalFormatting>
  <conditionalFormatting sqref="B11:J15">
    <cfRule type="expression" dxfId="15" priority="13">
      <formula>$B11=""</formula>
    </cfRule>
  </conditionalFormatting>
  <conditionalFormatting sqref="B36:J38">
    <cfRule type="expression" dxfId="14" priority="12">
      <formula>$B36=0</formula>
    </cfRule>
  </conditionalFormatting>
  <conditionalFormatting sqref="F5">
    <cfRule type="expression" dxfId="13" priority="18">
      <formula>$J$5="X"</formula>
    </cfRule>
  </conditionalFormatting>
  <conditionalFormatting sqref="F6">
    <cfRule type="expression" dxfId="12" priority="17">
      <formula>$J$6="X"</formula>
    </cfRule>
  </conditionalFormatting>
  <conditionalFormatting sqref="H19">
    <cfRule type="expression" dxfId="11" priority="4">
      <formula>$B19=0</formula>
    </cfRule>
  </conditionalFormatting>
  <conditionalFormatting sqref="I19:J19 O21:P21 D47:H47">
    <cfRule type="expression" dxfId="9" priority="11">
      <formula>_OK?&lt;&gt;"OK!"</formula>
    </cfRule>
  </conditionalFormatting>
  <conditionalFormatting sqref="K12 O12:O13">
    <cfRule type="uniqueValues" dxfId="8" priority="3"/>
  </conditionalFormatting>
  <conditionalFormatting sqref="K11:N11">
    <cfRule type="expression" dxfId="5" priority="1">
      <formula>$B$11=""</formula>
    </cfRule>
  </conditionalFormatting>
  <conditionalFormatting sqref="K36:N38">
    <cfRule type="cellIs" dxfId="4" priority="2" operator="equal">
      <formula>0</formula>
    </cfRule>
  </conditionalFormatting>
  <conditionalFormatting sqref="M40 K3:P5">
    <cfRule type="expression" dxfId="3" priority="14">
      <formula>OR(_OK?&lt;&gt;"OK!",_OK_KV?&lt;&gt;"OK_KV!")</formula>
    </cfRule>
  </conditionalFormatting>
  <conditionalFormatting sqref="M45">
    <cfRule type="expression" dxfId="2" priority="6">
      <formula>OR(_OK?&lt;&gt;"OK!",_OK_KV?&lt;&gt;"OK_KV!")</formula>
    </cfRule>
  </conditionalFormatting>
  <conditionalFormatting sqref="M40:N40 P40">
    <cfRule type="expression" dxfId="1" priority="10">
      <formula>_OK?&lt;&gt;"OK!"</formula>
    </cfRule>
  </conditionalFormatting>
  <conditionalFormatting sqref="M45:N45 P45">
    <cfRule type="expression" dxfId="0" priority="5">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9" id="{6FCBD59A-F40F-494D-BE20-32D64C485948}">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8" id="{9F05C9CA-39FB-41CA-B21C-174ECC7B4B5E}">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7" id="{AB8B553B-D151-4B81-890C-4C7B94212EE5}">
            <xm:f>KALKULATION!$F$351="Nein"</xm:f>
            <x14:dxf>
              <font>
                <color theme="0"/>
              </font>
              <border>
                <left style="thin">
                  <color theme="0"/>
                </left>
                <vertical/>
                <horizontal/>
              </border>
            </x14:dxf>
          </x14:cfRule>
          <xm:sqref>K35:L38</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2EB79-C710-4530-ABCE-AA41724C97A9}">
  <sheetPr codeName="Tabelle5"/>
  <dimension ref="B2:I39"/>
  <sheetViews>
    <sheetView topLeftCell="A13" workbookViewId="0">
      <selection activeCell="E34" sqref="E34"/>
    </sheetView>
  </sheetViews>
  <sheetFormatPr baseColWidth="10" defaultColWidth="10.6640625" defaultRowHeight="15" x14ac:dyDescent="0.25"/>
  <cols>
    <col min="1" max="1" width="10.6640625" style="42"/>
    <col min="2" max="4" width="13.44140625" style="42" customWidth="1"/>
    <col min="5" max="5" width="10.6640625" style="42"/>
    <col min="6" max="6" width="3.6640625" style="42" customWidth="1"/>
    <col min="7" max="16384" width="10.6640625" style="42"/>
  </cols>
  <sheetData>
    <row r="2" spans="2:8" x14ac:dyDescent="0.25">
      <c r="B2" s="733" t="s">
        <v>649</v>
      </c>
      <c r="C2" s="211"/>
      <c r="D2" s="726" t="s">
        <v>650</v>
      </c>
      <c r="E2" s="211"/>
    </row>
    <row r="3" spans="2:8" x14ac:dyDescent="0.25">
      <c r="B3" s="732" t="s">
        <v>651</v>
      </c>
      <c r="C3" s="211"/>
      <c r="D3" s="726" t="s">
        <v>652</v>
      </c>
      <c r="E3" s="211"/>
    </row>
    <row r="4" spans="2:8" x14ac:dyDescent="0.25">
      <c r="B4" s="729" t="s">
        <v>653</v>
      </c>
      <c r="C4" s="211"/>
      <c r="D4" s="726" t="s">
        <v>654</v>
      </c>
      <c r="E4" s="211"/>
    </row>
    <row r="5" spans="2:8" x14ac:dyDescent="0.25">
      <c r="B5" s="730" t="s">
        <v>655</v>
      </c>
      <c r="C5" s="211"/>
      <c r="D5" s="726" t="s">
        <v>656</v>
      </c>
      <c r="E5" s="211"/>
    </row>
    <row r="6" spans="2:8" x14ac:dyDescent="0.25">
      <c r="B6" s="731" t="s">
        <v>657</v>
      </c>
      <c r="C6" s="211"/>
      <c r="D6" s="726" t="s">
        <v>658</v>
      </c>
      <c r="E6" s="211"/>
      <c r="F6" s="984" t="s">
        <v>697</v>
      </c>
      <c r="H6" s="984"/>
    </row>
    <row r="7" spans="2:8" x14ac:dyDescent="0.25">
      <c r="B7" s="847" t="s">
        <v>696</v>
      </c>
      <c r="C7" s="211"/>
      <c r="D7" s="726" t="s">
        <v>659</v>
      </c>
      <c r="E7" s="211"/>
      <c r="F7" s="985" t="s">
        <v>697</v>
      </c>
      <c r="H7" s="985"/>
    </row>
    <row r="8" spans="2:8" x14ac:dyDescent="0.25">
      <c r="B8" s="726" t="s">
        <v>660</v>
      </c>
      <c r="C8" s="211"/>
      <c r="D8" s="726" t="s">
        <v>661</v>
      </c>
      <c r="E8" s="211"/>
      <c r="F8" s="986" t="s">
        <v>697</v>
      </c>
      <c r="H8" s="986"/>
    </row>
    <row r="9" spans="2:8" x14ac:dyDescent="0.25">
      <c r="B9" s="211"/>
      <c r="C9" s="211"/>
      <c r="D9" s="726" t="s">
        <v>662</v>
      </c>
      <c r="E9" s="211"/>
      <c r="F9" s="987" t="s">
        <v>697</v>
      </c>
      <c r="H9" s="987"/>
    </row>
    <row r="10" spans="2:8" x14ac:dyDescent="0.25">
      <c r="B10" s="728" t="s">
        <v>663</v>
      </c>
      <c r="C10" s="211"/>
      <c r="D10" s="726" t="s">
        <v>664</v>
      </c>
      <c r="E10" s="211"/>
      <c r="F10" s="988" t="s">
        <v>697</v>
      </c>
      <c r="H10" s="988"/>
    </row>
    <row r="11" spans="2:8" x14ac:dyDescent="0.25">
      <c r="B11" s="728" t="s">
        <v>934</v>
      </c>
      <c r="C11" s="211"/>
      <c r="D11" s="211"/>
      <c r="E11" s="211"/>
      <c r="F11" s="989" t="s">
        <v>697</v>
      </c>
      <c r="H11" s="989"/>
    </row>
    <row r="12" spans="2:8" x14ac:dyDescent="0.25">
      <c r="B12" s="211"/>
      <c r="C12" s="211"/>
      <c r="D12" s="726" t="s">
        <v>666</v>
      </c>
      <c r="E12" s="211"/>
      <c r="F12" s="990" t="s">
        <v>697</v>
      </c>
      <c r="H12" s="990"/>
    </row>
    <row r="13" spans="2:8" x14ac:dyDescent="0.25">
      <c r="B13" s="211"/>
      <c r="C13" s="211"/>
      <c r="E13" s="211"/>
    </row>
    <row r="14" spans="2:8" x14ac:dyDescent="0.25">
      <c r="B14" s="211"/>
      <c r="C14" s="211"/>
      <c r="D14" s="726" t="s">
        <v>667</v>
      </c>
      <c r="E14" s="211"/>
    </row>
    <row r="15" spans="2:8" x14ac:dyDescent="0.25">
      <c r="B15" s="992" t="s">
        <v>828</v>
      </c>
      <c r="C15" s="211"/>
      <c r="D15" s="726" t="s">
        <v>668</v>
      </c>
      <c r="E15" s="211"/>
    </row>
    <row r="16" spans="2:8" x14ac:dyDescent="0.25">
      <c r="B16" s="993" t="s">
        <v>117</v>
      </c>
      <c r="C16" s="211"/>
      <c r="D16" s="726" t="s">
        <v>669</v>
      </c>
      <c r="E16" s="211"/>
    </row>
    <row r="17" spans="2:9" x14ac:dyDescent="0.25">
      <c r="B17" s="727" t="s">
        <v>665</v>
      </c>
      <c r="C17" s="211"/>
      <c r="D17" s="726" t="s">
        <v>670</v>
      </c>
      <c r="E17" s="211"/>
    </row>
    <row r="18" spans="2:9" x14ac:dyDescent="0.25">
      <c r="B18" s="994" t="s">
        <v>829</v>
      </c>
      <c r="C18" s="211"/>
      <c r="D18" s="726" t="s">
        <v>671</v>
      </c>
      <c r="E18" s="211"/>
      <c r="I18" s="42" t="e">
        <f>WENN</f>
        <v>#NAME?</v>
      </c>
    </row>
    <row r="19" spans="2:9" x14ac:dyDescent="0.25">
      <c r="B19" s="726" t="s">
        <v>830</v>
      </c>
      <c r="C19" s="211"/>
      <c r="D19" s="726" t="s">
        <v>695</v>
      </c>
      <c r="E19" s="211"/>
    </row>
    <row r="20" spans="2:9" x14ac:dyDescent="0.25">
      <c r="B20" s="211"/>
      <c r="C20" s="211"/>
      <c r="D20" s="727" t="s">
        <v>665</v>
      </c>
      <c r="E20" s="211"/>
    </row>
    <row r="21" spans="2:9" x14ac:dyDescent="0.25">
      <c r="B21" s="211"/>
      <c r="C21" s="211"/>
      <c r="D21" s="211"/>
      <c r="E21" s="211"/>
    </row>
    <row r="23" spans="2:9" x14ac:dyDescent="0.25">
      <c r="D23" s="726" t="s">
        <v>992</v>
      </c>
    </row>
    <row r="25" spans="2:9" x14ac:dyDescent="0.25">
      <c r="B25" s="267"/>
      <c r="D25" s="3662" t="s">
        <v>1122</v>
      </c>
      <c r="E25" s="3662"/>
    </row>
    <row r="26" spans="2:9" x14ac:dyDescent="0.25">
      <c r="B26" s="267"/>
    </row>
    <row r="27" spans="2:9" x14ac:dyDescent="0.25">
      <c r="B27" s="267"/>
    </row>
    <row r="28" spans="2:9" x14ac:dyDescent="0.25">
      <c r="B28" s="267"/>
    </row>
    <row r="29" spans="2:9" x14ac:dyDescent="0.25">
      <c r="B29" s="267"/>
    </row>
    <row r="30" spans="2:9" x14ac:dyDescent="0.25">
      <c r="B30" s="267"/>
    </row>
    <row r="31" spans="2:9" x14ac:dyDescent="0.25">
      <c r="B31" s="267"/>
    </row>
    <row r="32" spans="2:9" x14ac:dyDescent="0.25">
      <c r="B32" s="975"/>
    </row>
    <row r="33" spans="2:2" x14ac:dyDescent="0.25">
      <c r="B33" s="267"/>
    </row>
    <row r="34" spans="2:2" x14ac:dyDescent="0.25">
      <c r="B34" s="267"/>
    </row>
    <row r="35" spans="2:2" x14ac:dyDescent="0.25">
      <c r="B35" s="267"/>
    </row>
    <row r="36" spans="2:2" x14ac:dyDescent="0.25">
      <c r="B36" s="267"/>
    </row>
    <row r="37" spans="2:2" x14ac:dyDescent="0.25">
      <c r="B37" s="267"/>
    </row>
    <row r="38" spans="2:2" x14ac:dyDescent="0.25">
      <c r="B38" s="267"/>
    </row>
    <row r="39" spans="2:2" x14ac:dyDescent="0.25">
      <c r="B39" s="267"/>
    </row>
  </sheetData>
  <sheetProtection password="B984" sheet="1" objects="1" scenarios="1"/>
  <mergeCells count="1">
    <mergeCell ref="D25:E25"/>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EF006-7FED-41ED-BFE6-DE41C8AD0138}">
  <sheetPr codeName="Tabelle2">
    <tabColor rgb="FFFF0000"/>
  </sheetPr>
  <dimension ref="A1:J56"/>
  <sheetViews>
    <sheetView showGridLines="0" zoomScaleNormal="100" workbookViewId="0">
      <selection activeCell="I11" sqref="I11"/>
    </sheetView>
  </sheetViews>
  <sheetFormatPr baseColWidth="10" defaultColWidth="10.6640625" defaultRowHeight="15.75" x14ac:dyDescent="0.25"/>
  <cols>
    <col min="1" max="1" width="12.44140625" style="883" customWidth="1"/>
    <col min="2" max="4" width="11.21875" style="1272" hidden="1" customWidth="1"/>
    <col min="5" max="6" width="9.6640625" style="1272" hidden="1" customWidth="1"/>
    <col min="7" max="7" width="10.6640625" style="1272" hidden="1" customWidth="1"/>
    <col min="8" max="8" width="12.77734375" style="1272" hidden="1" customWidth="1"/>
    <col min="9" max="9" width="21.33203125" style="1272" customWidth="1"/>
    <col min="10" max="10" width="4.33203125" style="1272" customWidth="1"/>
    <col min="11" max="16384" width="10.6640625" style="883"/>
  </cols>
  <sheetData>
    <row r="1" spans="2:8" ht="16.5" thickBot="1" x14ac:dyDescent="0.3"/>
    <row r="2" spans="2:8" x14ac:dyDescent="0.25">
      <c r="B2" s="2975" t="str">
        <f>'Lizenz u lies mich'!C7</f>
        <v>MUSTER-BAU-GMBH (Testzugang bis 31.5.24)</v>
      </c>
      <c r="C2" s="2976"/>
      <c r="D2" s="2976"/>
      <c r="E2" s="2977"/>
      <c r="F2" s="1899">
        <f>LEN(B2)</f>
        <v>40</v>
      </c>
      <c r="G2" s="1900"/>
      <c r="H2" s="1901"/>
    </row>
    <row r="3" spans="2:8" ht="16.5" thickBot="1" x14ac:dyDescent="0.3">
      <c r="B3" s="2978" t="str">
        <f>'Lizenz u lies mich'!C9</f>
        <v>Ort / Straße</v>
      </c>
      <c r="C3" s="2979"/>
      <c r="D3" s="2979"/>
      <c r="E3" s="2980"/>
      <c r="F3" s="1902">
        <f>LEN(B3)</f>
        <v>12</v>
      </c>
      <c r="H3" s="1903"/>
    </row>
    <row r="4" spans="2:8" x14ac:dyDescent="0.25">
      <c r="B4" s="1904" t="str">
        <f>TEXT('Lizenz u lies mich'!B14,"000000")</f>
        <v>045443</v>
      </c>
      <c r="C4" s="1905"/>
      <c r="D4" s="1905"/>
      <c r="E4" s="1906"/>
      <c r="F4" s="1907">
        <f>F2+F3</f>
        <v>52</v>
      </c>
      <c r="G4" s="1908"/>
      <c r="H4" s="1909"/>
    </row>
    <row r="5" spans="2:8" x14ac:dyDescent="0.25">
      <c r="B5" s="1910">
        <f>IFERROR(CODE(MID(B$2,1,1))+F2,61+F3)</f>
        <v>117</v>
      </c>
      <c r="C5" s="1911">
        <f>INT(B5/100)</f>
        <v>1</v>
      </c>
      <c r="D5" s="1911">
        <f>INT(B5/10)-C5*10</f>
        <v>1</v>
      </c>
      <c r="E5" s="1912">
        <f>B5-C5*100-D5*10</f>
        <v>7</v>
      </c>
      <c r="F5" s="1913"/>
      <c r="H5" s="1909"/>
    </row>
    <row r="6" spans="2:8" x14ac:dyDescent="0.25">
      <c r="B6" s="1914">
        <f>IFERROR(CODE(MID(B$2,2,1)),65)</f>
        <v>85</v>
      </c>
      <c r="C6" s="1908">
        <f t="shared" ref="C6:C31" si="0">INT(B6/100)</f>
        <v>0</v>
      </c>
      <c r="D6" s="1908">
        <f t="shared" ref="D6:D31" si="1">INT(B6/10)-C6*10</f>
        <v>8</v>
      </c>
      <c r="E6" s="1913">
        <f t="shared" ref="E6:E31" si="2">B6-C6*100-D6*10</f>
        <v>5</v>
      </c>
      <c r="F6" s="1913"/>
      <c r="H6" s="1909"/>
    </row>
    <row r="7" spans="2:8" x14ac:dyDescent="0.25">
      <c r="B7" s="1914">
        <f>IFERROR(CODE(MID(B$2,3,1)),69)</f>
        <v>83</v>
      </c>
      <c r="C7" s="1908">
        <f t="shared" si="0"/>
        <v>0</v>
      </c>
      <c r="D7" s="1908">
        <f t="shared" si="1"/>
        <v>8</v>
      </c>
      <c r="E7" s="1913">
        <f t="shared" si="2"/>
        <v>3</v>
      </c>
      <c r="F7" s="1913"/>
      <c r="H7" s="1909"/>
    </row>
    <row r="8" spans="2:8" x14ac:dyDescent="0.25">
      <c r="B8" s="1914">
        <f>IFERROR(CODE(MID(B$2,4,1)),61)</f>
        <v>84</v>
      </c>
      <c r="C8" s="1908">
        <f t="shared" si="0"/>
        <v>0</v>
      </c>
      <c r="D8" s="1908">
        <f t="shared" si="1"/>
        <v>8</v>
      </c>
      <c r="E8" s="1913">
        <f t="shared" si="2"/>
        <v>4</v>
      </c>
      <c r="F8" s="1913"/>
      <c r="H8" s="1909"/>
    </row>
    <row r="9" spans="2:8" x14ac:dyDescent="0.25">
      <c r="B9" s="1914">
        <f>IFERROR(CODE(MID(B$2,5,1))*2+F3,61+F4)</f>
        <v>150</v>
      </c>
      <c r="C9" s="1908">
        <f t="shared" si="0"/>
        <v>1</v>
      </c>
      <c r="D9" s="1908">
        <f t="shared" si="1"/>
        <v>5</v>
      </c>
      <c r="E9" s="1913">
        <f t="shared" si="2"/>
        <v>0</v>
      </c>
      <c r="F9" s="1913"/>
      <c r="H9" s="1909"/>
    </row>
    <row r="10" spans="2:8" x14ac:dyDescent="0.25">
      <c r="B10" s="1914">
        <f>IFERROR(CODE(MID(B$2,6,1)),91)</f>
        <v>82</v>
      </c>
      <c r="C10" s="1908">
        <f t="shared" si="0"/>
        <v>0</v>
      </c>
      <c r="D10" s="1908">
        <f t="shared" si="1"/>
        <v>8</v>
      </c>
      <c r="E10" s="1913">
        <f t="shared" si="2"/>
        <v>2</v>
      </c>
      <c r="F10" s="1913"/>
      <c r="H10" s="1909"/>
    </row>
    <row r="11" spans="2:8" x14ac:dyDescent="0.25">
      <c r="B11" s="1914">
        <f>IFERROR(CODE(MID(B$2,7,1)),61)</f>
        <v>45</v>
      </c>
      <c r="C11" s="1908">
        <f t="shared" si="0"/>
        <v>0</v>
      </c>
      <c r="D11" s="1908">
        <f t="shared" si="1"/>
        <v>4</v>
      </c>
      <c r="E11" s="1913">
        <f t="shared" si="2"/>
        <v>5</v>
      </c>
      <c r="F11" s="1913"/>
      <c r="H11" s="1909"/>
    </row>
    <row r="12" spans="2:8" x14ac:dyDescent="0.25">
      <c r="B12" s="1914">
        <f>IFERROR(CODE(MID(B$2,8,1))+F2,61)</f>
        <v>106</v>
      </c>
      <c r="C12" s="1908">
        <f t="shared" si="0"/>
        <v>1</v>
      </c>
      <c r="D12" s="1908">
        <f t="shared" si="1"/>
        <v>0</v>
      </c>
      <c r="E12" s="1913">
        <f t="shared" si="2"/>
        <v>6</v>
      </c>
      <c r="F12" s="1913"/>
      <c r="H12" s="1909"/>
    </row>
    <row r="13" spans="2:8" x14ac:dyDescent="0.25">
      <c r="B13" s="1914">
        <f>IFERROR(CODE(MID(B$2,9,1)),71)</f>
        <v>65</v>
      </c>
      <c r="C13" s="1908">
        <f t="shared" si="0"/>
        <v>0</v>
      </c>
      <c r="D13" s="1908">
        <f t="shared" si="1"/>
        <v>6</v>
      </c>
      <c r="E13" s="1913">
        <f t="shared" si="2"/>
        <v>5</v>
      </c>
      <c r="F13" s="1913"/>
      <c r="H13" s="1909"/>
    </row>
    <row r="14" spans="2:8" x14ac:dyDescent="0.25">
      <c r="B14" s="1915">
        <f>IFERROR(CODE(MID(B$2,10,1)),111)</f>
        <v>85</v>
      </c>
      <c r="C14" s="1916">
        <f t="shared" si="0"/>
        <v>0</v>
      </c>
      <c r="D14" s="1916">
        <f t="shared" si="1"/>
        <v>8</v>
      </c>
      <c r="E14" s="1917">
        <f t="shared" si="2"/>
        <v>5</v>
      </c>
      <c r="F14" s="1913"/>
      <c r="H14" s="1909"/>
    </row>
    <row r="15" spans="2:8" x14ac:dyDescent="0.25">
      <c r="B15" s="1910">
        <f>IFERROR(CODE(MID(B$3,1,1)),61)</f>
        <v>79</v>
      </c>
      <c r="C15" s="1911">
        <f t="shared" si="0"/>
        <v>0</v>
      </c>
      <c r="D15" s="1911">
        <f t="shared" si="1"/>
        <v>7</v>
      </c>
      <c r="E15" s="1912">
        <f t="shared" si="2"/>
        <v>9</v>
      </c>
      <c r="F15" s="1913"/>
      <c r="H15" s="1909"/>
    </row>
    <row r="16" spans="2:8" x14ac:dyDescent="0.25">
      <c r="B16" s="1914">
        <f>IFERROR(CODE(MID(B$3,2,1)),61)</f>
        <v>114</v>
      </c>
      <c r="C16" s="1908">
        <f t="shared" si="0"/>
        <v>1</v>
      </c>
      <c r="D16" s="1908">
        <f t="shared" si="1"/>
        <v>1</v>
      </c>
      <c r="E16" s="1913">
        <f t="shared" si="2"/>
        <v>4</v>
      </c>
      <c r="F16" s="1913"/>
      <c r="H16" s="1909"/>
    </row>
    <row r="17" spans="2:8" x14ac:dyDescent="0.25">
      <c r="B17" s="1914">
        <f>IFERROR(CODE(MID(B$3,3,1)),61)</f>
        <v>116</v>
      </c>
      <c r="C17" s="1908">
        <f t="shared" si="0"/>
        <v>1</v>
      </c>
      <c r="D17" s="1908">
        <f t="shared" si="1"/>
        <v>1</v>
      </c>
      <c r="E17" s="1913">
        <f t="shared" si="2"/>
        <v>6</v>
      </c>
      <c r="F17" s="1913"/>
      <c r="H17" s="1909"/>
    </row>
    <row r="18" spans="2:8" x14ac:dyDescent="0.25">
      <c r="B18" s="1914">
        <f>IFERROR(CODE(MID(B$3,4,1)),61)</f>
        <v>32</v>
      </c>
      <c r="C18" s="1908">
        <f t="shared" si="0"/>
        <v>0</v>
      </c>
      <c r="D18" s="1908">
        <f t="shared" si="1"/>
        <v>3</v>
      </c>
      <c r="E18" s="1913">
        <f t="shared" si="2"/>
        <v>2</v>
      </c>
      <c r="F18" s="1913"/>
      <c r="H18" s="1909"/>
    </row>
    <row r="19" spans="2:8" x14ac:dyDescent="0.25">
      <c r="B19" s="1914">
        <f>IFERROR(CODE(MID(B$3,5,1)),118)</f>
        <v>47</v>
      </c>
      <c r="C19" s="1908">
        <f t="shared" si="0"/>
        <v>0</v>
      </c>
      <c r="D19" s="1908">
        <f t="shared" si="1"/>
        <v>4</v>
      </c>
      <c r="E19" s="1913">
        <f t="shared" si="2"/>
        <v>7</v>
      </c>
      <c r="F19" s="1913"/>
      <c r="H19" s="1909"/>
    </row>
    <row r="20" spans="2:8" x14ac:dyDescent="0.25">
      <c r="B20" s="1914">
        <f>IFERROR(CODE(MID(B$3,6,1)),61)</f>
        <v>32</v>
      </c>
      <c r="C20" s="1908">
        <f t="shared" si="0"/>
        <v>0</v>
      </c>
      <c r="D20" s="1908">
        <f t="shared" si="1"/>
        <v>3</v>
      </c>
      <c r="E20" s="1913">
        <f t="shared" si="2"/>
        <v>2</v>
      </c>
      <c r="F20" s="1913"/>
      <c r="H20" s="1909"/>
    </row>
    <row r="21" spans="2:8" x14ac:dyDescent="0.25">
      <c r="B21" s="1914">
        <f>IFERROR(CODE(MID(B$3,7,1)),91)</f>
        <v>83</v>
      </c>
      <c r="C21" s="1908">
        <f t="shared" si="0"/>
        <v>0</v>
      </c>
      <c r="D21" s="1908">
        <f t="shared" si="1"/>
        <v>8</v>
      </c>
      <c r="E21" s="1913">
        <f t="shared" si="2"/>
        <v>3</v>
      </c>
      <c r="F21" s="1913"/>
      <c r="H21" s="1909"/>
    </row>
    <row r="22" spans="2:8" x14ac:dyDescent="0.25">
      <c r="B22" s="1914">
        <f>IFERROR(CODE(MID(B$3,8,1)),61)</f>
        <v>116</v>
      </c>
      <c r="C22" s="1908">
        <f t="shared" si="0"/>
        <v>1</v>
      </c>
      <c r="D22" s="1908">
        <f t="shared" si="1"/>
        <v>1</v>
      </c>
      <c r="E22" s="1913">
        <f t="shared" si="2"/>
        <v>6</v>
      </c>
      <c r="F22" s="1913"/>
      <c r="H22" s="1909"/>
    </row>
    <row r="23" spans="2:8" x14ac:dyDescent="0.25">
      <c r="B23" s="1914">
        <f>IFERROR(CODE(MID(B$3,9,1)),101)</f>
        <v>114</v>
      </c>
      <c r="C23" s="1908">
        <f t="shared" si="0"/>
        <v>1</v>
      </c>
      <c r="D23" s="1908">
        <f t="shared" si="1"/>
        <v>1</v>
      </c>
      <c r="E23" s="1913">
        <f t="shared" si="2"/>
        <v>4</v>
      </c>
      <c r="F23" s="1913"/>
      <c r="H23" s="1909"/>
    </row>
    <row r="24" spans="2:8" x14ac:dyDescent="0.25">
      <c r="B24" s="1914">
        <f>IFERROR(CODE(MID(B$3,10,1)),61)</f>
        <v>97</v>
      </c>
      <c r="C24" s="1908">
        <f t="shared" si="0"/>
        <v>0</v>
      </c>
      <c r="D24" s="1908">
        <f t="shared" si="1"/>
        <v>9</v>
      </c>
      <c r="E24" s="1913">
        <f t="shared" si="2"/>
        <v>7</v>
      </c>
      <c r="F24" s="1913"/>
      <c r="H24" s="1909"/>
    </row>
    <row r="25" spans="2:8" x14ac:dyDescent="0.25">
      <c r="B25" s="1915">
        <f>IFERROR(CODE(MID(B$3,11,1)),61)</f>
        <v>223</v>
      </c>
      <c r="C25" s="1916">
        <f t="shared" si="0"/>
        <v>2</v>
      </c>
      <c r="D25" s="1916">
        <f t="shared" si="1"/>
        <v>2</v>
      </c>
      <c r="E25" s="1917">
        <f t="shared" si="2"/>
        <v>3</v>
      </c>
      <c r="F25" s="1913"/>
      <c r="H25" s="1909"/>
    </row>
    <row r="26" spans="2:8" x14ac:dyDescent="0.25">
      <c r="B26" s="1910">
        <f>IFERROR(CODE(MID(B$4,1,1)),91)*2</f>
        <v>96</v>
      </c>
      <c r="C26" s="1911">
        <f t="shared" si="0"/>
        <v>0</v>
      </c>
      <c r="D26" s="1911">
        <f t="shared" si="1"/>
        <v>9</v>
      </c>
      <c r="E26" s="1912">
        <f t="shared" si="2"/>
        <v>6</v>
      </c>
      <c r="F26" s="1913"/>
      <c r="H26" s="1909"/>
    </row>
    <row r="27" spans="2:8" x14ac:dyDescent="0.25">
      <c r="B27" s="1914">
        <f>IFERROR(CODE(MID(B$4,2,1)),91)*2</f>
        <v>104</v>
      </c>
      <c r="C27" s="1908">
        <f t="shared" si="0"/>
        <v>1</v>
      </c>
      <c r="D27" s="1908">
        <f t="shared" si="1"/>
        <v>0</v>
      </c>
      <c r="E27" s="1913">
        <f t="shared" si="2"/>
        <v>4</v>
      </c>
      <c r="F27" s="1913"/>
      <c r="H27" s="1909"/>
    </row>
    <row r="28" spans="2:8" x14ac:dyDescent="0.25">
      <c r="B28" s="1914">
        <f>IFERROR(CODE(MID(B$4,3,1)),91)*2</f>
        <v>106</v>
      </c>
      <c r="C28" s="1908">
        <f t="shared" si="0"/>
        <v>1</v>
      </c>
      <c r="D28" s="1908">
        <f t="shared" si="1"/>
        <v>0</v>
      </c>
      <c r="E28" s="1913">
        <f t="shared" si="2"/>
        <v>6</v>
      </c>
      <c r="F28" s="1913"/>
      <c r="H28" s="1909"/>
    </row>
    <row r="29" spans="2:8" x14ac:dyDescent="0.25">
      <c r="B29" s="1914">
        <f>IFERROR(CODE(MID(B$4,4,1)),91)*2</f>
        <v>104</v>
      </c>
      <c r="C29" s="1908">
        <f t="shared" si="0"/>
        <v>1</v>
      </c>
      <c r="D29" s="1908">
        <f t="shared" si="1"/>
        <v>0</v>
      </c>
      <c r="E29" s="1913">
        <f t="shared" si="2"/>
        <v>4</v>
      </c>
      <c r="F29" s="1913"/>
      <c r="H29" s="1909"/>
    </row>
    <row r="30" spans="2:8" x14ac:dyDescent="0.25">
      <c r="B30" s="1914">
        <f>IFERROR(CODE(MID(B$4,5,1)),91)*2</f>
        <v>104</v>
      </c>
      <c r="C30" s="1908">
        <f t="shared" si="0"/>
        <v>1</v>
      </c>
      <c r="D30" s="1908">
        <f t="shared" si="1"/>
        <v>0</v>
      </c>
      <c r="E30" s="1913">
        <f t="shared" si="2"/>
        <v>4</v>
      </c>
      <c r="F30" s="1913"/>
      <c r="H30" s="1909"/>
    </row>
    <row r="31" spans="2:8" x14ac:dyDescent="0.25">
      <c r="B31" s="1915">
        <f>IFERROR(CODE(MID(B$4,5,1)),91)*2</f>
        <v>104</v>
      </c>
      <c r="C31" s="1916">
        <f t="shared" si="0"/>
        <v>1</v>
      </c>
      <c r="D31" s="1916">
        <f t="shared" si="1"/>
        <v>0</v>
      </c>
      <c r="E31" s="1917">
        <f t="shared" si="2"/>
        <v>4</v>
      </c>
      <c r="F31" s="1913"/>
      <c r="H31" s="1909"/>
    </row>
    <row r="32" spans="2:8" x14ac:dyDescent="0.25">
      <c r="B32" s="1914">
        <f>SUM(B5:B31)</f>
        <v>2573</v>
      </c>
      <c r="C32" s="1908">
        <f>SUM(C5:C31)</f>
        <v>14</v>
      </c>
      <c r="D32" s="1908">
        <f>SUM(D5:D31)</f>
        <v>105</v>
      </c>
      <c r="E32" s="1908">
        <f>SUM(E5:E31)</f>
        <v>123</v>
      </c>
      <c r="F32" s="1913">
        <f>SUM(C32:E32)</f>
        <v>242</v>
      </c>
      <c r="H32" s="1909"/>
    </row>
    <row r="33" spans="2:8" x14ac:dyDescent="0.25">
      <c r="B33" s="1915"/>
      <c r="C33" s="1918" t="str">
        <f>TEXT(C32*2.7,"0000")</f>
        <v>0038</v>
      </c>
      <c r="D33" s="1918" t="str">
        <f>TEXT(D32*3.6,"0000")</f>
        <v>0378</v>
      </c>
      <c r="E33" s="1918" t="str">
        <f>TEXT(E32*2.2,"0000")</f>
        <v>0271</v>
      </c>
      <c r="F33" s="1919" t="str">
        <f>TEXT(F32*0.95,"0000")</f>
        <v>0230</v>
      </c>
      <c r="H33" s="1909"/>
    </row>
    <row r="34" spans="2:8" x14ac:dyDescent="0.25">
      <c r="B34" s="1920"/>
      <c r="C34" s="1905"/>
      <c r="D34" s="1921" t="s">
        <v>199</v>
      </c>
      <c r="E34" s="1921" t="s">
        <v>200</v>
      </c>
      <c r="F34" s="1905" t="s">
        <v>200</v>
      </c>
      <c r="G34" s="1921" t="s">
        <v>201</v>
      </c>
      <c r="H34" s="1922"/>
    </row>
    <row r="35" spans="2:8" x14ac:dyDescent="0.25">
      <c r="B35" s="1923">
        <f>+C32+B46/2</f>
        <v>236</v>
      </c>
      <c r="C35" s="1924">
        <f>_xlfn.NUMBERVALUE(RIGHT(B35,3))</f>
        <v>236</v>
      </c>
      <c r="D35" s="1925">
        <f>IF(C35&lt;65,65+C35/2,C35)</f>
        <v>236</v>
      </c>
      <c r="E35" s="1926">
        <f>IF(D35&gt;122,D35*0.5+5,D35)</f>
        <v>123</v>
      </c>
      <c r="F35" s="1926">
        <f>IF(E35&gt;122,122-E35/100*3,E35)</f>
        <v>118</v>
      </c>
      <c r="G35" s="1926">
        <f>IF(AND(F35&gt;90,F35&lt;97),F35+10,F35)</f>
        <v>118</v>
      </c>
      <c r="H35" s="1927" t="str">
        <f>CHAR(INT(G35))</f>
        <v>v</v>
      </c>
    </row>
    <row r="36" spans="2:8" x14ac:dyDescent="0.25">
      <c r="B36" s="1923">
        <f>E6*10+E16*10+C19+C10+D21+E32/3</f>
        <v>139</v>
      </c>
      <c r="C36" s="1924">
        <f>_xlfn.NUMBERVALUE(RIGHT(B36,3))</f>
        <v>139</v>
      </c>
      <c r="D36" s="1925">
        <f>IF(C36&lt;65,65+C36/2,C36)</f>
        <v>139</v>
      </c>
      <c r="E36" s="1926">
        <f>IF(D36&gt;122,D36*0.5+5,D36)</f>
        <v>75</v>
      </c>
      <c r="F36" s="1926">
        <f>IF(E36&gt;122,122-E36/100*3,E36)</f>
        <v>75</v>
      </c>
      <c r="G36" s="1926">
        <f>IF(AND(F36&gt;90,F36&lt;97),F36+10,F36)</f>
        <v>75</v>
      </c>
      <c r="H36" s="1927" t="str">
        <f>CHAR(INT(G36))</f>
        <v>K</v>
      </c>
    </row>
    <row r="37" spans="2:8" x14ac:dyDescent="0.25">
      <c r="B37" s="1923">
        <f>E7*10+E17*10+C20+C11+D22*2+D32</f>
        <v>197</v>
      </c>
      <c r="C37" s="1924">
        <f>_xlfn.NUMBERVALUE(RIGHT(B37,3))</f>
        <v>197</v>
      </c>
      <c r="D37" s="1925">
        <f>IF(C37&lt;65,65+C37/2,C37)</f>
        <v>197</v>
      </c>
      <c r="E37" s="1926">
        <f>IF(D37&gt;122,D37*0.5+5,D37)</f>
        <v>104</v>
      </c>
      <c r="F37" s="1926">
        <f>IF(E37&gt;122,122-E37/100*3,E37)</f>
        <v>104</v>
      </c>
      <c r="G37" s="1926">
        <f>IF(AND(F37&gt;90,F37&lt;97),F37+10,F37)</f>
        <v>104</v>
      </c>
      <c r="H37" s="1927" t="str">
        <f>CHAR(INT(G37))</f>
        <v>h</v>
      </c>
    </row>
    <row r="38" spans="2:8" x14ac:dyDescent="0.25">
      <c r="B38" s="1923">
        <f>E8+E18+C21+C12+D23+C32+F4</f>
        <v>74</v>
      </c>
      <c r="C38" s="1924">
        <f>_xlfn.NUMBERVALUE(RIGHT(B38,3))</f>
        <v>74</v>
      </c>
      <c r="D38" s="1925">
        <f>IF(C38&lt;65,65+C38/2,C38)</f>
        <v>74</v>
      </c>
      <c r="E38" s="1926">
        <f>IF(D38&gt;122,D38*0.5+5,D38)</f>
        <v>74</v>
      </c>
      <c r="F38" s="1926">
        <f>IF(E38&gt;122,122-E38/100*3,E38)</f>
        <v>74</v>
      </c>
      <c r="G38" s="1926">
        <f>IF(AND(F38&gt;90,F38&lt;97),F38+10,F38)</f>
        <v>74</v>
      </c>
      <c r="H38" s="1927" t="str">
        <f>CHAR(INT(G38))</f>
        <v>J</v>
      </c>
    </row>
    <row r="39" spans="2:8" x14ac:dyDescent="0.25">
      <c r="B39" s="1928">
        <f>E9*10+E19+C22+C13+D24+B46+F32</f>
        <v>702</v>
      </c>
      <c r="C39" s="1929">
        <f>_xlfn.NUMBERVALUE(RIGHT(B39,3))</f>
        <v>702</v>
      </c>
      <c r="D39" s="1930">
        <f>IF(C39&lt;65,65+C39/2,C39)</f>
        <v>702</v>
      </c>
      <c r="E39" s="1931">
        <f>IF(D39&gt;122,D39*0.5+5,D39)</f>
        <v>356</v>
      </c>
      <c r="F39" s="1931">
        <f>IF(E39&gt;122,122-E39/100*3,E39)</f>
        <v>111</v>
      </c>
      <c r="G39" s="1931">
        <f>IF(AND(F39&gt;90,F39&lt;97),F39+10,F39)</f>
        <v>111</v>
      </c>
      <c r="H39" s="1932" t="str">
        <f>CHAR(INT(G39))</f>
        <v>o</v>
      </c>
    </row>
    <row r="40" spans="2:8" x14ac:dyDescent="0.25">
      <c r="B40" s="1933"/>
      <c r="C40" s="1934"/>
      <c r="D40" s="1934"/>
      <c r="E40" s="1934"/>
      <c r="F40" s="1935"/>
      <c r="H40" s="1909"/>
    </row>
    <row r="41" spans="2:8" x14ac:dyDescent="0.25">
      <c r="B41" s="1936" t="str">
        <f>LEFT(B4,3)</f>
        <v>045</v>
      </c>
      <c r="C41" s="1908"/>
      <c r="D41" s="1908"/>
      <c r="E41" s="1908"/>
      <c r="F41" s="1908"/>
      <c r="G41" s="1908"/>
      <c r="H41" s="1909"/>
    </row>
    <row r="42" spans="2:8" x14ac:dyDescent="0.25">
      <c r="B42" s="1936" t="str">
        <f>TEXT(C33,"000")</f>
        <v>038</v>
      </c>
      <c r="C42" s="1908"/>
      <c r="D42" s="1908"/>
      <c r="E42" s="1908"/>
      <c r="F42" s="1908"/>
      <c r="G42" s="1908"/>
      <c r="H42" s="1909"/>
    </row>
    <row r="43" spans="2:8" x14ac:dyDescent="0.25">
      <c r="B43" s="1936" t="str">
        <f>TEXT(D33,"000")</f>
        <v>378</v>
      </c>
      <c r="C43" s="1908"/>
      <c r="D43" s="1908"/>
      <c r="E43" s="1908"/>
      <c r="F43" s="1908"/>
      <c r="G43" s="1908"/>
      <c r="H43" s="1909"/>
    </row>
    <row r="44" spans="2:8" x14ac:dyDescent="0.25">
      <c r="B44" s="1936" t="str">
        <f>TEXT(E33,"000")</f>
        <v>271</v>
      </c>
      <c r="C44" s="1908"/>
      <c r="D44" s="1908"/>
      <c r="E44" s="1908"/>
      <c r="F44" s="1908"/>
      <c r="G44" s="1908"/>
      <c r="H44" s="1909"/>
    </row>
    <row r="45" spans="2:8" x14ac:dyDescent="0.25">
      <c r="B45" s="1936" t="str">
        <f>TEXT(F33,"000")</f>
        <v>230</v>
      </c>
      <c r="C45" s="1908"/>
      <c r="D45" s="1908"/>
      <c r="E45" s="1908"/>
      <c r="F45" s="1908"/>
      <c r="G45" s="1908"/>
      <c r="H45" s="1909"/>
    </row>
    <row r="46" spans="2:8" x14ac:dyDescent="0.25">
      <c r="B46" s="1936" t="str">
        <f>RIGHT(B4,3)</f>
        <v>443</v>
      </c>
      <c r="C46" s="1908"/>
      <c r="D46" s="1908"/>
      <c r="E46" s="1908"/>
      <c r="F46" s="1908"/>
      <c r="G46" s="1908"/>
      <c r="H46" s="1909"/>
    </row>
    <row r="47" spans="2:8" ht="16.5" thickBot="1" x14ac:dyDescent="0.3">
      <c r="B47" s="1914"/>
      <c r="C47" s="1908"/>
      <c r="D47" s="1908"/>
      <c r="E47" s="1908"/>
      <c r="F47" s="1908"/>
      <c r="G47" s="1908"/>
      <c r="H47" s="1909"/>
    </row>
    <row r="48" spans="2:8" ht="16.5" thickBot="1" x14ac:dyDescent="0.3">
      <c r="B48" s="1937" t="str">
        <f>B41&amp;H35&amp;B42&amp;H36&amp;B43&amp;H37&amp;B44&amp;H38&amp;B46&amp;H39&amp;B45</f>
        <v>045v038K378h271J443o230</v>
      </c>
      <c r="C48" s="1938"/>
      <c r="D48" s="1908"/>
      <c r="E48" s="1908" t="str">
        <f>LEFT(B48,3)</f>
        <v>045</v>
      </c>
      <c r="F48" s="1908" t="str">
        <f>RIGHT(B48,7)</f>
        <v>443o230</v>
      </c>
      <c r="G48" s="1908"/>
      <c r="H48" s="1909"/>
    </row>
    <row r="49" spans="1:8" x14ac:dyDescent="0.25">
      <c r="B49" s="1914"/>
      <c r="C49" s="1908"/>
      <c r="D49" s="1908"/>
      <c r="E49" s="1908" t="str">
        <f>LEFT(F48,3)</f>
        <v>443</v>
      </c>
      <c r="F49" s="1908"/>
      <c r="G49" s="1908"/>
      <c r="H49" s="1909"/>
    </row>
    <row r="50" spans="1:8" ht="16.5" thickBot="1" x14ac:dyDescent="0.3">
      <c r="B50" s="1939"/>
      <c r="C50" s="1940"/>
      <c r="D50" s="1940"/>
      <c r="E50" s="1941">
        <f>E48*1000+E49</f>
        <v>45443</v>
      </c>
      <c r="F50" s="1940"/>
      <c r="G50" s="1940"/>
      <c r="H50" s="1942"/>
    </row>
    <row r="51" spans="1:8" x14ac:dyDescent="0.25">
      <c r="A51" s="883" t="str">
        <f>RIGHT(A50,3)</f>
        <v/>
      </c>
      <c r="B51" s="1272">
        <f>C32*D32*E32*F32+99</f>
        <v>43756119</v>
      </c>
    </row>
    <row r="52" spans="1:8" x14ac:dyDescent="0.25">
      <c r="A52" s="883">
        <f>F$2*10+1</f>
        <v>401</v>
      </c>
      <c r="B52" s="1272">
        <f>INT((B$51/A52-INT(B$51/A52))*A52)</f>
        <v>201</v>
      </c>
      <c r="C52" s="1924">
        <f>_xlfn.NUMBERVALUE(RIGHT(B52,3))</f>
        <v>201</v>
      </c>
      <c r="D52" s="1925">
        <f>IF(C52&lt;65,65+C52/2,C52)</f>
        <v>201</v>
      </c>
      <c r="E52" s="1926">
        <f>IF(D52&gt;122,D52*0.5+5,D52)</f>
        <v>106</v>
      </c>
      <c r="F52" s="1926">
        <f>IF(E52&gt;122,122-E52/100*3,E52)</f>
        <v>106</v>
      </c>
      <c r="G52" s="1926">
        <f>IF(AND(F52&gt;90,F52&lt;97),F52+10,F52)</f>
        <v>106</v>
      </c>
      <c r="H52" s="1927" t="str">
        <f>CHAR(INT(G52))</f>
        <v>j</v>
      </c>
    </row>
    <row r="53" spans="1:8" x14ac:dyDescent="0.25">
      <c r="A53" s="1249">
        <f>B52+G52+2</f>
        <v>309</v>
      </c>
      <c r="B53" s="1272">
        <f t="shared" ref="B53:B54" si="3">INT((B$51/A53-INT(B$51/A53))*A53)</f>
        <v>174</v>
      </c>
      <c r="C53" s="1924">
        <f t="shared" ref="C53:C54" si="4">_xlfn.NUMBERVALUE(RIGHT(B53,3))</f>
        <v>174</v>
      </c>
      <c r="D53" s="1925">
        <f t="shared" ref="D53:D54" si="5">IF(C53&lt;65,65+C53/2,C53)</f>
        <v>174</v>
      </c>
      <c r="E53" s="1926">
        <f t="shared" ref="E53:E54" si="6">IF(D53&gt;122,D53*0.5+5,D53)</f>
        <v>92</v>
      </c>
      <c r="F53" s="1926">
        <f t="shared" ref="F53:F54" si="7">IF(E53&gt;122,122-E53/100*3,E53)</f>
        <v>92</v>
      </c>
      <c r="G53" s="1926">
        <f t="shared" ref="G53:G54" si="8">IF(AND(F53&gt;90,F53&lt;97),F53+10,F53)</f>
        <v>102</v>
      </c>
      <c r="H53" s="1927" t="str">
        <f t="shared" ref="H53:H54" si="9">CHAR(INT(G53))</f>
        <v>f</v>
      </c>
    </row>
    <row r="54" spans="1:8" x14ac:dyDescent="0.25">
      <c r="A54" s="1249">
        <f>G53+3</f>
        <v>105</v>
      </c>
      <c r="B54" s="1272">
        <f t="shared" si="3"/>
        <v>98</v>
      </c>
      <c r="C54" s="1924">
        <f t="shared" si="4"/>
        <v>98</v>
      </c>
      <c r="D54" s="1925">
        <f t="shared" si="5"/>
        <v>98</v>
      </c>
      <c r="E54" s="1926">
        <f t="shared" si="6"/>
        <v>98</v>
      </c>
      <c r="F54" s="1926">
        <f t="shared" si="7"/>
        <v>98</v>
      </c>
      <c r="G54" s="1926">
        <f t="shared" si="8"/>
        <v>98</v>
      </c>
      <c r="H54" s="1927" t="str">
        <f t="shared" si="9"/>
        <v>b</v>
      </c>
    </row>
    <row r="55" spans="1:8" x14ac:dyDescent="0.25">
      <c r="A55" s="883">
        <f>B32</f>
        <v>2573</v>
      </c>
      <c r="B55" s="1272">
        <f t="shared" ref="B55" si="10">INT((B$51/A55-INT(B$51/A55))*A55)</f>
        <v>2253</v>
      </c>
      <c r="C55" s="1924">
        <f t="shared" ref="C55" si="11">_xlfn.NUMBERVALUE(RIGHT(B55,3))</f>
        <v>253</v>
      </c>
      <c r="D55" s="1925">
        <f t="shared" ref="D55" si="12">IF(C55&lt;65,65+C55/2,C55)</f>
        <v>253</v>
      </c>
      <c r="E55" s="1926">
        <f t="shared" ref="E55" si="13">IF(D55&gt;122,D55*0.5+5,D55)</f>
        <v>132</v>
      </c>
      <c r="F55" s="1926">
        <f t="shared" ref="F55" si="14">IF(E55&gt;122,122-E55/100*3,E55)</f>
        <v>118</v>
      </c>
      <c r="G55" s="1926">
        <f t="shared" ref="G55" si="15">IF(AND(F55&gt;90,F55&lt;97),F55+10,F55)</f>
        <v>118</v>
      </c>
      <c r="H55" s="1927" t="str">
        <f t="shared" ref="H55" si="16">CHAR(INT(G55))</f>
        <v>v</v>
      </c>
    </row>
    <row r="56" spans="1:8" x14ac:dyDescent="0.25">
      <c r="B56" s="1943" t="str">
        <f>H52&amp;H53&amp;H54&amp;H55</f>
        <v>jfbv</v>
      </c>
    </row>
  </sheetData>
  <sheetProtection password="B984" sheet="1" objects="1" scenarios="1" selectLockedCells="1" selectUnlockedCells="1"/>
  <mergeCells count="2">
    <mergeCell ref="B2:E2"/>
    <mergeCell ref="B3:E3"/>
  </mergeCells>
  <dataValidations disablePrompts="1" count="2">
    <dataValidation operator="lessThan" allowBlank="1" showInputMessage="1" showErrorMessage="1" error="Maximal 40 Zeichen." sqref="B3:E3" xr:uid="{4DB7A285-9DAE-4FA6-8861-64CC43C5F856}"/>
    <dataValidation operator="lessThan" allowBlank="1" showInputMessage="1" showErrorMessage="1" error="Maximal 40 Zeichen" sqref="B2:E2" xr:uid="{8FDD301B-C4AA-4FAC-957A-AE4353077954}"/>
  </dataValidations>
  <pageMargins left="0.7" right="0.7" top="0.78740157499999996" bottom="0.78740157499999996" header="0.3" footer="0.3"/>
  <pageSetup paperSize="9" orientation="portrait" r:id="rId1"/>
  <headerFooter>
    <oddFooter>&amp;L&amp;10K3-Stammdaten
Seite: &amp;P von &amp;N&amp;R&amp;10&amp;F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tabColor rgb="FF00B050"/>
  </sheetPr>
  <dimension ref="A1:Y179"/>
  <sheetViews>
    <sheetView showGridLines="0" zoomScale="90" zoomScaleNormal="90" workbookViewId="0">
      <selection activeCell="I3" sqref="I3"/>
    </sheetView>
  </sheetViews>
  <sheetFormatPr baseColWidth="10" defaultColWidth="10.6640625" defaultRowHeight="15.75" x14ac:dyDescent="0.25"/>
  <cols>
    <col min="1" max="1" width="24" style="7" customWidth="1"/>
    <col min="2" max="2" width="10.77734375" style="7" customWidth="1"/>
    <col min="3" max="6" width="9.6640625" style="7" customWidth="1"/>
    <col min="7" max="7" width="18.77734375" style="7" customWidth="1"/>
    <col min="8" max="8" width="12.77734375" style="7" customWidth="1"/>
    <col min="9" max="9" width="21.33203125" style="7" customWidth="1"/>
    <col min="10" max="10" width="4.33203125" style="7" customWidth="1"/>
    <col min="11" max="11" width="10.6640625" style="7"/>
    <col min="12" max="12" width="20" style="7" customWidth="1"/>
    <col min="13" max="13" width="4.88671875" style="7" customWidth="1"/>
    <col min="14" max="14" width="6.33203125" style="7" customWidth="1"/>
    <col min="15" max="15" width="4.88671875" style="7" customWidth="1"/>
    <col min="16" max="16" width="6.44140625" style="7" hidden="1" customWidth="1"/>
    <col min="17" max="17" width="10.6640625" style="7" customWidth="1"/>
    <col min="18" max="21" width="10.6640625" style="7"/>
    <col min="22" max="25" width="10.6640625" style="161"/>
    <col min="26" max="16384" width="10.6640625" style="7"/>
  </cols>
  <sheetData>
    <row r="1" spans="1:16" ht="33" customHeight="1" x14ac:dyDescent="0.25">
      <c r="A1" s="3041" t="s">
        <v>112</v>
      </c>
      <c r="B1" s="3042"/>
      <c r="C1" s="3042"/>
      <c r="D1" s="3042"/>
      <c r="E1" s="3042"/>
      <c r="F1" s="3043"/>
      <c r="G1" s="3024" t="s">
        <v>438</v>
      </c>
      <c r="H1" s="3041" t="s">
        <v>270</v>
      </c>
      <c r="I1" s="3042"/>
      <c r="J1" s="3043"/>
      <c r="K1" s="1944"/>
      <c r="L1" s="3035"/>
      <c r="M1" s="3035"/>
      <c r="N1" s="3035"/>
      <c r="O1" s="3035"/>
      <c r="P1" s="3035"/>
    </row>
    <row r="2" spans="1:16" ht="50.1" customHeight="1" x14ac:dyDescent="0.25">
      <c r="A2" s="3050" t="str">
        <f ca="1">"Ihre Auswahl im Blatt STAMMDATEN: Quelldatei mit Namen ["&amp;I2&amp;J2&amp;"] und dem Blattnamen mit ["&amp;I3&amp;"]. "&amp;IF(H11=""," Die dort angelegten Stammdaten werden in das Kalk-Tool übertragen. ","Datei- und/oder Blattname konnte nicht gefunden werden!")</f>
        <v xml:space="preserve">Ihre Auswahl im Blatt STAMMDATEN: Quelldatei mit Namen [K3_Quelle.xlsx] und dem Blattnamen mit [Bauindustrie_gewerbe_26].  Die dort angelegten Stammdaten werden in das Kalk-Tool übertragen. </v>
      </c>
      <c r="B2" s="3051"/>
      <c r="C2" s="3051"/>
      <c r="D2" s="3051"/>
      <c r="E2" s="3051"/>
      <c r="F2" s="3052"/>
      <c r="G2" s="3025"/>
      <c r="H2" s="403" t="s">
        <v>442</v>
      </c>
      <c r="I2" s="1279" t="s">
        <v>979</v>
      </c>
      <c r="J2" s="398" t="s">
        <v>177</v>
      </c>
      <c r="K2" s="11">
        <f ca="1">IFERROR(INDIRECT(CONCATENATE("[",$I$2,".xlsx]","DPNK","!B4")),"f")</f>
        <v>0</v>
      </c>
    </row>
    <row r="3" spans="1:16" ht="50.1" customHeight="1" x14ac:dyDescent="0.25">
      <c r="A3" s="251" t="str">
        <f ca="1">IF(H11="","A) Der Kollektivvertrag","                               FEHLER:")</f>
        <v>A) Der Kollektivvertrag</v>
      </c>
      <c r="B3" s="3046" t="str">
        <f ca="1">IFERROR(INDIRECT(CONCATENATE("[",$I$2,".xlsx]",$I$4,"!B3")),IF(K2="f","Es ist keine Datei mit der Bezeichnung ["&amp;I2&amp;"] geöffnet!","Eine Datei mit dem Namen ["&amp;I2&amp;"] ist geöffnet, Tabellenblatt ["&amp;I3&amp;"] konnte darin nicht gefunden werden!"))</f>
        <v>KollV f Bauindustrie und Baugewerbe (Arbeiter)</v>
      </c>
      <c r="C3" s="3047"/>
      <c r="D3" s="3047"/>
      <c r="E3" s="3047"/>
      <c r="F3" s="3048"/>
      <c r="G3" s="3026"/>
      <c r="H3" s="404" t="s">
        <v>443</v>
      </c>
      <c r="I3" s="1280" t="s">
        <v>1146</v>
      </c>
      <c r="J3" s="10"/>
      <c r="K3" s="1945"/>
    </row>
    <row r="4" spans="1:16" ht="15.75" customHeight="1" x14ac:dyDescent="0.25">
      <c r="A4" s="148" t="s">
        <v>99</v>
      </c>
      <c r="B4" s="258">
        <f ca="1">IFERROR(INDIRECT(CONCATENATE("[",$I$2,".xlsx]",$I$4,"!B4")),"?")</f>
        <v>46143</v>
      </c>
      <c r="C4" s="188" t="s">
        <v>224</v>
      </c>
      <c r="D4" s="189">
        <f ca="1">INDIRECT(CONCATENATE("[",$I$2,".xlsx]",$I$4,"!D4"))</f>
        <v>1</v>
      </c>
      <c r="E4" s="3044" t="s">
        <v>157</v>
      </c>
      <c r="F4" s="3045"/>
      <c r="G4" s="2981" t="str">
        <f ca="1">IF(H11="",IF(OR(I6&gt;365,I10&gt;365),"Datum des KollV (Blatt ["&amp;I3&amp;"]) oder der DPNK (Blatt [DPNK]) sind älter als 1 Jahr. In der Quelldatei ["&amp;I2&amp;"] ggf. Daten und Datum aktualisieren!",""),"PRÜFEN: 1. Quelldaten aktuell? 2. KollV-Datum in der Quelldatei angegeben? 3. Quelldatei geöffnet? 4. Namen richtig übertragen?")</f>
        <v/>
      </c>
      <c r="H4" s="190"/>
      <c r="I4" s="254" t="str">
        <f>I3</f>
        <v>Bauindustrie_gewerbe_26</v>
      </c>
      <c r="J4" s="89"/>
      <c r="K4" s="1945"/>
    </row>
    <row r="5" spans="1:16" x14ac:dyDescent="0.25">
      <c r="A5" s="2992" t="s">
        <v>747</v>
      </c>
      <c r="B5" s="2994" t="s">
        <v>173</v>
      </c>
      <c r="C5" s="2994" t="s">
        <v>91</v>
      </c>
      <c r="D5" s="2988" t="s">
        <v>127</v>
      </c>
      <c r="E5" s="2994" t="s">
        <v>113</v>
      </c>
      <c r="F5" s="2988" t="s">
        <v>71</v>
      </c>
      <c r="G5" s="2982"/>
      <c r="H5" s="256" t="s">
        <v>279</v>
      </c>
      <c r="I5" s="97" t="str">
        <f ca="1">IFERROR(TEXT(B4,"TT.MM.JJJJ"),"Nicht auslesbar!!")</f>
        <v>01.05.2026</v>
      </c>
      <c r="J5" s="89"/>
      <c r="K5" s="1945"/>
    </row>
    <row r="6" spans="1:16" x14ac:dyDescent="0.25">
      <c r="A6" s="2993"/>
      <c r="B6" s="2995"/>
      <c r="C6" s="2995"/>
      <c r="D6" s="2989"/>
      <c r="E6" s="2995"/>
      <c r="F6" s="2989"/>
      <c r="G6" s="2982"/>
      <c r="H6" s="257" t="s">
        <v>281</v>
      </c>
      <c r="I6" s="191">
        <f ca="1">IFERROR(TODAY()-B4,99999999)</f>
        <v>-1</v>
      </c>
      <c r="J6" s="395"/>
      <c r="K6" s="186"/>
    </row>
    <row r="7" spans="1:16" x14ac:dyDescent="0.25">
      <c r="A7" s="104" t="str">
        <f ca="1">INDIRECT(CONCATENATE("[",$I$2,".xlsx]",$I$4,"!A7"))</f>
        <v>I.        Vizepolier</v>
      </c>
      <c r="B7" s="11">
        <f ca="1">INDIRECT(CONCATENATE("[",$I$2,".xlsx]",$I$4,"!B7"))</f>
        <v>22.57</v>
      </c>
      <c r="C7" s="105">
        <f ca="1">INDIRECT(CONCATENATE("[",$I$2,".xlsx]",$I$4,"!C7"))</f>
        <v>0</v>
      </c>
      <c r="D7" s="118">
        <f t="shared" ref="D7:D27" ca="1" si="0">B7*$D$4</f>
        <v>22.57</v>
      </c>
      <c r="E7" s="121">
        <f ca="1">INDIRECT(CONCATENATE("[",$I$2,".xlsx]",$I$4,"!E7"))</f>
        <v>0.15</v>
      </c>
      <c r="F7" s="118">
        <f ca="1">D7*E7</f>
        <v>3.39</v>
      </c>
      <c r="G7" s="2982"/>
      <c r="J7" s="255"/>
    </row>
    <row r="8" spans="1:16" x14ac:dyDescent="0.25">
      <c r="A8" s="104" t="str">
        <f ca="1">INDIRECT(CONCATENATE("[",$I$2,".xlsx]",$I$4,"!A8"))</f>
        <v>IIa.    Vorarbeiter</v>
      </c>
      <c r="B8" s="11">
        <f ca="1">INDIRECT(CONCATENATE("[",$I$2,".xlsx]",$I$4,"!B8"))</f>
        <v>21.96</v>
      </c>
      <c r="C8" s="105">
        <f ca="1">INDIRECT(CONCATENATE("[",$I$2,".xlsx]",$I$4,"!C8"))</f>
        <v>0</v>
      </c>
      <c r="D8" s="118">
        <f t="shared" ca="1" si="0"/>
        <v>21.96</v>
      </c>
      <c r="E8" s="121">
        <f ca="1">INDIRECT(CONCATENATE("[",$I$2,".xlsx]",$I$4,"!E8"))</f>
        <v>0.15</v>
      </c>
      <c r="F8" s="118">
        <f t="shared" ref="F8:F27" ca="1" si="1">D8*E8</f>
        <v>3.29</v>
      </c>
      <c r="G8" s="2982"/>
      <c r="J8" s="255"/>
    </row>
    <row r="9" spans="1:16" ht="15.75" customHeight="1" x14ac:dyDescent="0.25">
      <c r="A9" s="104" t="str">
        <f ca="1">INDIRECT(CONCATENATE("[",$I$2,".xlsx]",$I$4,"!A9"))</f>
        <v>IIb.   Facharbeiter</v>
      </c>
      <c r="B9" s="11">
        <f ca="1">INDIRECT(CONCATENATE("[",$I$2,".xlsx]",$I$4,"!B9"))</f>
        <v>19.989999999999998</v>
      </c>
      <c r="C9" s="105">
        <f ca="1">INDIRECT(CONCATENATE("[",$I$2,".xlsx]",$I$4,"!C9"))</f>
        <v>0</v>
      </c>
      <c r="D9" s="118">
        <f t="shared" ca="1" si="0"/>
        <v>19.989999999999998</v>
      </c>
      <c r="E9" s="121">
        <f ca="1">INDIRECT(CONCATENATE("[",$I$2,".xlsx]",$I$4,"!E9"))</f>
        <v>0.15</v>
      </c>
      <c r="F9" s="118">
        <f t="shared" ca="1" si="1"/>
        <v>3</v>
      </c>
      <c r="G9" s="2982"/>
      <c r="H9" s="253" t="s">
        <v>280</v>
      </c>
      <c r="I9" s="97" t="str">
        <f ca="1">IFERROR(TEXT(B134,"TT.MM.JJJJ"),"Nicht auslesbar!!")</f>
        <v>01.01.2026</v>
      </c>
      <c r="N9" s="1148"/>
      <c r="P9" s="1148"/>
    </row>
    <row r="10" spans="1:16" ht="15.75" customHeight="1" x14ac:dyDescent="0.25">
      <c r="A10" s="104" t="str">
        <f ca="1">INDIRECT(CONCATENATE("[",$I$2,".xlsx]",$I$4,"!A10"))</f>
        <v>IIIa.  Angelernter Bauarbeiter</v>
      </c>
      <c r="B10" s="11">
        <f ca="1">INDIRECT(CONCATENATE("[",$I$2,".xlsx]",$I$4,"!B10"))</f>
        <v>19.98</v>
      </c>
      <c r="C10" s="105">
        <f ca="1">INDIRECT(CONCATENATE("[",$I$2,".xlsx]",$I$4,"!C10"))</f>
        <v>0</v>
      </c>
      <c r="D10" s="118">
        <f t="shared" ca="1" si="0"/>
        <v>19.98</v>
      </c>
      <c r="E10" s="121">
        <f ca="1">INDIRECT(CONCATENATE("[",$I$2,".xlsx]",$I$4,"!E10"))</f>
        <v>0.15</v>
      </c>
      <c r="F10" s="118">
        <f t="shared" ca="1" si="1"/>
        <v>3</v>
      </c>
      <c r="G10" s="2983"/>
      <c r="H10" s="257" t="s">
        <v>281</v>
      </c>
      <c r="I10" s="191">
        <f ca="1">IFERROR(TODAY()-B134,999999999)</f>
        <v>119</v>
      </c>
    </row>
    <row r="11" spans="1:16" ht="15.75" customHeight="1" x14ac:dyDescent="0.25">
      <c r="A11" s="104" t="str">
        <f ca="1">INDIRECT(CONCATENATE("[",$I$2,".xlsx]",$I$4,"!A11"))</f>
        <v>IIIb.  Angelernter Bauarbeiter</v>
      </c>
      <c r="B11" s="11">
        <f ca="1">INDIRECT(CONCATENATE("[",$I$2,".xlsx]",$I$4,"!B11"))</f>
        <v>19.53</v>
      </c>
      <c r="C11" s="105">
        <f ca="1">INDIRECT(CONCATENATE("[",$I$2,".xlsx]",$I$4,"!C11"))</f>
        <v>0</v>
      </c>
      <c r="D11" s="118">
        <f t="shared" ca="1" si="0"/>
        <v>19.53</v>
      </c>
      <c r="E11" s="121">
        <f ca="1">INDIRECT(CONCATENATE("[",$I$2,".xlsx]",$I$4,"!E11"))</f>
        <v>0.15</v>
      </c>
      <c r="F11" s="118">
        <f t="shared" ca="1" si="1"/>
        <v>2.93</v>
      </c>
      <c r="G11" s="252"/>
      <c r="H11" s="3040" t="str">
        <f ca="1">IF(B4="?","Keine Quelldaten gefunden!"&amp;"
1. Die Quelldaten-Datei MUSS geöffnet sein;
2. Der Dateiname für die QUELLDATEN-Datei und die Bezeichnung des Tabellenblattes müssen exakt übereinstimmen"&amp;" (wenn Sie eine Quelldateivorlage ab 02/2024 verwenden, werden Ihnen in den Tabellenblättern die zu übertragenden Namen angezeigt);"&amp;"
3. In der Quelldatei müssen der KollV und die SV-Werte mit einem DATUM versehen sein.","")</f>
        <v/>
      </c>
      <c r="I11" s="3040"/>
      <c r="J11" s="3040"/>
    </row>
    <row r="12" spans="1:16" ht="15.75" customHeight="1" x14ac:dyDescent="0.25">
      <c r="A12" s="104" t="str">
        <f ca="1">INDIRECT(CONCATENATE("[",$I$2,".xlsx]",$I$4,"!A12"))</f>
        <v>IIIc.  Angelernter Bauarbeiter</v>
      </c>
      <c r="B12" s="11">
        <f ca="1">INDIRECT(CONCATENATE("[",$I$2,".xlsx]",$I$4,"!B12"))</f>
        <v>19.079999999999998</v>
      </c>
      <c r="C12" s="105">
        <f ca="1">INDIRECT(CONCATENATE("[",$I$2,".xlsx]",$I$4,"!C12"))</f>
        <v>0</v>
      </c>
      <c r="D12" s="118">
        <f t="shared" ca="1" si="0"/>
        <v>19.079999999999998</v>
      </c>
      <c r="E12" s="121">
        <f ca="1">INDIRECT(CONCATENATE("[",$I$2,".xlsx]",$I$4,"!E12"))</f>
        <v>0.15</v>
      </c>
      <c r="F12" s="118">
        <f t="shared" ca="1" si="1"/>
        <v>2.86</v>
      </c>
      <c r="G12" s="252"/>
      <c r="H12" s="3040"/>
      <c r="I12" s="3040"/>
      <c r="J12" s="3040"/>
      <c r="L12" s="1148"/>
      <c r="M12" s="1148"/>
      <c r="N12" s="1148"/>
      <c r="O12" s="1148"/>
      <c r="P12" s="1148" t="s">
        <v>1000</v>
      </c>
    </row>
    <row r="13" spans="1:16" ht="15.75" customHeight="1" x14ac:dyDescent="0.25">
      <c r="A13" s="104" t="str">
        <f ca="1">INDIRECT(CONCATENATE("[",$I$2,".xlsx]",$I$4,"!A13"))</f>
        <v>IIId.  Angelernter Bauarbeiter</v>
      </c>
      <c r="B13" s="11">
        <f ca="1">INDIRECT(CONCATENATE("[",$I$2,".xlsx]",$I$4,"!B13"))</f>
        <v>18.59</v>
      </c>
      <c r="C13" s="105">
        <f ca="1">INDIRECT(CONCATENATE("[",$I$2,".xlsx]",$I$4,"!C13"))</f>
        <v>0</v>
      </c>
      <c r="D13" s="118">
        <f t="shared" ca="1" si="0"/>
        <v>18.59</v>
      </c>
      <c r="E13" s="121">
        <f ca="1">INDIRECT(CONCATENATE("[",$I$2,".xlsx]",$I$4,"!E13"))</f>
        <v>0.15</v>
      </c>
      <c r="F13" s="118">
        <f t="shared" ca="1" si="1"/>
        <v>2.79</v>
      </c>
      <c r="H13" s="3040"/>
      <c r="I13" s="3040"/>
      <c r="J13" s="3040"/>
      <c r="L13" s="3037"/>
      <c r="M13" s="3037"/>
      <c r="N13" s="3037"/>
      <c r="O13" s="3037"/>
      <c r="P13" s="3037"/>
    </row>
    <row r="14" spans="1:16" ht="15.75" customHeight="1" x14ac:dyDescent="0.25">
      <c r="A14" s="104" t="str">
        <f ca="1">INDIRECT(CONCATENATE("[",$I$2,".xlsx]",$I$4,"!A14"))</f>
        <v>IIIe.  Angelernter Bauarbeiter</v>
      </c>
      <c r="B14" s="11">
        <f ca="1">INDIRECT(CONCATENATE("[",$I$2,".xlsx]",$I$4,"!B14"))</f>
        <v>17.91</v>
      </c>
      <c r="C14" s="105">
        <f ca="1">INDIRECT(CONCATENATE("[",$I$2,".xlsx]",$I$4,"!C14"))</f>
        <v>0</v>
      </c>
      <c r="D14" s="118">
        <f t="shared" ca="1" si="0"/>
        <v>17.91</v>
      </c>
      <c r="E14" s="121">
        <f ca="1">INDIRECT(CONCATENATE("[",$I$2,".xlsx]",$I$4,"!E14"))</f>
        <v>0.15</v>
      </c>
      <c r="F14" s="118">
        <f t="shared" ca="1" si="1"/>
        <v>2.69</v>
      </c>
      <c r="G14" s="3036" t="str">
        <f>IFERROR(IF(_OK_KV?&lt;&gt;"OK_KV!",L13,""),"Quelldatei geöffnet? Vorhandenes Blatt ausgewählt? Zulässigen KollV verwendet (bei Verbandslizenzierung für Mitglieder)?")</f>
        <v/>
      </c>
      <c r="H14" s="3040"/>
      <c r="I14" s="3040"/>
      <c r="J14" s="3040"/>
    </row>
    <row r="15" spans="1:16" ht="15.75" customHeight="1" x14ac:dyDescent="0.25">
      <c r="A15" s="104" t="str">
        <f ca="1">INDIRECT(CONCATENATE("[",$I$2,".xlsx]",$I$4,"!A15"))</f>
        <v>IV.   Bauhilfsarbeiter</v>
      </c>
      <c r="B15" s="11">
        <f ca="1">INDIRECT(CONCATENATE("[",$I$2,".xlsx]",$I$4,"!B15"))</f>
        <v>17.03</v>
      </c>
      <c r="C15" s="105" t="str">
        <f ca="1">INDIRECT(CONCATENATE("[",$I$2,".xlsx]",$I$4,"!C15"))</f>
        <v>IV.</v>
      </c>
      <c r="D15" s="118">
        <f t="shared" ca="1" si="0"/>
        <v>17.03</v>
      </c>
      <c r="E15" s="121">
        <f ca="1">INDIRECT(CONCATENATE("[",$I$2,".xlsx]",$I$4,"!E15"))</f>
        <v>0.15</v>
      </c>
      <c r="F15" s="118">
        <f t="shared" ca="1" si="1"/>
        <v>2.5499999999999998</v>
      </c>
      <c r="G15" s="3036"/>
      <c r="H15" s="3040"/>
      <c r="I15" s="3040"/>
      <c r="J15" s="3040"/>
    </row>
    <row r="16" spans="1:16" ht="15.75" customHeight="1" x14ac:dyDescent="0.25">
      <c r="A16" s="104">
        <f ca="1">INDIRECT(CONCATENATE("[",$I$2,".xlsx]",$I$4,"!A16"))</f>
        <v>0</v>
      </c>
      <c r="B16" s="11">
        <f ca="1">INDIRECT(CONCATENATE("[",$I$2,".xlsx]",$I$4,"!B16"))</f>
        <v>0</v>
      </c>
      <c r="C16" s="105">
        <f ca="1">INDIRECT(CONCATENATE("[",$I$2,".xlsx]",$I$4,"!C16"))</f>
        <v>0</v>
      </c>
      <c r="D16" s="118">
        <f t="shared" ca="1" si="0"/>
        <v>0</v>
      </c>
      <c r="E16" s="121">
        <f ca="1">INDIRECT(CONCATENATE("[",$I$2,".xlsx]",$I$4,"!E16"))</f>
        <v>0</v>
      </c>
      <c r="F16" s="118">
        <f t="shared" ca="1" si="1"/>
        <v>0</v>
      </c>
      <c r="G16" s="3036"/>
      <c r="H16" s="3040"/>
      <c r="I16" s="3040"/>
      <c r="J16" s="3040"/>
    </row>
    <row r="17" spans="1:10" ht="15.75" customHeight="1" x14ac:dyDescent="0.25">
      <c r="A17" s="104" t="str">
        <f ca="1">INDIRECT(CONCATENATE("[",$I$2,".xlsx]",$I$4,"!A17"))</f>
        <v># eingetragene Werte prüfen</v>
      </c>
      <c r="B17" s="11">
        <f ca="1">INDIRECT(CONCATENATE("[",$I$2,".xlsx]",$I$4,"!B17"))</f>
        <v>0</v>
      </c>
      <c r="C17" s="105">
        <f ca="1">INDIRECT(CONCATENATE("[",$I$2,".xlsx]",$I$4,"!C17"))</f>
        <v>0</v>
      </c>
      <c r="D17" s="118">
        <f t="shared" ca="1" si="0"/>
        <v>0</v>
      </c>
      <c r="E17" s="121">
        <f ca="1">INDIRECT(CONCATENATE("[",$I$2,".xlsx]",$I$4,"!E17"))</f>
        <v>0</v>
      </c>
      <c r="F17" s="118">
        <f t="shared" ca="1" si="1"/>
        <v>0</v>
      </c>
      <c r="G17" s="3036"/>
      <c r="H17" s="3040"/>
      <c r="I17" s="3040"/>
      <c r="J17" s="3040"/>
    </row>
    <row r="18" spans="1:10" ht="15.75" customHeight="1" x14ac:dyDescent="0.25">
      <c r="A18" s="104" t="str">
        <f ca="1">INDIRECT(CONCATENATE("[",$I$2,".xlsx]",$I$4,"!A18"))</f>
        <v># AKV auf betriebliche Werte ändern!</v>
      </c>
      <c r="B18" s="11">
        <f ca="1">INDIRECT(CONCATENATE("[",$I$2,".xlsx]",$I$4,"!B18"))</f>
        <v>0</v>
      </c>
      <c r="C18" s="105">
        <f ca="1">INDIRECT(CONCATENATE("[",$I$2,".xlsx]",$I$4,"!C18"))</f>
        <v>0</v>
      </c>
      <c r="D18" s="118">
        <f t="shared" ca="1" si="0"/>
        <v>0</v>
      </c>
      <c r="E18" s="121">
        <f ca="1">INDIRECT(CONCATENATE("[",$I$2,".xlsx]",$I$4,"!E18"))</f>
        <v>0</v>
      </c>
      <c r="F18" s="118">
        <f t="shared" ca="1" si="1"/>
        <v>0</v>
      </c>
      <c r="G18" s="3036"/>
      <c r="H18" s="3040"/>
      <c r="I18" s="3040"/>
      <c r="J18" s="3040"/>
    </row>
    <row r="19" spans="1:10" x14ac:dyDescent="0.25">
      <c r="A19" s="104" t="str">
        <f ca="1">INDIRECT(CONCATENATE("[",$I$2,".xlsx]",$I$4,"!A19"))</f>
        <v>Fassader (Wien)</v>
      </c>
      <c r="B19" s="11">
        <f ca="1">INDIRECT(CONCATENATE("[",$I$2,".xlsx]",$I$4,"!B19"))</f>
        <v>22.1</v>
      </c>
      <c r="C19" s="105">
        <f ca="1">INDIRECT(CONCATENATE("[",$I$2,".xlsx]",$I$4,"!C19"))</f>
        <v>0</v>
      </c>
      <c r="D19" s="118">
        <f t="shared" ca="1" si="0"/>
        <v>22.1</v>
      </c>
      <c r="E19" s="121">
        <f ca="1">INDIRECT(CONCATENATE("[",$I$2,".xlsx]",$I$4,"!E19"))</f>
        <v>0.15</v>
      </c>
      <c r="F19" s="118">
        <f t="shared" ca="1" si="1"/>
        <v>3.32</v>
      </c>
      <c r="G19" s="3036"/>
      <c r="H19" s="3040"/>
      <c r="I19" s="3040"/>
      <c r="J19" s="3040"/>
    </row>
    <row r="20" spans="1:10" x14ac:dyDescent="0.25">
      <c r="A20" s="104" t="str">
        <f ca="1">INDIRECT(CONCATENATE("[",$I$2,".xlsx]",$I$4,"!A20"))</f>
        <v>Lenkstunde (§8 Z 1b)</v>
      </c>
      <c r="B20" s="11">
        <f ca="1">INDIRECT(CONCATENATE("[",$I$2,".xlsx]",$I$4,"!B20"))</f>
        <v>15.75</v>
      </c>
      <c r="C20" s="105">
        <f ca="1">INDIRECT(CONCATENATE("[",$I$2,".xlsx]",$I$4,"!C20"))</f>
        <v>0</v>
      </c>
      <c r="D20" s="118">
        <f t="shared" ca="1" si="0"/>
        <v>15.75</v>
      </c>
      <c r="E20" s="121">
        <f ca="1">INDIRECT(CONCATENATE("[",$I$2,".xlsx]",$I$4,"!E20"))</f>
        <v>0.15</v>
      </c>
      <c r="F20" s="118">
        <f t="shared" ca="1" si="1"/>
        <v>2.36</v>
      </c>
      <c r="G20" s="3036"/>
      <c r="H20" s="3040"/>
      <c r="I20" s="3040"/>
      <c r="J20" s="3040"/>
    </row>
    <row r="21" spans="1:10" x14ac:dyDescent="0.25">
      <c r="A21" s="104" t="str">
        <f ca="1">INDIRECT(CONCATENATE("[",$I$2,".xlsx]",$I$4,"!A21"))</f>
        <v>KV Feuerungstechnische Betriebe:</v>
      </c>
      <c r="B21" s="11">
        <f ca="1">INDIRECT(CONCATENATE("[",$I$2,".xlsx]",$I$4,"!B21"))</f>
        <v>0</v>
      </c>
      <c r="C21" s="105">
        <f ca="1">INDIRECT(CONCATENATE("[",$I$2,".xlsx]",$I$4,"!C21"))</f>
        <v>0</v>
      </c>
      <c r="D21" s="118">
        <f t="shared" ca="1" si="0"/>
        <v>0</v>
      </c>
      <c r="E21" s="121">
        <f ca="1">INDIRECT(CONCATENATE("[",$I$2,".xlsx]",$I$4,"!E21"))</f>
        <v>0.15</v>
      </c>
      <c r="F21" s="118">
        <f t="shared" ca="1" si="1"/>
        <v>0</v>
      </c>
      <c r="G21" s="3036"/>
      <c r="H21" s="3040"/>
      <c r="I21" s="3040"/>
      <c r="J21" s="3040"/>
    </row>
    <row r="22" spans="1:10" x14ac:dyDescent="0.25">
      <c r="A22" s="104" t="str">
        <f ca="1">INDIRECT(CONCATENATE("[",$I$2,".xlsx]",$I$4,"!A22"))</f>
        <v>a) Schornsteinbau (Vorarb.)</v>
      </c>
      <c r="B22" s="11">
        <f ca="1">INDIRECT(CONCATENATE("[",$I$2,".xlsx]",$I$4,"!B22"))</f>
        <v>30.71</v>
      </c>
      <c r="C22" s="105">
        <f ca="1">INDIRECT(CONCATENATE("[",$I$2,".xlsx]",$I$4,"!C22"))</f>
        <v>0</v>
      </c>
      <c r="D22" s="118">
        <f t="shared" ca="1" si="0"/>
        <v>30.71</v>
      </c>
      <c r="E22" s="121">
        <f ca="1">INDIRECT(CONCATENATE("[",$I$2,".xlsx]",$I$4,"!E22"))</f>
        <v>0.15</v>
      </c>
      <c r="F22" s="118">
        <f t="shared" ca="1" si="1"/>
        <v>4.6100000000000003</v>
      </c>
      <c r="G22" s="3036"/>
    </row>
    <row r="23" spans="1:10" x14ac:dyDescent="0.25">
      <c r="A23" s="104" t="str">
        <f ca="1">INDIRECT(CONCATENATE("[",$I$2,".xlsx]",$I$4,"!A23"))</f>
        <v>b) Feuerfestbau (Vorarb.)</v>
      </c>
      <c r="B23" s="11">
        <f ca="1">INDIRECT(CONCATENATE("[",$I$2,".xlsx]",$I$4,"!B23"))</f>
        <v>28.91</v>
      </c>
      <c r="C23" s="105">
        <f ca="1">INDIRECT(CONCATENATE("[",$I$2,".xlsx]",$I$4,"!C23"))</f>
        <v>0</v>
      </c>
      <c r="D23" s="118">
        <f t="shared" ca="1" si="0"/>
        <v>28.91</v>
      </c>
      <c r="E23" s="121">
        <f ca="1">INDIRECT(CONCATENATE("[",$I$2,".xlsx]",$I$4,"!E23"))</f>
        <v>0.15</v>
      </c>
      <c r="F23" s="118">
        <f t="shared" ca="1" si="1"/>
        <v>4.34</v>
      </c>
      <c r="G23" s="3036"/>
    </row>
    <row r="24" spans="1:10" x14ac:dyDescent="0.25">
      <c r="A24" s="104" t="str">
        <f ca="1">INDIRECT(CONCATENATE("[",$I$2,".xlsx]",$I$4,"!A24"))</f>
        <v>c) Schornsteinmaurer</v>
      </c>
      <c r="B24" s="11">
        <f ca="1">INDIRECT(CONCATENATE("[",$I$2,".xlsx]",$I$4,"!B24"))</f>
        <v>28.45</v>
      </c>
      <c r="C24" s="105">
        <f ca="1">INDIRECT(CONCATENATE("[",$I$2,".xlsx]",$I$4,"!C24"))</f>
        <v>0</v>
      </c>
      <c r="D24" s="118">
        <f t="shared" ca="1" si="0"/>
        <v>28.45</v>
      </c>
      <c r="E24" s="121">
        <f ca="1">INDIRECT(CONCATENATE("[",$I$2,".xlsx]",$I$4,"!E24"))</f>
        <v>0.15</v>
      </c>
      <c r="F24" s="118">
        <f t="shared" ca="1" si="1"/>
        <v>4.2699999999999996</v>
      </c>
      <c r="G24" s="3036"/>
    </row>
    <row r="25" spans="1:10" x14ac:dyDescent="0.25">
      <c r="A25" s="104" t="str">
        <f ca="1">INDIRECT(CONCATENATE("[",$I$2,".xlsx]",$I$4,"!A25"))</f>
        <v>d) Feuerungsmaurer (&gt;4J)</v>
      </c>
      <c r="B25" s="11">
        <f ca="1">INDIRECT(CONCATENATE("[",$I$2,".xlsx]",$I$4,"!B25"))</f>
        <v>24.46</v>
      </c>
      <c r="C25" s="105">
        <f ca="1">INDIRECT(CONCATENATE("[",$I$2,".xlsx]",$I$4,"!C25"))</f>
        <v>0</v>
      </c>
      <c r="D25" s="118">
        <f t="shared" ca="1" si="0"/>
        <v>24.46</v>
      </c>
      <c r="E25" s="121">
        <f ca="1">INDIRECT(CONCATENATE("[",$I$2,".xlsx]",$I$4,"!E25"))</f>
        <v>0.15</v>
      </c>
      <c r="F25" s="118">
        <f t="shared" ca="1" si="1"/>
        <v>3.67</v>
      </c>
      <c r="G25" s="3036"/>
    </row>
    <row r="26" spans="1:10" x14ac:dyDescent="0.25">
      <c r="A26" s="104" t="str">
        <f ca="1">INDIRECT(CONCATENATE("[",$I$2,".xlsx]",$I$4,"!A26"))</f>
        <v>e) Feuerungsmaurer (&gt;2J)</v>
      </c>
      <c r="B26" s="11">
        <f ca="1">INDIRECT(CONCATENATE("[",$I$2,".xlsx]",$I$4,"!B26"))</f>
        <v>21.96</v>
      </c>
      <c r="C26" s="105">
        <f ca="1">INDIRECT(CONCATENATE("[",$I$2,".xlsx]",$I$4,"!C26"))</f>
        <v>0</v>
      </c>
      <c r="D26" s="118">
        <f t="shared" ca="1" si="0"/>
        <v>21.96</v>
      </c>
      <c r="E26" s="121">
        <f ca="1">INDIRECT(CONCATENATE("[",$I$2,".xlsx]",$I$4,"!E26"))</f>
        <v>0.15</v>
      </c>
      <c r="F26" s="118">
        <f t="shared" ca="1" si="1"/>
        <v>3.29</v>
      </c>
      <c r="G26" s="3036"/>
    </row>
    <row r="27" spans="1:10" x14ac:dyDescent="0.25">
      <c r="A27" s="104" t="str">
        <f ca="1">INDIRECT(CONCATENATE("[",$I$2,".xlsx]",$I$4,"!A27"))</f>
        <v>f) Feuerungsmaurer (1J)</v>
      </c>
      <c r="B27" s="11">
        <f ca="1">INDIRECT(CONCATENATE("[",$I$2,".xlsx]",$I$4,"!B27"))</f>
        <v>19.989999999999998</v>
      </c>
      <c r="C27" s="105">
        <f ca="1">INDIRECT(CONCATENATE("[",$I$2,".xlsx]",$I$4,"!C27"))</f>
        <v>0</v>
      </c>
      <c r="D27" s="118">
        <f t="shared" ca="1" si="0"/>
        <v>19.989999999999998</v>
      </c>
      <c r="E27" s="121">
        <f ca="1">INDIRECT(CONCATENATE("[",$I$2,".xlsx]",$I$4,"!E27"))</f>
        <v>0.15</v>
      </c>
      <c r="F27" s="118">
        <f t="shared" ca="1" si="1"/>
        <v>3</v>
      </c>
      <c r="G27" s="3036"/>
    </row>
    <row r="28" spans="1:10" x14ac:dyDescent="0.25">
      <c r="A28" s="104">
        <f ca="1">INDIRECT(CONCATENATE("[",$I$2,".xlsx]",$I$4,"!A28"))</f>
        <v>0</v>
      </c>
      <c r="B28" s="11">
        <f ca="1">INDIRECT(CONCATENATE("[",$I$2,".xlsx]",$I$4,"!B28"))</f>
        <v>0</v>
      </c>
      <c r="C28" s="105">
        <f ca="1">INDIRECT(CONCATENATE("[",$I$2,".xlsx]",$I$4,"!C28"))</f>
        <v>0</v>
      </c>
      <c r="D28" s="118">
        <f t="shared" ref="D28:D32" ca="1" si="2">B28*$D$4</f>
        <v>0</v>
      </c>
      <c r="E28" s="121">
        <f ca="1">INDIRECT(CONCATENATE("[",$I$2,".xlsx]",$I$4,"!E28"))</f>
        <v>0</v>
      </c>
      <c r="F28" s="118">
        <f t="shared" ref="F28:F32" ca="1" si="3">D28*E28</f>
        <v>0</v>
      </c>
      <c r="G28" s="3036"/>
    </row>
    <row r="29" spans="1:10" x14ac:dyDescent="0.25">
      <c r="A29" s="104" t="str">
        <f ca="1">INDIRECT(CONCATENATE("[",$I$2,".xlsx]",$I$4,"!A29"))</f>
        <v>KV Rohrleger</v>
      </c>
      <c r="B29" s="11">
        <f ca="1">INDIRECT(CONCATENATE("[",$I$2,".xlsx]",$I$4,"!B29"))</f>
        <v>0</v>
      </c>
      <c r="C29" s="105">
        <f ca="1">INDIRECT(CONCATENATE("[",$I$2,".xlsx]",$I$4,"!C29"))</f>
        <v>0</v>
      </c>
      <c r="D29" s="118">
        <f t="shared" ca="1" si="2"/>
        <v>0</v>
      </c>
      <c r="E29" s="121">
        <f ca="1">INDIRECT(CONCATENATE("[",$I$2,".xlsx]",$I$4,"!E29"))</f>
        <v>0</v>
      </c>
      <c r="F29" s="118">
        <f t="shared" ca="1" si="3"/>
        <v>0</v>
      </c>
      <c r="G29" s="3036"/>
    </row>
    <row r="30" spans="1:10" x14ac:dyDescent="0.25">
      <c r="A30" s="104" t="str">
        <f ca="1">INDIRECT(CONCATENATE("[",$I$2,".xlsx]",$I$4,"!A30"))</f>
        <v>Rohrleger</v>
      </c>
      <c r="B30" s="11">
        <f ca="1">INDIRECT(CONCATENATE("[",$I$2,".xlsx]",$I$4,"!B30"))</f>
        <v>0</v>
      </c>
      <c r="C30" s="105">
        <f ca="1">INDIRECT(CONCATENATE("[",$I$2,".xlsx]",$I$4,"!C30"))</f>
        <v>0</v>
      </c>
      <c r="D30" s="118">
        <f t="shared" ca="1" si="2"/>
        <v>0</v>
      </c>
      <c r="E30" s="121">
        <f ca="1">INDIRECT(CONCATENATE("[",$I$2,".xlsx]",$I$4,"!E30"))</f>
        <v>0</v>
      </c>
      <c r="F30" s="118">
        <f t="shared" ca="1" si="3"/>
        <v>0</v>
      </c>
      <c r="G30" s="3036"/>
    </row>
    <row r="31" spans="1:10" x14ac:dyDescent="0.25">
      <c r="A31" s="104" t="str">
        <f ca="1">INDIRECT(CONCATENATE("[",$I$2,".xlsx]",$I$4,"!A31"))</f>
        <v>Rohrleger-Helfer</v>
      </c>
      <c r="B31" s="11">
        <f ca="1">INDIRECT(CONCATENATE("[",$I$2,".xlsx]",$I$4,"!B31"))</f>
        <v>0</v>
      </c>
      <c r="C31" s="105">
        <f ca="1">INDIRECT(CONCATENATE("[",$I$2,".xlsx]",$I$4,"!C31"))</f>
        <v>0</v>
      </c>
      <c r="D31" s="118">
        <f t="shared" ca="1" si="2"/>
        <v>0</v>
      </c>
      <c r="E31" s="121">
        <f ca="1">INDIRECT(CONCATENATE("[",$I$2,".xlsx]",$I$4,"!E31"))</f>
        <v>0</v>
      </c>
      <c r="F31" s="118">
        <f t="shared" ca="1" si="3"/>
        <v>0</v>
      </c>
      <c r="G31" s="3036"/>
    </row>
    <row r="32" spans="1:10" x14ac:dyDescent="0.25">
      <c r="A32" s="104">
        <f ca="1">INDIRECT(CONCATENATE("[",$I$2,".xlsx]",$I$4,"!A32"))</f>
        <v>0</v>
      </c>
      <c r="B32" s="11">
        <f ca="1">INDIRECT(CONCATENATE("[",$I$2,".xlsx]",$I$4,"!B32"))</f>
        <v>0</v>
      </c>
      <c r="C32" s="105">
        <f ca="1">INDIRECT(CONCATENATE("[",$I$2,".xlsx]",$I$4,"!C32"))</f>
        <v>0</v>
      </c>
      <c r="D32" s="118">
        <f t="shared" ca="1" si="2"/>
        <v>0</v>
      </c>
      <c r="E32" s="121">
        <f ca="1">INDIRECT(CONCATENATE("[",$I$2,".xlsx]",$I$4,"!E32"))</f>
        <v>0</v>
      </c>
      <c r="F32" s="118">
        <f t="shared" ca="1" si="3"/>
        <v>0</v>
      </c>
      <c r="G32" s="3036"/>
    </row>
    <row r="33" spans="1:7" x14ac:dyDescent="0.25">
      <c r="A33" s="888"/>
      <c r="B33" s="895"/>
      <c r="C33" s="901"/>
      <c r="D33" s="902">
        <f ca="1">B33*D4</f>
        <v>0</v>
      </c>
      <c r="E33" s="900"/>
      <c r="F33" s="902">
        <f>B33*E33</f>
        <v>0</v>
      </c>
      <c r="G33" s="3036"/>
    </row>
    <row r="34" spans="1:7" x14ac:dyDescent="0.25">
      <c r="A34" s="2134" t="s">
        <v>149</v>
      </c>
      <c r="B34" s="2135"/>
      <c r="C34" s="2135"/>
      <c r="D34" s="2135"/>
      <c r="E34" s="2135"/>
      <c r="F34" s="2136"/>
    </row>
    <row r="35" spans="1:7" x14ac:dyDescent="0.25">
      <c r="A35" s="3002" t="s">
        <v>736</v>
      </c>
      <c r="B35" s="3003"/>
      <c r="C35" s="3003"/>
      <c r="D35" s="3003"/>
      <c r="E35" s="3003"/>
      <c r="F35" s="3004"/>
    </row>
    <row r="36" spans="1:7" ht="18" customHeight="1" x14ac:dyDescent="0.25">
      <c r="A36" s="2996" t="s">
        <v>431</v>
      </c>
      <c r="B36" s="2997"/>
      <c r="C36" s="2998"/>
      <c r="E36" s="3027" t="s">
        <v>735</v>
      </c>
      <c r="F36" s="3028"/>
    </row>
    <row r="37" spans="1:7" ht="15.75" customHeight="1" x14ac:dyDescent="0.25">
      <c r="A37" s="8" t="s">
        <v>131</v>
      </c>
      <c r="B37" s="9"/>
      <c r="C37" s="173">
        <f ca="1">INDIRECT(CONCATENATE("[",$I$2,".xlsx]",$I$4,"!C37"))</f>
        <v>39</v>
      </c>
      <c r="E37" s="3029"/>
      <c r="F37" s="3030"/>
    </row>
    <row r="38" spans="1:7" x14ac:dyDescent="0.25">
      <c r="A38" s="106" t="s">
        <v>174</v>
      </c>
      <c r="B38" s="107" t="s">
        <v>175</v>
      </c>
      <c r="C38" s="107" t="s">
        <v>70</v>
      </c>
      <c r="E38" s="3029"/>
      <c r="F38" s="3030"/>
    </row>
    <row r="39" spans="1:7" x14ac:dyDescent="0.25">
      <c r="A39" s="104" t="str">
        <f ca="1">INDIRECT(CONCATENATE("[",$I$2,".xlsx]",$I$4,"!A39"))</f>
        <v>Zeitausgleichsstd. iVmF</v>
      </c>
      <c r="B39" s="111">
        <f ca="1">INDIRECT(CONCATENATE("[",$I$2,".xlsx]",$I$4,"!B39"))</f>
        <v>1</v>
      </c>
      <c r="C39" s="113">
        <f ca="1">INDIRECT(CONCATENATE("[",$I$2,".xlsx]",$I$4,"!C39"))</f>
        <v>0</v>
      </c>
      <c r="E39" s="3029"/>
      <c r="F39" s="3030"/>
    </row>
    <row r="40" spans="1:7" x14ac:dyDescent="0.25">
      <c r="A40" s="104" t="str">
        <f ca="1">INDIRECT(CONCATENATE("[",$I$2,".xlsx]",$I$4,"!A40"))</f>
        <v>Überstunde 50%</v>
      </c>
      <c r="B40" s="112">
        <f ca="1">INDIRECT(CONCATENATE("[",$I$2,".xlsx]",$I$4,"!B40"))</f>
        <v>1.2</v>
      </c>
      <c r="C40" s="113">
        <f ca="1">INDIRECT(CONCATENATE("[",$I$2,".xlsx]",$I$4,"!C40"))</f>
        <v>0.5</v>
      </c>
      <c r="E40" s="3029"/>
      <c r="F40" s="3030"/>
    </row>
    <row r="41" spans="1:7" x14ac:dyDescent="0.25">
      <c r="A41" s="104" t="str">
        <f ca="1">INDIRECT(CONCATENATE("[",$I$2,".xlsx]",$I$4,"!A41"))</f>
        <v>Überstunde 100%</v>
      </c>
      <c r="B41" s="112">
        <f ca="1">INDIRECT(CONCATENATE("[",$I$2,".xlsx]",$I$4,"!B41"))</f>
        <v>1.2</v>
      </c>
      <c r="C41" s="113">
        <f ca="1">INDIRECT(CONCATENATE("[",$I$2,".xlsx]",$I$4,"!C41"))</f>
        <v>1</v>
      </c>
      <c r="E41" s="3029"/>
      <c r="F41" s="3030"/>
    </row>
    <row r="42" spans="1:7" x14ac:dyDescent="0.25">
      <c r="A42" s="104" t="str">
        <f ca="1">INDIRECT(CONCATENATE("[",$I$2,".xlsx]",$I$4,"!A42"))</f>
        <v>Überstunde zw 5 - 20 Uhr</v>
      </c>
      <c r="B42" s="112">
        <f ca="1">INDIRECT(CONCATENATE("[",$I$2,".xlsx]",$I$4,"!B42"))</f>
        <v>1.2</v>
      </c>
      <c r="C42" s="113">
        <f ca="1">INDIRECT(CONCATENATE("[",$I$2,".xlsx]",$I$4,"!C42"))</f>
        <v>0.5</v>
      </c>
      <c r="E42" s="3029"/>
      <c r="F42" s="3030"/>
    </row>
    <row r="43" spans="1:7" x14ac:dyDescent="0.25">
      <c r="A43" s="104" t="str">
        <f ca="1">INDIRECT(CONCATENATE("[",$I$2,".xlsx]",$I$4,"!A43"))</f>
        <v>Überstunde zw 20 - 5 Uhr</v>
      </c>
      <c r="B43" s="112">
        <f ca="1">INDIRECT(CONCATENATE("[",$I$2,".xlsx]",$I$4,"!B43"))</f>
        <v>1.2</v>
      </c>
      <c r="C43" s="113">
        <f ca="1">INDIRECT(CONCATENATE("[",$I$2,".xlsx]",$I$4,"!C43"))</f>
        <v>1</v>
      </c>
      <c r="E43" s="3029"/>
      <c r="F43" s="3030"/>
    </row>
    <row r="44" spans="1:7" x14ac:dyDescent="0.25">
      <c r="A44" s="104" t="str">
        <f ca="1">INDIRECT(CONCATENATE("[",$I$2,".xlsx]",$I$4,"!A44"))</f>
        <v>Überstunde nach Nachtschicht (KV §3.2c)</v>
      </c>
      <c r="B44" s="112">
        <f ca="1">INDIRECT(CONCATENATE("[",$I$2,".xlsx]",$I$4,"!B44"))</f>
        <v>1.2</v>
      </c>
      <c r="C44" s="113">
        <f ca="1">INDIRECT(CONCATENATE("[",$I$2,".xlsx]",$I$4,"!C44"))</f>
        <v>1</v>
      </c>
      <c r="E44" s="3029"/>
      <c r="F44" s="3030"/>
    </row>
    <row r="45" spans="1:7" x14ac:dyDescent="0.25">
      <c r="A45" s="104">
        <f ca="1">INDIRECT(CONCATENATE("[",$I$2,".xlsx]",$I$4,"!A45"))</f>
        <v>0</v>
      </c>
      <c r="B45" s="112">
        <f ca="1">INDIRECT(CONCATENATE("[",$I$2,".xlsx]",$I$4,"!B45"))</f>
        <v>0</v>
      </c>
      <c r="C45" s="113">
        <f ca="1">INDIRECT(CONCATENATE("[",$I$2,".xlsx]",$I$4,"!C45"))</f>
        <v>0</v>
      </c>
      <c r="E45" s="3029"/>
      <c r="F45" s="3030"/>
    </row>
    <row r="46" spans="1:7" x14ac:dyDescent="0.25">
      <c r="A46" s="104">
        <f ca="1">INDIRECT(CONCATENATE("[",$I$2,".xlsx]",$I$4,"!A46"))</f>
        <v>0</v>
      </c>
      <c r="B46" s="112">
        <f ca="1">INDIRECT(CONCATENATE("[",$I$2,".xlsx]",$I$4,"!B46"))</f>
        <v>0</v>
      </c>
      <c r="C46" s="113">
        <f ca="1">INDIRECT(CONCATENATE("[",$I$2,".xlsx]",$I$4,"!C46"))</f>
        <v>0</v>
      </c>
      <c r="E46" s="3029"/>
      <c r="F46" s="3030"/>
    </row>
    <row r="47" spans="1:7" x14ac:dyDescent="0.25">
      <c r="A47" s="104">
        <f ca="1">INDIRECT(CONCATENATE("[",$I$2,".xlsx]",$I$4,"!A47"))</f>
        <v>0</v>
      </c>
      <c r="B47" s="112">
        <f ca="1">INDIRECT(CONCATENATE("[",$I$2,".xlsx]",$I$4,"!B47"))</f>
        <v>0</v>
      </c>
      <c r="C47" s="113">
        <f ca="1">INDIRECT(CONCATENATE("[",$I$2,".xlsx]",$I$4,"!C47"))</f>
        <v>0</v>
      </c>
      <c r="E47" s="3029"/>
      <c r="F47" s="3030"/>
    </row>
    <row r="48" spans="1:7" x14ac:dyDescent="0.25">
      <c r="A48" s="891"/>
      <c r="B48" s="892"/>
      <c r="C48" s="899"/>
      <c r="E48" s="3029"/>
      <c r="F48" s="3030"/>
    </row>
    <row r="49" spans="1:6" x14ac:dyDescent="0.25">
      <c r="A49" s="106" t="s">
        <v>176</v>
      </c>
      <c r="B49" s="107" t="s">
        <v>175</v>
      </c>
      <c r="C49" s="107" t="s">
        <v>70</v>
      </c>
      <c r="E49" s="3029"/>
      <c r="F49" s="3030"/>
    </row>
    <row r="50" spans="1:6" x14ac:dyDescent="0.25">
      <c r="A50" s="104" t="str">
        <f ca="1">INDIRECT(CONCATENATE("[",$I$2,".xlsx]",$I$4,"!A50"))</f>
        <v>Schichtarbeit 22 bis 6 Uhr</v>
      </c>
      <c r="B50" s="112">
        <f ca="1">INDIRECT(CONCATENATE("[",$I$2,".xlsx]",$I$4,"!B50"))</f>
        <v>1</v>
      </c>
      <c r="C50" s="113">
        <f ca="1">INDIRECT(CONCATENATE("[",$I$2,".xlsx]",$I$4,"!C50"))</f>
        <v>0.5</v>
      </c>
      <c r="E50" s="3029"/>
      <c r="F50" s="3030"/>
    </row>
    <row r="51" spans="1:6" x14ac:dyDescent="0.25">
      <c r="A51" s="104" t="str">
        <f ca="1">INDIRECT(CONCATENATE("[",$I$2,".xlsx]",$I$4,"!A51"))</f>
        <v>Arbeitsstd. 20 bis 5 Uhr</v>
      </c>
      <c r="B51" s="112">
        <f ca="1">INDIRECT(CONCATENATE("[",$I$2,".xlsx]",$I$4,"!B51"))</f>
        <v>1</v>
      </c>
      <c r="C51" s="113">
        <f ca="1">INDIRECT(CONCATENATE("[",$I$2,".xlsx]",$I$4,"!C51"))</f>
        <v>0.5</v>
      </c>
      <c r="E51" s="3029"/>
      <c r="F51" s="3030"/>
    </row>
    <row r="52" spans="1:6" x14ac:dyDescent="0.25">
      <c r="A52" s="104" t="str">
        <f ca="1">INDIRECT(CONCATENATE("[",$I$2,".xlsx]",$I$4,"!A52"))</f>
        <v>Sonntagsarbeit</v>
      </c>
      <c r="B52" s="112">
        <f ca="1">INDIRECT(CONCATENATE("[",$I$2,".xlsx]",$I$4,"!B52"))</f>
        <v>1</v>
      </c>
      <c r="C52" s="113">
        <f ca="1">INDIRECT(CONCATENATE("[",$I$2,".xlsx]",$I$4,"!C52"))</f>
        <v>1</v>
      </c>
      <c r="E52" s="3029"/>
      <c r="F52" s="3030"/>
    </row>
    <row r="53" spans="1:6" x14ac:dyDescent="0.25">
      <c r="A53" s="104" t="str">
        <f ca="1">INDIRECT(CONCATENATE("[",$I$2,".xlsx]",$I$4,"!A53"))</f>
        <v>Feiertagsarbeit (KV §3.2.f.aa)</v>
      </c>
      <c r="B53" s="112">
        <f ca="1">INDIRECT(CONCATENATE("[",$I$2,".xlsx]",$I$4,"!B53"))</f>
        <v>1</v>
      </c>
      <c r="C53" s="113">
        <f ca="1">INDIRECT(CONCATENATE("[",$I$2,".xlsx]",$I$4,"!C53"))</f>
        <v>0.5</v>
      </c>
      <c r="E53" s="3029"/>
      <c r="F53" s="3030"/>
    </row>
    <row r="54" spans="1:6" x14ac:dyDescent="0.25">
      <c r="A54" s="104" t="str">
        <f ca="1">INDIRECT(CONCATENATE("[",$I$2,".xlsx]",$I$4,"!A54"))</f>
        <v>Feiertagsarbeit (KV §3.2.f.bb)</v>
      </c>
      <c r="B54" s="112">
        <f ca="1">INDIRECT(CONCATENATE("[",$I$2,".xlsx]",$I$4,"!B54"))</f>
        <v>1</v>
      </c>
      <c r="C54" s="113">
        <f ca="1">INDIRECT(CONCATENATE("[",$I$2,".xlsx]",$I$4,"!C54"))</f>
        <v>1</v>
      </c>
      <c r="E54" s="3031"/>
      <c r="F54" s="3032"/>
    </row>
    <row r="55" spans="1:6" x14ac:dyDescent="0.25">
      <c r="A55" s="888"/>
      <c r="B55" s="889"/>
      <c r="C55" s="890"/>
      <c r="D55" s="119"/>
      <c r="E55" s="885"/>
      <c r="F55" s="853"/>
    </row>
    <row r="56" spans="1:6" x14ac:dyDescent="0.25">
      <c r="A56" s="434" t="s">
        <v>194</v>
      </c>
      <c r="B56" s="886" t="s">
        <v>195</v>
      </c>
      <c r="C56" s="887"/>
      <c r="F56" s="89"/>
    </row>
    <row r="57" spans="1:6" x14ac:dyDescent="0.25">
      <c r="A57" s="104">
        <f ca="1">INDIRECT(CONCATENATE("[",$I$2,".xlsx]",$I$4,"!A56"))</f>
        <v>0</v>
      </c>
      <c r="B57" s="249">
        <f ca="1">INDIRECT(CONCATENATE("[",$I$2,".xlsx]",$I$4,"!B56"))</f>
        <v>0</v>
      </c>
      <c r="C57" s="108"/>
      <c r="F57" s="89"/>
    </row>
    <row r="58" spans="1:6" x14ac:dyDescent="0.25">
      <c r="A58" s="104">
        <f ca="1">INDIRECT(CONCATENATE("[",$I$2,".xlsx]",$I$4,"!A57"))</f>
        <v>0</v>
      </c>
      <c r="B58" s="249">
        <f ca="1">INDIRECT(CONCATENATE("[",$I$2,".xlsx]",$I$4,"!B57"))</f>
        <v>0</v>
      </c>
      <c r="C58" s="109"/>
      <c r="F58" s="89"/>
    </row>
    <row r="59" spans="1:6" x14ac:dyDescent="0.25">
      <c r="A59" s="104">
        <f ca="1">INDIRECT(CONCATENATE("[",$I$2,".xlsx]",$I$4,"!A58"))</f>
        <v>0</v>
      </c>
      <c r="B59" s="249">
        <f ca="1">INDIRECT(CONCATENATE("[",$I$2,".xlsx]",$I$4,"!B58"))</f>
        <v>0</v>
      </c>
      <c r="C59" s="109"/>
      <c r="F59" s="89"/>
    </row>
    <row r="60" spans="1:6" x14ac:dyDescent="0.25">
      <c r="A60" s="104">
        <f ca="1">INDIRECT(CONCATENATE("[",$I$2,".xlsx]",$I$4,"!A59"))</f>
        <v>0</v>
      </c>
      <c r="B60" s="249">
        <f ca="1">INDIRECT(CONCATENATE("[",$I$2,".xlsx]",$I$4,"!B59"))</f>
        <v>0</v>
      </c>
      <c r="C60" s="109"/>
      <c r="F60" s="89"/>
    </row>
    <row r="61" spans="1:6" x14ac:dyDescent="0.25">
      <c r="A61" s="104">
        <f ca="1">INDIRECT(CONCATENATE("[",$I$2,".xlsx]",$I$4,"!A60"))</f>
        <v>0</v>
      </c>
      <c r="B61" s="249">
        <f ca="1">INDIRECT(CONCATENATE("[",$I$2,".xlsx]",$I$4,"!B60"))</f>
        <v>0</v>
      </c>
      <c r="C61" s="110"/>
      <c r="F61" s="89"/>
    </row>
    <row r="62" spans="1:6" x14ac:dyDescent="0.25">
      <c r="A62" s="888"/>
      <c r="B62" s="893"/>
      <c r="C62" s="110"/>
      <c r="F62" s="89"/>
    </row>
    <row r="63" spans="1:6" x14ac:dyDescent="0.25">
      <c r="A63" s="58" t="s">
        <v>129</v>
      </c>
      <c r="B63" s="96"/>
      <c r="C63" s="97"/>
      <c r="F63" s="89"/>
    </row>
    <row r="64" spans="1:6" x14ac:dyDescent="0.25">
      <c r="A64" s="45" t="s">
        <v>158</v>
      </c>
      <c r="C64" s="89"/>
      <c r="F64" s="89"/>
    </row>
    <row r="65" spans="1:6" x14ac:dyDescent="0.25">
      <c r="A65" s="46" t="s">
        <v>150</v>
      </c>
      <c r="B65" s="98"/>
      <c r="C65" s="99"/>
      <c r="F65" s="89"/>
    </row>
    <row r="66" spans="1:6" x14ac:dyDescent="0.25">
      <c r="A66" s="3005"/>
      <c r="B66" s="3006"/>
      <c r="C66" s="3006"/>
      <c r="F66" s="89"/>
    </row>
    <row r="67" spans="1:6" x14ac:dyDescent="0.25">
      <c r="A67" s="3007"/>
      <c r="B67" s="3008"/>
      <c r="C67" s="3008"/>
      <c r="F67" s="89"/>
    </row>
    <row r="68" spans="1:6" ht="15.75" customHeight="1" x14ac:dyDescent="0.25">
      <c r="A68" s="2996" t="s">
        <v>432</v>
      </c>
      <c r="B68" s="2997"/>
      <c r="C68" s="2998"/>
      <c r="D68" s="2582" t="s">
        <v>748</v>
      </c>
      <c r="E68" s="2411"/>
      <c r="F68" s="2794"/>
    </row>
    <row r="69" spans="1:6" x14ac:dyDescent="0.25">
      <c r="A69" s="114" t="s">
        <v>88</v>
      </c>
      <c r="B69" s="159" t="s">
        <v>90</v>
      </c>
      <c r="C69" s="115" t="s">
        <v>110</v>
      </c>
      <c r="D69" s="2582"/>
      <c r="E69" s="2411"/>
      <c r="F69" s="2794"/>
    </row>
    <row r="70" spans="1:6" x14ac:dyDescent="0.25">
      <c r="A70" s="116" t="str">
        <f ca="1">INDIRECT(CONCATENATE("[",$I$2,".xlsx]",$I$4,"!A68"))</f>
        <v>Aufsicht</v>
      </c>
      <c r="B70" s="1216">
        <f ca="1">INDIRECT(CONCATENATE("[",$I$2,".xlsx]",$I$4,"!B68"))</f>
        <v>0.1</v>
      </c>
      <c r="C70" s="249">
        <f ca="1">INDIRECT(CONCATENATE("[",$I$2,".xlsx]",$I$4,"!C68"))</f>
        <v>0</v>
      </c>
      <c r="D70" s="2582"/>
      <c r="E70" s="2411"/>
      <c r="F70" s="2794"/>
    </row>
    <row r="71" spans="1:6" x14ac:dyDescent="0.25">
      <c r="A71" s="104" t="str">
        <f ca="1">INDIRECT(CONCATENATE("[",$I$2,".xlsx]",$I$4,"!A69"))</f>
        <v>Schmutzzulage Aborte u Kanäle</v>
      </c>
      <c r="B71" s="1216">
        <f ca="1">INDIRECT(CONCATENATE("[",$I$2,".xlsx]",$I$4,"!B69"))</f>
        <v>0.25</v>
      </c>
      <c r="C71" s="249">
        <f ca="1">INDIRECT(CONCATENATE("[",$I$2,".xlsx]",$I$4,"!C69"))</f>
        <v>0</v>
      </c>
      <c r="D71" s="2582"/>
      <c r="E71" s="2411"/>
      <c r="F71" s="2794"/>
    </row>
    <row r="72" spans="1:6" x14ac:dyDescent="0.25">
      <c r="A72" s="104" t="str">
        <f ca="1">INDIRECT(CONCATENATE("[",$I$2,".xlsx]",$I$4,"!A70"))</f>
        <v>Schmutzzulage Altlasten</v>
      </c>
      <c r="B72" s="1216">
        <f ca="1">INDIRECT(CONCATENATE("[",$I$2,".xlsx]",$I$4,"!B70"))</f>
        <v>0.1</v>
      </c>
      <c r="C72" s="249">
        <f ca="1">INDIRECT(CONCATENATE("[",$I$2,".xlsx]",$I$4,"!C70"))</f>
        <v>0</v>
      </c>
      <c r="D72" s="161"/>
      <c r="F72" s="89"/>
    </row>
    <row r="73" spans="1:6" x14ac:dyDescent="0.25">
      <c r="A73" s="104" t="str">
        <f ca="1">INDIRECT(CONCATENATE("[",$I$2,".xlsx]",$I$4,"!A71"))</f>
        <v>Asphaltierng in Tiefgarage o Lüftung</v>
      </c>
      <c r="B73" s="1216">
        <f ca="1">INDIRECT(CONCATENATE("[",$I$2,".xlsx]",$I$4,"!B71"))</f>
        <v>0.25</v>
      </c>
      <c r="C73" s="249">
        <f ca="1">INDIRECT(CONCATENATE("[",$I$2,".xlsx]",$I$4,"!C71"))</f>
        <v>0</v>
      </c>
      <c r="D73" s="161"/>
      <c r="F73" s="89"/>
    </row>
    <row r="74" spans="1:6" x14ac:dyDescent="0.25">
      <c r="A74" s="104" t="str">
        <f ca="1">INDIRECT(CONCATENATE("[",$I$2,".xlsx]",$I$4,"!A72"))</f>
        <v>Abbrucharb. / Staubentwicklung</v>
      </c>
      <c r="B74" s="1216">
        <f ca="1">INDIRECT(CONCATENATE("[",$I$2,".xlsx]",$I$4,"!B72"))</f>
        <v>0.15</v>
      </c>
      <c r="C74" s="249">
        <f ca="1">INDIRECT(CONCATENATE("[",$I$2,".xlsx]",$I$4,"!C72"))</f>
        <v>0</v>
      </c>
      <c r="D74" s="161"/>
      <c r="F74" s="89"/>
    </row>
    <row r="75" spans="1:6" x14ac:dyDescent="0.25">
      <c r="A75" s="104" t="str">
        <f ca="1">INDIRECT(CONCATENATE("[",$I$2,".xlsx]",$I$4,"!A73"))</f>
        <v>Trockenbohrungen</v>
      </c>
      <c r="B75" s="1216">
        <f ca="1">INDIRECT(CONCATENATE("[",$I$2,".xlsx]",$I$4,"!B73"))</f>
        <v>0.1</v>
      </c>
      <c r="C75" s="249">
        <f ca="1">INDIRECT(CONCATENATE("[",$I$2,".xlsx]",$I$4,"!C73"))</f>
        <v>0</v>
      </c>
      <c r="D75" s="161"/>
      <c r="E75" s="161"/>
      <c r="F75" s="89"/>
    </row>
    <row r="76" spans="1:6" x14ac:dyDescent="0.25">
      <c r="A76" s="104" t="str">
        <f ca="1">INDIRECT(CONCATENATE("[",$I$2,".xlsx]",$I$4,"!A74"))</f>
        <v>Erschütterung - Bohrhämmer &gt;6,5kg</v>
      </c>
      <c r="B76" s="1216">
        <f ca="1">INDIRECT(CONCATENATE("[",$I$2,".xlsx]",$I$4,"!B74"))</f>
        <v>0.1</v>
      </c>
      <c r="C76" s="249">
        <f ca="1">INDIRECT(CONCATENATE("[",$I$2,".xlsx]",$I$4,"!C74"))</f>
        <v>0</v>
      </c>
      <c r="D76" s="161"/>
      <c r="F76" s="89"/>
    </row>
    <row r="77" spans="1:6" x14ac:dyDescent="0.25">
      <c r="A77" s="104" t="str">
        <f ca="1">INDIRECT(CONCATENATE("[",$I$2,".xlsx]",$I$4,"!A75"))</f>
        <v>Erschütterung - Bohrhämmer &gt;10kg</v>
      </c>
      <c r="B77" s="1216">
        <f ca="1">INDIRECT(CONCATENATE("[",$I$2,".xlsx]",$I$4,"!B75"))</f>
        <v>0.2</v>
      </c>
      <c r="C77" s="249">
        <f ca="1">INDIRECT(CONCATENATE("[",$I$2,".xlsx]",$I$4,"!C75"))</f>
        <v>0</v>
      </c>
      <c r="D77" s="161"/>
      <c r="F77" s="89"/>
    </row>
    <row r="78" spans="1:6" x14ac:dyDescent="0.25">
      <c r="A78" s="104" t="str">
        <f ca="1">INDIRECT(CONCATENATE("[",$I$2,".xlsx]",$I$4,"!A76"))</f>
        <v>Gerüstarbeiten</v>
      </c>
      <c r="B78" s="1216">
        <f ca="1">INDIRECT(CONCATENATE("[",$I$2,".xlsx]",$I$4,"!B76"))</f>
        <v>0.1</v>
      </c>
      <c r="C78" s="249">
        <f ca="1">INDIRECT(CONCATENATE("[",$I$2,".xlsx]",$I$4,"!C76"))</f>
        <v>0</v>
      </c>
      <c r="D78" s="161"/>
      <c r="F78" s="89"/>
    </row>
    <row r="79" spans="1:6" x14ac:dyDescent="0.25">
      <c r="A79" s="104" t="str">
        <f ca="1">INDIRECT(CONCATENATE("[",$I$2,".xlsx]",$I$4,"!A77"))</f>
        <v>Arbeiten Gebirge 1200-1600m</v>
      </c>
      <c r="B79" s="1216">
        <f ca="1">INDIRECT(CONCATENATE("[",$I$2,".xlsx]",$I$4,"!B77"))</f>
        <v>0.12</v>
      </c>
      <c r="C79" s="249">
        <f ca="1">INDIRECT(CONCATENATE("[",$I$2,".xlsx]",$I$4,"!C77"))</f>
        <v>0</v>
      </c>
      <c r="D79" s="161"/>
      <c r="F79" s="89"/>
    </row>
    <row r="80" spans="1:6" x14ac:dyDescent="0.25">
      <c r="A80" s="104" t="str">
        <f ca="1">INDIRECT(CONCATENATE("[",$I$2,".xlsx]",$I$4,"!A78"))</f>
        <v>Künettenarbeiten -4m Tiefe</v>
      </c>
      <c r="B80" s="1216">
        <f ca="1">INDIRECT(CONCATENATE("[",$I$2,".xlsx]",$I$4,"!B78"))</f>
        <v>0.1</v>
      </c>
      <c r="C80" s="249">
        <f ca="1">INDIRECT(CONCATENATE("[",$I$2,".xlsx]",$I$4,"!C78"))</f>
        <v>0</v>
      </c>
      <c r="D80" s="161"/>
      <c r="F80" s="89"/>
    </row>
    <row r="81" spans="1:6" x14ac:dyDescent="0.25">
      <c r="A81" s="104" t="str">
        <f ca="1">INDIRECT(CONCATENATE("[",$I$2,".xlsx]",$I$4,"!A79"))</f>
        <v>Künettenarbeiten &gt;4m Tiefe</v>
      </c>
      <c r="B81" s="1216">
        <f ca="1">INDIRECT(CONCATENATE("[",$I$2,".xlsx]",$I$4,"!B79"))</f>
        <v>0.15</v>
      </c>
      <c r="C81" s="249">
        <f ca="1">INDIRECT(CONCATENATE("[",$I$2,".xlsx]",$I$4,"!C79"))</f>
        <v>0</v>
      </c>
      <c r="D81" s="161"/>
      <c r="F81" s="89"/>
    </row>
    <row r="82" spans="1:6" x14ac:dyDescent="0.25">
      <c r="A82" s="104" t="str">
        <f ca="1">INDIRECT(CONCATENATE("[",$I$2,".xlsx]",$I$4,"!A80"))</f>
        <v>Fließverkehrzulage</v>
      </c>
      <c r="B82" s="1216">
        <f ca="1">INDIRECT(CONCATENATE("[",$I$2,".xlsx]",$I$4,"!B80"))</f>
        <v>0.1</v>
      </c>
      <c r="C82" s="249">
        <f ca="1">INDIRECT(CONCATENATE("[",$I$2,".xlsx]",$I$4,"!C80"))</f>
        <v>0</v>
      </c>
      <c r="D82" s="161"/>
      <c r="F82" s="89"/>
    </row>
    <row r="83" spans="1:6" x14ac:dyDescent="0.25">
      <c r="A83" s="104" t="str">
        <f ca="1">INDIRECT(CONCATENATE("[",$I$2,".xlsx]",$I$4,"!A81"))</f>
        <v>Zulagenpauschale KV §6 III Z 1 lit a</v>
      </c>
      <c r="B83" s="1216">
        <f ca="1">INDIRECT(CONCATENATE("[",$I$2,".xlsx]",$I$4,"!B81"))</f>
        <v>0</v>
      </c>
      <c r="C83" s="249">
        <f ca="1">INDIRECT(CONCATENATE("[",$I$2,".xlsx]",$I$4,"!C81"))</f>
        <v>0.37</v>
      </c>
      <c r="D83" s="161"/>
      <c r="F83" s="89"/>
    </row>
    <row r="84" spans="1:6" x14ac:dyDescent="0.25">
      <c r="A84" s="104" t="str">
        <f ca="1">INDIRECT(CONCATENATE("[",$I$2,".xlsx]",$I$4,"!A82"))</f>
        <v>Zulagenpauschale KV §6 III Z 1 lit b</v>
      </c>
      <c r="B84" s="1216">
        <f ca="1">INDIRECT(CONCATENATE("[",$I$2,".xlsx]",$I$4,"!B82"))</f>
        <v>0</v>
      </c>
      <c r="C84" s="249">
        <f ca="1">INDIRECT(CONCATENATE("[",$I$2,".xlsx]",$I$4,"!C82"))</f>
        <v>0.18</v>
      </c>
      <c r="D84" s="161"/>
      <c r="F84" s="89"/>
    </row>
    <row r="85" spans="1:6" x14ac:dyDescent="0.25">
      <c r="A85" s="104">
        <f ca="1">INDIRECT(CONCATENATE("[",$I$2,".xlsx]",$I$4,"!A83"))</f>
        <v>0</v>
      </c>
      <c r="B85" s="1216">
        <f ca="1">INDIRECT(CONCATENATE("[",$I$2,".xlsx]",$I$4,"!B83"))</f>
        <v>0</v>
      </c>
      <c r="C85" s="249">
        <f ca="1">INDIRECT(CONCATENATE("[",$I$2,".xlsx]",$I$4,"!C83"))</f>
        <v>0</v>
      </c>
      <c r="D85" s="161"/>
      <c r="F85" s="89"/>
    </row>
    <row r="86" spans="1:6" x14ac:dyDescent="0.25">
      <c r="A86" s="104">
        <f ca="1">INDIRECT(CONCATENATE("[",$I$2,".xlsx]",$I$4,"!A84"))</f>
        <v>0</v>
      </c>
      <c r="B86" s="1216">
        <f ca="1">INDIRECT(CONCATENATE("[",$I$2,".xlsx]",$I$4,"!B84"))</f>
        <v>0</v>
      </c>
      <c r="C86" s="249">
        <f ca="1">INDIRECT(CONCATENATE("[",$I$2,".xlsx]",$I$4,"!C84"))</f>
        <v>0</v>
      </c>
      <c r="D86" s="161"/>
      <c r="F86" s="89"/>
    </row>
    <row r="87" spans="1:6" x14ac:dyDescent="0.25">
      <c r="A87" s="104">
        <f ca="1">INDIRECT(CONCATENATE("[",$I$2,".xlsx]",$I$4,"!A85"))</f>
        <v>0</v>
      </c>
      <c r="B87" s="1216">
        <f ca="1">INDIRECT(CONCATENATE("[",$I$2,".xlsx]",$I$4,"!B85"))</f>
        <v>0</v>
      </c>
      <c r="C87" s="249">
        <f ca="1">INDIRECT(CONCATENATE("[",$I$2,".xlsx]",$I$4,"!C85"))</f>
        <v>0</v>
      </c>
      <c r="D87" s="161"/>
      <c r="F87" s="89"/>
    </row>
    <row r="88" spans="1:6" x14ac:dyDescent="0.25">
      <c r="A88" s="104">
        <f ca="1">INDIRECT(CONCATENATE("[",$I$2,".xlsx]",$I$4,"!A86"))</f>
        <v>0</v>
      </c>
      <c r="B88" s="1216">
        <f ca="1">INDIRECT(CONCATENATE("[",$I$2,".xlsx]",$I$4,"!B86"))</f>
        <v>0</v>
      </c>
      <c r="C88" s="249">
        <f ca="1">INDIRECT(CONCATENATE("[",$I$2,".xlsx]",$I$4,"!C86"))</f>
        <v>0</v>
      </c>
      <c r="D88" s="161"/>
      <c r="F88" s="89"/>
    </row>
    <row r="89" spans="1:6" x14ac:dyDescent="0.25">
      <c r="A89" s="104" t="str">
        <f ca="1">INDIRECT(CONCATENATE("[",$I$2,".xlsx]",$I$4,"!A87"))</f>
        <v>Zulage Feuerungst. (§5 Abs 1 1d)</v>
      </c>
      <c r="B89" s="1216">
        <f ca="1">INDIRECT(CONCATENATE("[",$I$2,".xlsx]",$I$4,"!B87"))</f>
        <v>0</v>
      </c>
      <c r="C89" s="249">
        <f ca="1">INDIRECT(CONCATENATE("[",$I$2,".xlsx]",$I$4,"!C87"))</f>
        <v>0.69</v>
      </c>
      <c r="D89" s="161"/>
      <c r="F89" s="89"/>
    </row>
    <row r="90" spans="1:6" x14ac:dyDescent="0.25">
      <c r="A90" s="104">
        <f ca="1">INDIRECT(CONCATENATE("[",$I$2,".xlsx]",$I$4,"!A88"))</f>
        <v>0</v>
      </c>
      <c r="B90" s="1216">
        <f ca="1">INDIRECT(CONCATENATE("[",$I$2,".xlsx]",$I$4,"!B88"))</f>
        <v>0</v>
      </c>
      <c r="C90" s="249">
        <f ca="1">INDIRECT(CONCATENATE("[",$I$2,".xlsx]",$I$4,"!C88"))</f>
        <v>0</v>
      </c>
      <c r="D90" s="161"/>
      <c r="F90" s="89"/>
    </row>
    <row r="91" spans="1:6" x14ac:dyDescent="0.25">
      <c r="A91" s="104" t="str">
        <f ca="1">INDIRECT(CONCATENATE("[",$I$2,".xlsx]",$I$4,"!A89"))</f>
        <v xml:space="preserve"># mit den weiteren relevanten Zulagen </v>
      </c>
      <c r="B91" s="1216">
        <f ca="1">INDIRECT(CONCATENATE("[",$I$2,".xlsx]",$I$4,"!B89"))</f>
        <v>0</v>
      </c>
      <c r="C91" s="249">
        <f ca="1">INDIRECT(CONCATENATE("[",$I$2,".xlsx]",$I$4,"!C90"))</f>
        <v>0</v>
      </c>
      <c r="D91" s="161"/>
      <c r="F91" s="89"/>
    </row>
    <row r="92" spans="1:6" x14ac:dyDescent="0.25">
      <c r="A92" s="104" t="str">
        <f ca="1">INDIRECT(CONCATENATE("[",$I$2,".xlsx]",$I$4,"!A90"))</f>
        <v># gem KollV ergänzen</v>
      </c>
      <c r="B92" s="1216">
        <f ca="1">INDIRECT(CONCATENATE("[",$I$2,".xlsx]",$I$4,"!B90"))</f>
        <v>0</v>
      </c>
      <c r="C92" s="249">
        <f ca="1">INDIRECT(CONCATENATE("[",$I$2,".xlsx]",$I$4,"!C90"))</f>
        <v>0</v>
      </c>
      <c r="D92" s="161"/>
      <c r="F92" s="89"/>
    </row>
    <row r="93" spans="1:6" x14ac:dyDescent="0.25">
      <c r="A93" s="104" t="str">
        <f ca="1">INDIRECT(CONCATENATE("[",$I$2,".xlsx]",$I$4,"!A91"))</f>
        <v># Zusatz KV bei A5.c erfassen!</v>
      </c>
      <c r="B93" s="1216">
        <f ca="1">INDIRECT(CONCATENATE("[",$I$2,".xlsx]",$I$4,"!B91"))</f>
        <v>0</v>
      </c>
      <c r="C93" s="249">
        <f ca="1">INDIRECT(CONCATENATE("[",$I$2,".xlsx]",$I$4,"!C91"))</f>
        <v>0</v>
      </c>
      <c r="D93" s="161"/>
      <c r="F93" s="89"/>
    </row>
    <row r="94" spans="1:6" x14ac:dyDescent="0.25">
      <c r="A94" s="104">
        <f ca="1">INDIRECT(CONCATENATE("[",$I$2,".xlsx]",$I$4,"!A92"))</f>
        <v>0</v>
      </c>
      <c r="B94" s="1216">
        <f ca="1">INDIRECT(CONCATENATE("[",$I$2,".xlsx]",$I$4,"!B92"))</f>
        <v>0</v>
      </c>
      <c r="C94" s="249">
        <f ca="1">INDIRECT(CONCATENATE("[",$I$2,".xlsx]",$I$4,"!C92"))</f>
        <v>0</v>
      </c>
      <c r="D94" s="161"/>
      <c r="F94" s="89"/>
    </row>
    <row r="95" spans="1:6" x14ac:dyDescent="0.25">
      <c r="A95" s="104">
        <f ca="1">INDIRECT(CONCATENATE("[",$I$2,".xlsx]",$I$4,"!A93"))</f>
        <v>0</v>
      </c>
      <c r="B95" s="1216">
        <f ca="1">INDIRECT(CONCATENATE("[",$I$2,".xlsx]",$I$4,"!B93"))</f>
        <v>0</v>
      </c>
      <c r="C95" s="249">
        <f ca="1">INDIRECT(CONCATENATE("[",$I$2,".xlsx]",$I$4,"!C93"))</f>
        <v>0</v>
      </c>
      <c r="D95" s="161"/>
      <c r="F95" s="89"/>
    </row>
    <row r="96" spans="1:6" x14ac:dyDescent="0.25">
      <c r="A96" s="888"/>
      <c r="B96" s="1217"/>
      <c r="C96" s="893"/>
      <c r="D96" s="161"/>
      <c r="F96" s="89"/>
    </row>
    <row r="97" spans="1:6" x14ac:dyDescent="0.25">
      <c r="A97" s="3049"/>
      <c r="B97" s="3039"/>
      <c r="C97" s="3039"/>
      <c r="F97" s="89"/>
    </row>
    <row r="98" spans="1:6" x14ac:dyDescent="0.25">
      <c r="A98" s="2996" t="s">
        <v>433</v>
      </c>
      <c r="B98" s="2997"/>
      <c r="C98" s="2997"/>
      <c r="D98" s="2998"/>
      <c r="F98" s="89"/>
    </row>
    <row r="99" spans="1:6" x14ac:dyDescent="0.25">
      <c r="A99" s="8" t="s">
        <v>977</v>
      </c>
      <c r="B99" s="118">
        <f ca="1">INDIRECT(CONCATENATE("[",$I$2,".xlsx]",$I$4,"!B97"))</f>
        <v>30</v>
      </c>
      <c r="C99" s="1214" t="s">
        <v>978</v>
      </c>
      <c r="D99" s="118">
        <f ca="1">INDIRECT(CONCATENATE("[",$I$2,".xlsx]",$I$4,"!D97"))</f>
        <v>17</v>
      </c>
      <c r="F99" s="89"/>
    </row>
    <row r="100" spans="1:6" x14ac:dyDescent="0.25">
      <c r="A100" s="2990" t="s">
        <v>83</v>
      </c>
      <c r="B100" s="2999" t="s">
        <v>20</v>
      </c>
      <c r="C100" s="3000"/>
      <c r="D100" s="3001"/>
      <c r="F100" s="89"/>
    </row>
    <row r="101" spans="1:6" x14ac:dyDescent="0.25">
      <c r="A101" s="2991"/>
      <c r="B101" s="120" t="s">
        <v>80</v>
      </c>
      <c r="C101" s="120" t="s">
        <v>81</v>
      </c>
      <c r="D101" s="119" t="s">
        <v>56</v>
      </c>
      <c r="F101" s="89"/>
    </row>
    <row r="102" spans="1:6" x14ac:dyDescent="0.25">
      <c r="A102" s="104" t="str">
        <f ca="1">INDIRECT(CONCATENATE("[",$I$2,".xlsx]",$I$4,"!A100"))</f>
        <v>Taggeld; 3 - 9 Std (§ 9, Z 4, lit a)</v>
      </c>
      <c r="B102" s="11">
        <f ca="1">INDIRECT(CONCATENATE("[",$I$2,".xlsx]",$I$4,"!B100"))</f>
        <v>12.85</v>
      </c>
      <c r="C102" s="11">
        <f ca="1">INDIRECT(CONCATENATE("[",$I$2,".xlsx]",$I$4,"!C100"))</f>
        <v>0</v>
      </c>
      <c r="D102" s="11">
        <f ca="1">B102+C102</f>
        <v>12.85</v>
      </c>
      <c r="F102" s="89"/>
    </row>
    <row r="103" spans="1:6" x14ac:dyDescent="0.25">
      <c r="A103" s="104" t="str">
        <f ca="1">INDIRECT(CONCATENATE("[",$I$2,".xlsx]",$I$4,"!A101"))</f>
        <v>Taggeld; &gt; 9 Std (§ 9, Z 4, lit b)</v>
      </c>
      <c r="B103" s="11">
        <f ca="1">INDIRECT(CONCATENATE("[",$I$2,".xlsx]",$I$4,"!B101"))</f>
        <v>20.7</v>
      </c>
      <c r="C103" s="11">
        <f ca="1">INDIRECT(CONCATENATE("[",$I$2,".xlsx]",$I$4,"!C101"))</f>
        <v>0</v>
      </c>
      <c r="D103" s="11">
        <f t="shared" ref="D103:D111" ca="1" si="4">B103+C103</f>
        <v>20.7</v>
      </c>
      <c r="F103" s="89"/>
    </row>
    <row r="104" spans="1:6" x14ac:dyDescent="0.25">
      <c r="A104" s="104" t="str">
        <f ca="1">INDIRECT(CONCATENATE("[",$I$2,".xlsx]",$I$4,"!A102"))</f>
        <v>Taggeld; bei Nächtigung (§ 9, Z 5, Z5a und 6)</v>
      </c>
      <c r="B104" s="11">
        <f ca="1">INDIRECT(CONCATENATE("[",$I$2,".xlsx]",$I$4,"!B102"))</f>
        <v>30</v>
      </c>
      <c r="C104" s="11">
        <f ca="1">INDIRECT(CONCATENATE("[",$I$2,".xlsx]",$I$4,"!C102"))</f>
        <v>4.2</v>
      </c>
      <c r="D104" s="11">
        <f t="shared" ca="1" si="4"/>
        <v>34.200000000000003</v>
      </c>
      <c r="F104" s="89"/>
    </row>
    <row r="105" spans="1:6" x14ac:dyDescent="0.25">
      <c r="A105" s="104">
        <f ca="1">INDIRECT(CONCATENATE("[",$I$2,".xlsx]",$I$4,"!A103"))</f>
        <v>0</v>
      </c>
      <c r="B105" s="11">
        <f ca="1">INDIRECT(CONCATENATE("[",$I$2,".xlsx]",$I$4,"!B103"))</f>
        <v>0</v>
      </c>
      <c r="C105" s="11">
        <f ca="1">INDIRECT(CONCATENATE("[",$I$2,".xlsx]",$I$4,"!C103"))</f>
        <v>0</v>
      </c>
      <c r="D105" s="11">
        <f t="shared" ca="1" si="4"/>
        <v>0</v>
      </c>
      <c r="F105" s="89"/>
    </row>
    <row r="106" spans="1:6" x14ac:dyDescent="0.25">
      <c r="A106" s="104" t="str">
        <f ca="1">INDIRECT(CONCATENATE("[",$I$2,".xlsx]",$I$4,"!A104"))</f>
        <v>Übernachtungsgeld</v>
      </c>
      <c r="B106" s="11">
        <f ca="1">INDIRECT(CONCATENATE("[",$I$2,".xlsx]",$I$4,"!B104"))</f>
        <v>17</v>
      </c>
      <c r="C106" s="11">
        <f ca="1">INDIRECT(CONCATENATE("[",$I$2,".xlsx]",$I$4,"!C104"))</f>
        <v>0.51</v>
      </c>
      <c r="D106" s="11">
        <f t="shared" ca="1" si="4"/>
        <v>17.510000000000002</v>
      </c>
      <c r="F106" s="89"/>
    </row>
    <row r="107" spans="1:6" x14ac:dyDescent="0.25">
      <c r="A107" s="104" t="str">
        <f ca="1">INDIRECT(CONCATENATE("[",$I$2,".xlsx]",$I$4,"!A105"))</f>
        <v># allfällige Fahrtkostenvergütungen</v>
      </c>
      <c r="B107" s="11">
        <f ca="1">INDIRECT(CONCATENATE("[",$I$2,".xlsx]",$I$4,"!B105"))</f>
        <v>0</v>
      </c>
      <c r="C107" s="11">
        <f ca="1">INDIRECT(CONCATENATE("[",$I$2,".xlsx]",$I$4,"!C105"))</f>
        <v>6</v>
      </c>
      <c r="D107" s="11">
        <f t="shared" ca="1" si="4"/>
        <v>6</v>
      </c>
      <c r="F107" s="89"/>
    </row>
    <row r="108" spans="1:6" x14ac:dyDescent="0.25">
      <c r="A108" s="104" t="str">
        <f ca="1">INDIRECT(CONCATENATE("[",$I$2,".xlsx]",$I$4,"!A106"))</f>
        <v># mit betrieblichen Werten füllen</v>
      </c>
      <c r="B108" s="11">
        <f ca="1">INDIRECT(CONCATENATE("[",$I$2,".xlsx]",$I$4,"!B106"))</f>
        <v>0</v>
      </c>
      <c r="C108" s="11">
        <f ca="1">INDIRECT(CONCATENATE("[",$I$2,".xlsx]",$I$4,"!C106"))</f>
        <v>0</v>
      </c>
      <c r="D108" s="11">
        <f t="shared" ca="1" si="4"/>
        <v>0</v>
      </c>
      <c r="F108" s="89"/>
    </row>
    <row r="109" spans="1:6" x14ac:dyDescent="0.25">
      <c r="A109" s="104">
        <f ca="1">INDIRECT(CONCATENATE("[",$I$2,".xlsx]",$I$4,"!A107"))</f>
        <v>0</v>
      </c>
      <c r="B109" s="11">
        <f ca="1">INDIRECT(CONCATENATE("[",$I$2,".xlsx]",$I$4,"!B107"))</f>
        <v>0</v>
      </c>
      <c r="C109" s="11">
        <f ca="1">INDIRECT(CONCATENATE("[",$I$2,".xlsx]",$I$4,"!C107"))</f>
        <v>0</v>
      </c>
      <c r="D109" s="11">
        <f t="shared" ca="1" si="4"/>
        <v>0</v>
      </c>
      <c r="F109" s="89"/>
    </row>
    <row r="110" spans="1:6" x14ac:dyDescent="0.25">
      <c r="A110" s="104">
        <f ca="1">INDIRECT(CONCATENATE("[",$I$2,".xlsx]",$I$4,"!A108"))</f>
        <v>0</v>
      </c>
      <c r="B110" s="11">
        <f ca="1">INDIRECT(CONCATENATE("[",$I$2,".xlsx]",$I$4,"!B108"))</f>
        <v>0</v>
      </c>
      <c r="C110" s="11">
        <f ca="1">INDIRECT(CONCATENATE("[",$I$2,".xlsx]",$I$4,"!C108"))</f>
        <v>0</v>
      </c>
      <c r="D110" s="11">
        <f t="shared" ca="1" si="4"/>
        <v>0</v>
      </c>
      <c r="F110" s="89"/>
    </row>
    <row r="111" spans="1:6" x14ac:dyDescent="0.25">
      <c r="A111" s="104">
        <f ca="1">INDIRECT(CONCATENATE("[",$I$2,".xlsx]",$I$4,"!A109"))</f>
        <v>0</v>
      </c>
      <c r="B111" s="11">
        <f ca="1">INDIRECT(CONCATENATE("[",$I$2,".xlsx]",$I$4,"!B109"))</f>
        <v>0</v>
      </c>
      <c r="C111" s="11">
        <f ca="1">INDIRECT(CONCATENATE("[",$I$2,".xlsx]",$I$4,"!C109"))</f>
        <v>0</v>
      </c>
      <c r="D111" s="11">
        <f t="shared" ca="1" si="4"/>
        <v>0</v>
      </c>
      <c r="F111" s="89"/>
    </row>
    <row r="112" spans="1:6" x14ac:dyDescent="0.25">
      <c r="A112" s="104">
        <f ca="1">INDIRECT(CONCATENATE("[",$I$2,".xlsx]",$I$4,"!A110"))</f>
        <v>0</v>
      </c>
      <c r="B112" s="11">
        <f ca="1">INDIRECT(CONCATENATE("[",$I$2,".xlsx]",$I$4,"!B110"))</f>
        <v>0</v>
      </c>
      <c r="C112" s="11">
        <f ca="1">INDIRECT(CONCATENATE("[",$I$2,".xlsx]",$I$4,"!C110"))</f>
        <v>0</v>
      </c>
      <c r="D112" s="11">
        <f ca="1">B112+C112</f>
        <v>0</v>
      </c>
      <c r="F112" s="89"/>
    </row>
    <row r="113" spans="1:6" x14ac:dyDescent="0.25">
      <c r="A113" s="888"/>
      <c r="B113" s="895"/>
      <c r="C113" s="895"/>
      <c r="D113" s="894">
        <f>B113+C113</f>
        <v>0</v>
      </c>
      <c r="F113" s="89"/>
    </row>
    <row r="114" spans="1:6" x14ac:dyDescent="0.25">
      <c r="A114" s="2990" t="s">
        <v>123</v>
      </c>
      <c r="B114" s="2999" t="s">
        <v>124</v>
      </c>
      <c r="C114" s="3000"/>
      <c r="D114" s="3001"/>
      <c r="F114" s="89"/>
    </row>
    <row r="115" spans="1:6" x14ac:dyDescent="0.25">
      <c r="A115" s="2991"/>
      <c r="B115" s="115" t="s">
        <v>80</v>
      </c>
      <c r="C115" s="115" t="s">
        <v>81</v>
      </c>
      <c r="D115" s="114" t="s">
        <v>56</v>
      </c>
      <c r="F115" s="89"/>
    </row>
    <row r="116" spans="1:6" x14ac:dyDescent="0.25">
      <c r="A116" s="104" t="str">
        <f ca="1">INDIRECT(CONCATENATE("[",$I$2,".xlsx]",$I$4,"!A114"))</f>
        <v># wenn erforderlich Zusatz-KV eintragen</v>
      </c>
      <c r="B116" s="249">
        <f ca="1">INDIRECT(CONCATENATE("[",$I$2,".xlsx]",$I$4,"!B114"))</f>
        <v>0</v>
      </c>
      <c r="C116" s="249">
        <f ca="1">INDIRECT(CONCATENATE("[",$I$2,".xlsx]",$I$4,"!C114"))</f>
        <v>0</v>
      </c>
      <c r="D116" s="249">
        <f ca="1">B116+C116</f>
        <v>0</v>
      </c>
      <c r="F116" s="89"/>
    </row>
    <row r="117" spans="1:6" x14ac:dyDescent="0.25">
      <c r="A117" s="104" t="str">
        <f ca="1">INDIRECT(CONCATENATE("[",$I$2,".xlsx]",$I$4,"!A115"))</f>
        <v>Z-KV Großwasserkraftbauten Zul. § 3</v>
      </c>
      <c r="B117" s="249">
        <f ca="1">INDIRECT(CONCATENATE("[",$I$2,".xlsx]",$I$4,"!B115"))</f>
        <v>0</v>
      </c>
      <c r="C117" s="249">
        <f ca="1">INDIRECT(CONCATENATE("[",$I$2,".xlsx]",$I$4,"!C115"))</f>
        <v>0.57999999999999996</v>
      </c>
      <c r="D117" s="249">
        <f ca="1">B117+C117</f>
        <v>0.57999999999999996</v>
      </c>
      <c r="F117" s="89"/>
    </row>
    <row r="118" spans="1:6" x14ac:dyDescent="0.25">
      <c r="A118" s="104" t="str">
        <f ca="1">INDIRECT(CONCATENATE("[",$I$2,".xlsx]",$I$4,"!A116"))</f>
        <v># usw ...</v>
      </c>
      <c r="B118" s="249">
        <f ca="1">INDIRECT(CONCATENATE("[",$I$2,".xlsx]",$I$4,"!B116"))</f>
        <v>0</v>
      </c>
      <c r="C118" s="249">
        <f ca="1">INDIRECT(CONCATENATE("[",$I$2,".xlsx]",$I$4,"!C116"))</f>
        <v>0</v>
      </c>
      <c r="D118" s="249">
        <f ca="1">B118+C118</f>
        <v>0</v>
      </c>
      <c r="F118" s="89"/>
    </row>
    <row r="119" spans="1:6" x14ac:dyDescent="0.25">
      <c r="A119" s="888"/>
      <c r="B119" s="893"/>
      <c r="C119" s="893"/>
      <c r="D119" s="897">
        <f>B119+C119</f>
        <v>0</v>
      </c>
      <c r="F119" s="89"/>
    </row>
    <row r="120" spans="1:6" x14ac:dyDescent="0.25">
      <c r="A120" s="2990" t="s">
        <v>101</v>
      </c>
      <c r="B120" s="2999" t="s">
        <v>82</v>
      </c>
      <c r="C120" s="3000"/>
      <c r="D120" s="3001"/>
      <c r="F120" s="89"/>
    </row>
    <row r="121" spans="1:6" x14ac:dyDescent="0.25">
      <c r="A121" s="2991"/>
      <c r="B121" s="115" t="s">
        <v>80</v>
      </c>
      <c r="C121" s="115" t="s">
        <v>81</v>
      </c>
      <c r="D121" s="114" t="s">
        <v>56</v>
      </c>
      <c r="F121" s="89"/>
    </row>
    <row r="122" spans="1:6" x14ac:dyDescent="0.25">
      <c r="A122" s="104" t="str">
        <f ca="1">INDIRECT(CONCATENATE("[",$I$2,".xlsx]",$I$4,"!A119"))</f>
        <v># Heimfahrt (betriebl. Wert verwenden)</v>
      </c>
      <c r="B122" s="11">
        <f ca="1">INDIRECT(CONCATENATE("[",$I$2,".xlsx]",$I$4,"!B119"))</f>
        <v>75</v>
      </c>
      <c r="C122" s="11">
        <f ca="1">INDIRECT(CONCATENATE("[",$I$2,".xlsx]",$I$4,"!C119"))</f>
        <v>0</v>
      </c>
      <c r="D122" s="11">
        <f t="shared" ref="D122:D126" ca="1" si="5">B122+C122</f>
        <v>75</v>
      </c>
      <c r="F122" s="89"/>
    </row>
    <row r="123" spans="1:6" x14ac:dyDescent="0.25">
      <c r="A123" s="104" t="str">
        <f ca="1">INDIRECT(CONCATENATE("[",$I$2,".xlsx]",$I$4,"!A120"))</f>
        <v># mit betrieblichen Werten ergänzen</v>
      </c>
      <c r="B123" s="11">
        <f ca="1">INDIRECT(CONCATENATE("[",$I$2,".xlsx]",$I$4,"!B120"))</f>
        <v>0</v>
      </c>
      <c r="C123" s="11">
        <f ca="1">INDIRECT(CONCATENATE("[",$I$2,".xlsx]",$I$4,"!C120"))</f>
        <v>0</v>
      </c>
      <c r="D123" s="11">
        <f t="shared" ca="1" si="5"/>
        <v>0</v>
      </c>
      <c r="F123" s="89"/>
    </row>
    <row r="124" spans="1:6" x14ac:dyDescent="0.25">
      <c r="A124" s="104">
        <f ca="1">INDIRECT(CONCATENATE("[",$I$2,".xlsx]",$I$4,"!A121"))</f>
        <v>0</v>
      </c>
      <c r="B124" s="11">
        <f ca="1">INDIRECT(CONCATENATE("[",$I$2,".xlsx]",$I$4,"!B121"))</f>
        <v>0</v>
      </c>
      <c r="C124" s="11">
        <f ca="1">INDIRECT(CONCATENATE("[",$I$2,".xlsx]",$I$4,"!C121"))</f>
        <v>0</v>
      </c>
      <c r="D124" s="11">
        <f t="shared" ca="1" si="5"/>
        <v>0</v>
      </c>
      <c r="F124" s="89"/>
    </row>
    <row r="125" spans="1:6" x14ac:dyDescent="0.25">
      <c r="A125" s="104">
        <f ca="1">INDIRECT(CONCATENATE("[",$I$2,".xlsx]",$I$4,"!A122"))</f>
        <v>0</v>
      </c>
      <c r="B125" s="11">
        <f ca="1">INDIRECT(CONCATENATE("[",$I$2,".xlsx]",$I$4,"!B122"))</f>
        <v>0</v>
      </c>
      <c r="C125" s="11">
        <f ca="1">INDIRECT(CONCATENATE("[",$I$2,".xlsx]",$I$4,"!C122"))</f>
        <v>0</v>
      </c>
      <c r="D125" s="11">
        <f t="shared" ca="1" si="5"/>
        <v>0</v>
      </c>
      <c r="F125" s="89"/>
    </row>
    <row r="126" spans="1:6" x14ac:dyDescent="0.25">
      <c r="A126" s="104">
        <f ca="1">INDIRECT(CONCATENATE("[",$I$2,".xlsx]",$I$4,"!A123"))</f>
        <v>0</v>
      </c>
      <c r="B126" s="11">
        <f ca="1">INDIRECT(CONCATENATE("[",$I$2,".xlsx]",$I$4,"!B123"))</f>
        <v>0</v>
      </c>
      <c r="C126" s="11">
        <f ca="1">INDIRECT(CONCATENATE("[",$I$2,".xlsx]",$I$4,"!C123"))</f>
        <v>0</v>
      </c>
      <c r="D126" s="11">
        <f t="shared" ca="1" si="5"/>
        <v>0</v>
      </c>
      <c r="F126" s="89"/>
    </row>
    <row r="127" spans="1:6" x14ac:dyDescent="0.25">
      <c r="A127" s="117">
        <f ca="1">INDIRECT(CONCATENATE("[",$I$2,".xlsx]",$I$4,"!A124"))</f>
        <v>0</v>
      </c>
      <c r="B127" s="41">
        <f ca="1">INDIRECT(CONCATENATE("[",$I$2,".xlsx]",$I$4,"!B124"))</f>
        <v>0</v>
      </c>
      <c r="C127" s="41">
        <f ca="1">INDIRECT(CONCATENATE("[",$I$2,".xlsx]",$I$4,"!C124"))</f>
        <v>0</v>
      </c>
      <c r="D127" s="41">
        <f ca="1">B127+C127</f>
        <v>0</v>
      </c>
      <c r="F127" s="89"/>
    </row>
    <row r="128" spans="1:6" x14ac:dyDescent="0.25">
      <c r="A128" s="896"/>
      <c r="B128" s="898"/>
      <c r="C128" s="898"/>
      <c r="D128" s="41">
        <f>B128+C128</f>
        <v>0</v>
      </c>
      <c r="F128" s="89"/>
    </row>
    <row r="129" spans="1:6" x14ac:dyDescent="0.25">
      <c r="A129" s="162" t="s">
        <v>114</v>
      </c>
      <c r="B129" s="9"/>
      <c r="C129" s="9"/>
      <c r="D129" s="10"/>
      <c r="E129" s="98"/>
      <c r="F129" s="99"/>
    </row>
    <row r="130" spans="1:6" x14ac:dyDescent="0.25">
      <c r="A130" s="3038"/>
      <c r="B130" s="3038"/>
      <c r="C130" s="3038"/>
      <c r="D130" s="3038"/>
    </row>
    <row r="131" spans="1:6" x14ac:dyDescent="0.25">
      <c r="A131" s="3039"/>
      <c r="B131" s="3039"/>
      <c r="C131" s="3039"/>
      <c r="D131" s="3039"/>
      <c r="E131" s="42"/>
    </row>
    <row r="132" spans="1:6" ht="21" x14ac:dyDescent="0.35">
      <c r="A132" s="3015" t="s">
        <v>439</v>
      </c>
      <c r="B132" s="3016"/>
      <c r="C132" s="3016"/>
      <c r="D132" s="3016"/>
      <c r="E132" s="3016"/>
      <c r="F132" s="3017"/>
    </row>
    <row r="133" spans="1:6" x14ac:dyDescent="0.25">
      <c r="A133" s="166" t="s">
        <v>440</v>
      </c>
      <c r="B133" s="3012" t="str">
        <f ca="1">INDIRECT(CONCATENATE("[",$I$2,".xlsx]",$I$4,"!B3"))</f>
        <v>KollV f Bauindustrie und Baugewerbe (Arbeiter)</v>
      </c>
      <c r="C133" s="3013"/>
      <c r="D133" s="3013"/>
      <c r="E133" s="3013"/>
      <c r="F133" s="3014"/>
    </row>
    <row r="134" spans="1:6" ht="15.75" customHeight="1" x14ac:dyDescent="0.25">
      <c r="A134" s="52" t="s">
        <v>66</v>
      </c>
      <c r="B134" s="152">
        <f ca="1">INDIRECT(CONCATENATE("[",$I$2,".xlsx]",$I$4,"!B130"))</f>
        <v>46023</v>
      </c>
      <c r="C134" s="3033" t="str">
        <f ca="1">IF((TODAY()-B134)&gt;365,"Datum älter als 1 Jahr. Werte auf Aktualität prüfen und Datum in der Quelldatei aktualisieren!","")</f>
        <v/>
      </c>
      <c r="D134" s="2984" t="str">
        <f>"Hinweis: Diese Werte können in der Quelldatei ["&amp;I2&amp;".xlsx] Blatt [DPNK] (erstes Blatt links) geändert werden. Die Zuordnung, welche Positionen der DPNK relevant sind, erfolgt im Blatt ["&amp;I3&amp;"]."</f>
        <v>Hinweis: Diese Werte können in der Quelldatei [K3_Quelle.xlsx] Blatt [DPNK] (erstes Blatt links) geändert werden. Die Zuordnung, welche Positionen der DPNK relevant sind, erfolgt im Blatt [Bauindustrie_gewerbe_26].</v>
      </c>
      <c r="E134" s="2410"/>
      <c r="F134" s="2985"/>
    </row>
    <row r="135" spans="1:6" x14ac:dyDescent="0.25">
      <c r="A135" s="75" t="s">
        <v>43</v>
      </c>
      <c r="B135" s="3018" t="s">
        <v>90</v>
      </c>
      <c r="C135" s="3034"/>
      <c r="D135" s="2582"/>
      <c r="E135" s="2411"/>
      <c r="F135" s="2794"/>
    </row>
    <row r="136" spans="1:6" x14ac:dyDescent="0.25">
      <c r="A136" s="76">
        <f ca="1">B134</f>
        <v>46023</v>
      </c>
      <c r="B136" s="3019"/>
      <c r="C136" s="3034"/>
      <c r="D136" s="2582"/>
      <c r="E136" s="2411"/>
      <c r="F136" s="2794"/>
    </row>
    <row r="137" spans="1:6" x14ac:dyDescent="0.25">
      <c r="A137" s="129"/>
      <c r="B137" s="128" t="s">
        <v>111</v>
      </c>
      <c r="C137" s="3034"/>
      <c r="D137" s="2582"/>
      <c r="E137" s="2411"/>
      <c r="F137" s="2794"/>
    </row>
    <row r="138" spans="1:6" x14ac:dyDescent="0.25">
      <c r="A138" s="130" t="str">
        <f ca="1">INDIRECT(CONCATENATE("[",$I$2,".xlsx]",$I$4,"!A134"))</f>
        <v>Arbeitslosenversicherung</v>
      </c>
      <c r="B138" s="125">
        <f ca="1">INDIRECT(CONCATENATE("[",$I$2,".xlsx]",$I$4,"!C134"))</f>
        <v>2.9499999999999998E-2</v>
      </c>
      <c r="C138" s="3034"/>
      <c r="D138" s="2582"/>
      <c r="E138" s="2411"/>
      <c r="F138" s="2794"/>
    </row>
    <row r="139" spans="1:6" x14ac:dyDescent="0.25">
      <c r="A139" s="131" t="str">
        <f ca="1">INDIRECT(CONCATENATE("[",$I$2,".xlsx]",$I$4,"!A135"))</f>
        <v>Zuschlag Insolvenzentgeltsicherung</v>
      </c>
      <c r="B139" s="126">
        <f ca="1">INDIRECT(CONCATENATE("[",$I$2,".xlsx]",$I$4,"!C135"))</f>
        <v>1E-3</v>
      </c>
      <c r="C139" s="3034"/>
      <c r="D139" s="2582"/>
      <c r="E139" s="2411"/>
      <c r="F139" s="2794"/>
    </row>
    <row r="140" spans="1:6" x14ac:dyDescent="0.25">
      <c r="A140" s="131" t="str">
        <f ca="1">INDIRECT(CONCATENATE("[",$I$2,".xlsx]",$I$4,"!A136"))</f>
        <v>Pensionsversicherung ASVG</v>
      </c>
      <c r="B140" s="126">
        <f ca="1">INDIRECT(CONCATENATE("[",$I$2,".xlsx]",$I$4,"!C136"))</f>
        <v>0.1255</v>
      </c>
      <c r="C140" s="3034"/>
      <c r="D140" s="2583"/>
      <c r="E140" s="2584"/>
      <c r="F140" s="2795"/>
    </row>
    <row r="141" spans="1:6" x14ac:dyDescent="0.25">
      <c r="A141" s="131" t="str">
        <f ca="1">INDIRECT(CONCATENATE("[",$I$2,".xlsx]",$I$4,"!A137"))</f>
        <v>Krankenversicherung ASVG</v>
      </c>
      <c r="B141" s="126">
        <f ca="1">INDIRECT(CONCATENATE("[",$I$2,".xlsx]",$I$4,"!C137"))</f>
        <v>3.78E-2</v>
      </c>
      <c r="C141" s="399"/>
    </row>
    <row r="142" spans="1:6" x14ac:dyDescent="0.25">
      <c r="A142" s="131" t="str">
        <f ca="1">INDIRECT(CONCATENATE("[",$I$2,".xlsx]",$I$4,"!A138"))</f>
        <v>Unfallversicherung</v>
      </c>
      <c r="B142" s="126">
        <f ca="1">INDIRECT(CONCATENATE("[",$I$2,".xlsx]",$I$4,"!C138"))</f>
        <v>1.0999999999999999E-2</v>
      </c>
      <c r="C142" s="399"/>
    </row>
    <row r="143" spans="1:6" x14ac:dyDescent="0.25">
      <c r="A143" s="131" t="str">
        <f ca="1">INDIRECT(CONCATENATE("[",$I$2,".xlsx]",$I$4,"!A139"))</f>
        <v>Wohnbauförderungsbeitrag (alle BL, ohne Wien)</v>
      </c>
      <c r="B143" s="126">
        <f ca="1">INDIRECT(CONCATENATE("[",$I$2,".xlsx]",$I$4,"!C139"))</f>
        <v>5.0000000000000001E-3</v>
      </c>
      <c r="C143" s="399"/>
    </row>
    <row r="144" spans="1:6" x14ac:dyDescent="0.25">
      <c r="A144" s="131" t="str">
        <f ca="1">INDIRECT(CONCATENATE("[",$I$2,".xlsx]",$I$4,"!A140"))</f>
        <v>Wohnbauförderungsbeitrag Wien</v>
      </c>
      <c r="B144" s="126" t="str">
        <f ca="1">INDIRECT(CONCATENATE("[",$I$2,".xlsx]",$I$4,"!C140"))</f>
        <v/>
      </c>
      <c r="C144" s="399"/>
    </row>
    <row r="145" spans="1:5" x14ac:dyDescent="0.25">
      <c r="A145" s="131" t="str">
        <f ca="1">INDIRECT(CONCATENATE("[",$I$2,".xlsx]",$I$4,"!A141"))</f>
        <v>Familienlastenausgleichsfonds</v>
      </c>
      <c r="B145" s="126">
        <f ca="1">INDIRECT(CONCATENATE("[",$I$2,".xlsx]",$I$4,"!C141"))</f>
        <v>3.6999999999999998E-2</v>
      </c>
      <c r="C145" s="399"/>
    </row>
    <row r="146" spans="1:5" x14ac:dyDescent="0.25">
      <c r="A146" s="131" t="str">
        <f ca="1">INDIRECT(CONCATENATE("[",$I$2,".xlsx]",$I$4,"!A142"))</f>
        <v>#DG Zuschl. FLAF (KU2; Ø-Wert; Wert Bundesland?)</v>
      </c>
      <c r="B146" s="126">
        <f ca="1">INDIRECT(CONCATENATE("[",$I$2,".xlsx]",$I$4,"!C142"))</f>
        <v>3.5999999999999999E-3</v>
      </c>
      <c r="C146" s="399"/>
    </row>
    <row r="147" spans="1:5" x14ac:dyDescent="0.25">
      <c r="A147" s="131" t="str">
        <f ca="1">INDIRECT(CONCATENATE("[",$I$2,".xlsx]",$I$4,"!A143"))</f>
        <v>Mitarbeitervorsorge (Abfertigung Neu)</v>
      </c>
      <c r="B147" s="126" t="str">
        <f ca="1">INDIRECT(CONCATENATE("[",$I$2,".xlsx]",$I$4,"!C143"))</f>
        <v/>
      </c>
      <c r="C147" s="83"/>
    </row>
    <row r="148" spans="1:5" x14ac:dyDescent="0.25">
      <c r="A148" s="131" t="str">
        <f ca="1">INDIRECT(CONCATENATE("[",$I$2,".xlsx]",$I$4,"!A144"))</f>
        <v>Kommunalsteuer</v>
      </c>
      <c r="B148" s="126">
        <f ca="1">INDIRECT(CONCATENATE("[",$I$2,".xlsx]",$I$4,"!C144"))</f>
        <v>0.03</v>
      </c>
      <c r="C148" s="83"/>
    </row>
    <row r="149" spans="1:5" x14ac:dyDescent="0.25">
      <c r="A149" s="131" t="str">
        <f ca="1">INDIRECT(CONCATENATE("[",$I$2,".xlsx]",$I$4,"!A145"))</f>
        <v>Schlechtwetterentschädigungsbeitrag</v>
      </c>
      <c r="B149" s="126">
        <f ca="1">INDIRECT(CONCATENATE("[",$I$2,".xlsx]",$I$4,"!C145"))</f>
        <v>7.0000000000000001E-3</v>
      </c>
      <c r="C149" s="83"/>
    </row>
    <row r="150" spans="1:5" x14ac:dyDescent="0.25">
      <c r="A150" s="132" t="str">
        <f ca="1">INDIRECT(CONCATENATE("[",$I$2,".xlsx]",$I$4,"!A146"))</f>
        <v># frei verfügbar</v>
      </c>
      <c r="B150" s="127" t="str">
        <f ca="1">INDIRECT(CONCATENATE("[",$I$2,".xlsx]",$I$4,"!C146"))</f>
        <v/>
      </c>
      <c r="C150" s="83"/>
    </row>
    <row r="151" spans="1:5" x14ac:dyDescent="0.25">
      <c r="A151" s="133" t="s">
        <v>130</v>
      </c>
      <c r="B151" s="90">
        <f ca="1">SUM(B138:B150)</f>
        <v>0.28739999999999999</v>
      </c>
      <c r="C151" s="74"/>
    </row>
    <row r="152" spans="1:5" x14ac:dyDescent="0.25">
      <c r="A152" s="3009"/>
      <c r="B152" s="3009"/>
      <c r="C152" s="74"/>
      <c r="D152" s="74"/>
      <c r="E152" s="74"/>
    </row>
    <row r="153" spans="1:5" x14ac:dyDescent="0.25">
      <c r="A153" s="94"/>
      <c r="B153" s="95"/>
      <c r="C153" s="2986" t="s">
        <v>577</v>
      </c>
      <c r="D153" s="2986" t="s">
        <v>196</v>
      </c>
      <c r="E153" s="2986" t="s">
        <v>578</v>
      </c>
    </row>
    <row r="154" spans="1:5" x14ac:dyDescent="0.25">
      <c r="A154" s="87"/>
      <c r="B154" s="92"/>
      <c r="C154" s="2987"/>
      <c r="D154" s="2987"/>
      <c r="E154" s="2987"/>
    </row>
    <row r="155" spans="1:5" ht="16.5" thickBot="1" x14ac:dyDescent="0.3">
      <c r="A155" s="2677" t="s">
        <v>116</v>
      </c>
      <c r="B155" s="2679"/>
      <c r="C155" s="2987"/>
      <c r="D155" s="2987" t="s">
        <v>98</v>
      </c>
      <c r="E155" s="2987" t="s">
        <v>117</v>
      </c>
    </row>
    <row r="156" spans="1:5" x14ac:dyDescent="0.25">
      <c r="A156" s="3022" t="s">
        <v>188</v>
      </c>
      <c r="B156" s="3023"/>
      <c r="C156" s="123">
        <f ca="1">INDIRECT(CONCATENATE("[",$I$2,".xlsx]",$I$4,"!E152"))</f>
        <v>0.23699999999999999</v>
      </c>
      <c r="D156" s="591"/>
      <c r="E156" s="124">
        <f ca="1">IF(ISBLANK(D156),C156,D156)</f>
        <v>0.23699999999999999</v>
      </c>
    </row>
    <row r="157" spans="1:5" x14ac:dyDescent="0.25">
      <c r="A157" s="3020" t="s">
        <v>189</v>
      </c>
      <c r="B157" s="3021"/>
      <c r="C157" s="123">
        <f ca="1">INDIRECT(CONCATENATE("[",$I$2,".xlsx]",$I$4,"!E153"))</f>
        <v>0</v>
      </c>
      <c r="D157" s="591"/>
      <c r="E157" s="124">
        <f ca="1">IF(ISBLANK(D157),C157,D157)</f>
        <v>0</v>
      </c>
    </row>
    <row r="158" spans="1:5" x14ac:dyDescent="0.25">
      <c r="A158" s="3020" t="s">
        <v>190</v>
      </c>
      <c r="B158" s="3021"/>
      <c r="C158" s="123">
        <f ca="1">INDIRECT(CONCATENATE("[",$I$2,".xlsx]",$I$4,"!E154"))</f>
        <v>0.14599999999999999</v>
      </c>
      <c r="D158" s="591"/>
      <c r="E158" s="124">
        <f ca="1">IF(ISBLANK(D158),C158,D158)</f>
        <v>0.14599999999999999</v>
      </c>
    </row>
    <row r="159" spans="1:5" ht="16.5" thickBot="1" x14ac:dyDescent="0.3">
      <c r="A159" s="3010" t="s">
        <v>191</v>
      </c>
      <c r="B159" s="3011"/>
      <c r="C159" s="123">
        <f ca="1">INDIRECT(CONCATENATE("[",$I$2,".xlsx]",$I$4,"!E155"))</f>
        <v>0.56899999999999995</v>
      </c>
      <c r="D159" s="591"/>
      <c r="E159" s="124">
        <f ca="1">IF(ISBLANK(D159),C159,D159)</f>
        <v>0.56899999999999995</v>
      </c>
    </row>
    <row r="160" spans="1:5" x14ac:dyDescent="0.25">
      <c r="A160" s="2221" t="s">
        <v>56</v>
      </c>
      <c r="B160" s="2306"/>
      <c r="C160" s="122">
        <f ca="1">SUM(C156:C159)</f>
        <v>0.95199999999999996</v>
      </c>
      <c r="D160" s="122"/>
      <c r="E160" s="122">
        <f ca="1">SUM(E156:E159)</f>
        <v>0.95199999999999996</v>
      </c>
    </row>
    <row r="161" spans="1:5" x14ac:dyDescent="0.25">
      <c r="A161" s="153"/>
      <c r="B161" s="153"/>
      <c r="C161" s="153"/>
      <c r="D161" s="153"/>
      <c r="E161" s="153"/>
    </row>
    <row r="162" spans="1:5" x14ac:dyDescent="0.25">
      <c r="A162" s="1148"/>
      <c r="B162" s="1148"/>
      <c r="C162" s="1148"/>
      <c r="D162" s="1148"/>
      <c r="E162" s="1148"/>
    </row>
    <row r="163" spans="1:5" x14ac:dyDescent="0.25">
      <c r="A163" s="1148"/>
      <c r="B163" s="1148"/>
      <c r="C163" s="1148"/>
      <c r="D163" s="1148"/>
      <c r="E163" s="1148"/>
    </row>
    <row r="164" spans="1:5" x14ac:dyDescent="0.25">
      <c r="A164" s="1148"/>
      <c r="B164" s="1148"/>
      <c r="C164" s="1148"/>
      <c r="D164" s="1148"/>
      <c r="E164" s="1148"/>
    </row>
    <row r="165" spans="1:5" x14ac:dyDescent="0.25">
      <c r="A165" s="1148"/>
      <c r="B165" s="1148"/>
      <c r="C165" s="1148"/>
      <c r="D165" s="1148"/>
      <c r="E165" s="1148"/>
    </row>
    <row r="166" spans="1:5" x14ac:dyDescent="0.25">
      <c r="A166" s="1148"/>
      <c r="B166" s="1148"/>
      <c r="C166" s="1148"/>
      <c r="D166" s="1148"/>
      <c r="E166" s="1148"/>
    </row>
    <row r="167" spans="1:5" x14ac:dyDescent="0.25">
      <c r="A167" s="1148"/>
      <c r="B167" s="1148"/>
      <c r="C167" s="1148"/>
      <c r="D167" s="1148"/>
      <c r="E167" s="1148"/>
    </row>
    <row r="168" spans="1:5" x14ac:dyDescent="0.25">
      <c r="A168" s="1148"/>
      <c r="B168" s="1148"/>
      <c r="C168" s="1148"/>
      <c r="D168" s="1148"/>
      <c r="E168" s="1148"/>
    </row>
    <row r="169" spans="1:5" x14ac:dyDescent="0.25">
      <c r="A169" s="1148"/>
      <c r="B169" s="1148"/>
      <c r="C169" s="1148"/>
      <c r="D169" s="1148"/>
      <c r="E169" s="1148"/>
    </row>
    <row r="170" spans="1:5" x14ac:dyDescent="0.25">
      <c r="A170" s="1148"/>
      <c r="B170" s="1148"/>
      <c r="C170" s="1148"/>
      <c r="D170" s="1148"/>
      <c r="E170" s="1148"/>
    </row>
    <row r="171" spans="1:5" x14ac:dyDescent="0.25">
      <c r="A171" s="1148"/>
      <c r="B171" s="1148"/>
      <c r="C171" s="1148"/>
      <c r="D171" s="1148"/>
      <c r="E171" s="1148"/>
    </row>
    <row r="172" spans="1:5" x14ac:dyDescent="0.25">
      <c r="A172" s="1148"/>
      <c r="B172" s="1148"/>
      <c r="C172" s="1148"/>
      <c r="D172" s="1148"/>
      <c r="E172" s="1148"/>
    </row>
    <row r="173" spans="1:5" ht="15.75" customHeight="1" x14ac:dyDescent="0.25">
      <c r="A173" s="1148"/>
      <c r="B173" s="1148"/>
      <c r="C173" s="1148"/>
      <c r="D173" s="1148"/>
      <c r="E173" s="1148"/>
    </row>
    <row r="174" spans="1:5" x14ac:dyDescent="0.25">
      <c r="A174" s="1148"/>
      <c r="B174" s="1148"/>
      <c r="C174" s="1148"/>
      <c r="D174" s="1148"/>
      <c r="E174" s="1148"/>
    </row>
    <row r="175" spans="1:5" x14ac:dyDescent="0.25">
      <c r="A175" s="1148"/>
      <c r="B175" s="1148"/>
      <c r="C175" s="1148"/>
      <c r="D175" s="1148"/>
      <c r="E175" s="1148"/>
    </row>
    <row r="176" spans="1:5" x14ac:dyDescent="0.25">
      <c r="A176" s="1148"/>
      <c r="B176" s="1148"/>
      <c r="C176" s="1148"/>
      <c r="D176" s="1148"/>
      <c r="E176" s="1148"/>
    </row>
    <row r="177" spans="1:5" x14ac:dyDescent="0.25">
      <c r="A177" s="1148"/>
      <c r="B177" s="1148"/>
      <c r="C177" s="1148"/>
      <c r="D177" s="1148"/>
      <c r="E177" s="1148"/>
    </row>
    <row r="178" spans="1:5" x14ac:dyDescent="0.25">
      <c r="A178" s="1148"/>
      <c r="B178" s="1148"/>
      <c r="C178" s="1148"/>
      <c r="D178" s="1148"/>
      <c r="E178" s="1148"/>
    </row>
    <row r="179" spans="1:5" x14ac:dyDescent="0.25">
      <c r="A179" s="1148"/>
      <c r="B179" s="1148"/>
      <c r="C179" s="1148"/>
      <c r="D179" s="1148"/>
      <c r="E179" s="1148"/>
    </row>
  </sheetData>
  <sheetProtection password="B984" sheet="1" objects="1" scenarios="1" selectLockedCells="1"/>
  <mergeCells count="48">
    <mergeCell ref="G1:G3"/>
    <mergeCell ref="E36:F54"/>
    <mergeCell ref="C134:C140"/>
    <mergeCell ref="L1:P1"/>
    <mergeCell ref="G14:G33"/>
    <mergeCell ref="L13:P13"/>
    <mergeCell ref="A130:D131"/>
    <mergeCell ref="H11:J21"/>
    <mergeCell ref="H1:J1"/>
    <mergeCell ref="A1:F1"/>
    <mergeCell ref="E4:F4"/>
    <mergeCell ref="B3:F3"/>
    <mergeCell ref="A120:A121"/>
    <mergeCell ref="A36:C36"/>
    <mergeCell ref="A97:C97"/>
    <mergeCell ref="A2:F2"/>
    <mergeCell ref="A160:B160"/>
    <mergeCell ref="C153:C155"/>
    <mergeCell ref="D153:D155"/>
    <mergeCell ref="A155:B155"/>
    <mergeCell ref="A157:B157"/>
    <mergeCell ref="A156:B156"/>
    <mergeCell ref="A158:B158"/>
    <mergeCell ref="A66:C67"/>
    <mergeCell ref="A152:B152"/>
    <mergeCell ref="B120:D120"/>
    <mergeCell ref="A114:A115"/>
    <mergeCell ref="A159:B159"/>
    <mergeCell ref="B114:D114"/>
    <mergeCell ref="B133:F133"/>
    <mergeCell ref="A132:F132"/>
    <mergeCell ref="B135:B136"/>
    <mergeCell ref="G4:G10"/>
    <mergeCell ref="D134:F140"/>
    <mergeCell ref="D68:F71"/>
    <mergeCell ref="E153:E155"/>
    <mergeCell ref="F5:F6"/>
    <mergeCell ref="D5:D6"/>
    <mergeCell ref="A34:F34"/>
    <mergeCell ref="A100:A101"/>
    <mergeCell ref="A5:A6"/>
    <mergeCell ref="B5:B6"/>
    <mergeCell ref="C5:C6"/>
    <mergeCell ref="A98:D98"/>
    <mergeCell ref="B100:D100"/>
    <mergeCell ref="E5:E6"/>
    <mergeCell ref="A68:C68"/>
    <mergeCell ref="A35:F35"/>
  </mergeCells>
  <conditionalFormatting sqref="A3:B3">
    <cfRule type="expression" dxfId="595" priority="18">
      <formula>$B$4="?"</formula>
    </cfRule>
  </conditionalFormatting>
  <conditionalFormatting sqref="A138:B150">
    <cfRule type="cellIs" dxfId="594" priority="33" operator="equal">
      <formula>0</formula>
    </cfRule>
  </conditionalFormatting>
  <conditionalFormatting sqref="B4">
    <cfRule type="expression" dxfId="593" priority="14">
      <formula>$I$6&gt;365</formula>
    </cfRule>
  </conditionalFormatting>
  <conditionalFormatting sqref="B7:B33">
    <cfRule type="cellIs" dxfId="592" priority="3" operator="equal">
      <formula>0</formula>
    </cfRule>
  </conditionalFormatting>
  <conditionalFormatting sqref="B57:B62">
    <cfRule type="cellIs" dxfId="591" priority="8" operator="equal">
      <formula>0</formula>
    </cfRule>
  </conditionalFormatting>
  <conditionalFormatting sqref="B134">
    <cfRule type="expression" dxfId="590" priority="13">
      <formula>$I$10&gt;365</formula>
    </cfRule>
    <cfRule type="cellIs" dxfId="589" priority="32" operator="equal">
      <formula>0</formula>
    </cfRule>
  </conditionalFormatting>
  <conditionalFormatting sqref="B70:C96">
    <cfRule type="cellIs" dxfId="588" priority="41" operator="equal">
      <formula>0</formula>
    </cfRule>
  </conditionalFormatting>
  <conditionalFormatting sqref="B102:D113">
    <cfRule type="cellIs" dxfId="587" priority="45" operator="equal">
      <formula>0</formula>
    </cfRule>
  </conditionalFormatting>
  <conditionalFormatting sqref="B116:D119">
    <cfRule type="cellIs" dxfId="586" priority="6" operator="equal">
      <formula>0</formula>
    </cfRule>
  </conditionalFormatting>
  <conditionalFormatting sqref="B122:D128">
    <cfRule type="cellIs" dxfId="585" priority="5" operator="equal">
      <formula>0</formula>
    </cfRule>
  </conditionalFormatting>
  <conditionalFormatting sqref="C37">
    <cfRule type="cellIs" dxfId="584" priority="29" operator="equal">
      <formula>0</formula>
    </cfRule>
  </conditionalFormatting>
  <conditionalFormatting sqref="C39:C48">
    <cfRule type="cellIs" dxfId="583" priority="39" operator="equal">
      <formula>0</formula>
    </cfRule>
  </conditionalFormatting>
  <conditionalFormatting sqref="C50:C55">
    <cfRule type="cellIs" dxfId="582" priority="38" operator="equal">
      <formula>0</formula>
    </cfRule>
  </conditionalFormatting>
  <conditionalFormatting sqref="D33">
    <cfRule type="cellIs" dxfId="581" priority="2" operator="equal">
      <formula>0</formula>
    </cfRule>
  </conditionalFormatting>
  <conditionalFormatting sqref="D7:F32">
    <cfRule type="cellIs" dxfId="580" priority="34" operator="equal">
      <formula>0</formula>
    </cfRule>
  </conditionalFormatting>
  <conditionalFormatting sqref="F33">
    <cfRule type="cellIs" dxfId="579" priority="1" operator="equal">
      <formula>0</formula>
    </cfRule>
  </conditionalFormatting>
  <conditionalFormatting sqref="H2">
    <cfRule type="expression" dxfId="578" priority="10">
      <formula>$K$2="f"</formula>
    </cfRule>
  </conditionalFormatting>
  <conditionalFormatting sqref="H3">
    <cfRule type="expression" dxfId="577" priority="27">
      <formula>ISNUMBER(B8)=FALSE</formula>
    </cfRule>
  </conditionalFormatting>
  <conditionalFormatting sqref="H5:I6">
    <cfRule type="expression" dxfId="576" priority="16">
      <formula>$I$6&gt;365</formula>
    </cfRule>
  </conditionalFormatting>
  <conditionalFormatting sqref="H9:I10">
    <cfRule type="expression" dxfId="575" priority="15">
      <formula>$I$10&gt;365</formula>
    </cfRule>
  </conditionalFormatting>
  <conditionalFormatting sqref="I2">
    <cfRule type="expression" dxfId="574" priority="9">
      <formula>$K$2="f"</formula>
    </cfRule>
  </conditionalFormatting>
  <conditionalFormatting sqref="I3">
    <cfRule type="expression" dxfId="573" priority="12">
      <formula>$H$11&lt;&gt;""</formula>
    </cfRule>
  </conditionalFormatting>
  <conditionalFormatting sqref="I4">
    <cfRule type="expression" dxfId="572" priority="30">
      <formula>$I$4=$I$3</formula>
    </cfRule>
  </conditionalFormatting>
  <conditionalFormatting sqref="J6:J8">
    <cfRule type="expression" dxfId="571" priority="23">
      <formula>_OK_KV?&lt;&gt;"OK_KV!"</formula>
    </cfRule>
  </conditionalFormatting>
  <conditionalFormatting sqref="K2">
    <cfRule type="cellIs" dxfId="570" priority="11" operator="equal">
      <formula>0</formula>
    </cfRule>
  </conditionalFormatting>
  <dataValidations disablePrompts="1" count="2">
    <dataValidation type="decimal" errorStyle="warning" allowBlank="1" showInputMessage="1" showErrorMessage="1" error="Wert erscheint hoch! Eingabe prüfen!" sqref="C147:C149" xr:uid="{A1F39E7D-123E-44B3-81A3-4AAC8816F6E4}">
      <formula1>0</formula1>
      <formula2>0.1</formula2>
    </dataValidation>
    <dataValidation type="decimal" errorStyle="warning" allowBlank="1" showInputMessage="1" showErrorMessage="1" error="Wert erscheint hoch oder negative Werte nicht zulässig! Eingabe prüfen!" sqref="C150 C147" xr:uid="{97C3EEB1-E050-4992-9096-E21192D2C3FA}">
      <formula1>0</formula1>
      <formula2>0.15</formula2>
    </dataValidation>
  </dataValidations>
  <printOptions horizontalCentered="1"/>
  <pageMargins left="0.19685039370078741" right="0.19685039370078741" top="0.39370078740157483" bottom="0.39370078740157483" header="0.31496062992125984" footer="0.31496062992125984"/>
  <pageSetup paperSize="9" orientation="portrait" r:id="rId1"/>
  <headerFooter>
    <oddFooter>&amp;L&amp;10K3-Stammdaten
Seite: &amp;P von &amp;N&amp;R&amp;10&amp;F</oddFooter>
  </headerFooter>
  <rowBreaks count="4" manualBreakCount="4">
    <brk id="35" max="16383" man="1"/>
    <brk id="67" max="16383" man="1"/>
    <brk id="97" max="16383" man="1"/>
    <brk id="131" max="16383" man="1"/>
  </rowBreaks>
  <ignoredErrors>
    <ignoredError sqref="B100:D111 B99" evalError="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tabColor rgb="FFFFC000"/>
  </sheetPr>
  <dimension ref="A1:AH886"/>
  <sheetViews>
    <sheetView showGridLines="0" tabSelected="1" zoomScaleNormal="100" zoomScaleSheetLayoutView="90" workbookViewId="0">
      <selection activeCell="A22" sqref="A22:H26"/>
    </sheetView>
  </sheetViews>
  <sheetFormatPr baseColWidth="10" defaultColWidth="10.6640625" defaultRowHeight="17.850000000000001" customHeight="1" x14ac:dyDescent="0.25"/>
  <cols>
    <col min="1" max="8" width="9.109375" style="42" customWidth="1"/>
    <col min="9" max="9" width="1.77734375" style="42" customWidth="1"/>
    <col min="10" max="12" width="16.21875" style="42" customWidth="1"/>
    <col min="13" max="13" width="11.77734375" style="1342" hidden="1" customWidth="1"/>
    <col min="14" max="14" width="7.6640625" style="1342" hidden="1" customWidth="1"/>
    <col min="15" max="25" width="10.6640625" style="1342" hidden="1" customWidth="1"/>
    <col min="26" max="26" width="10.6640625" style="42" hidden="1" customWidth="1"/>
    <col min="27" max="16384" width="10.6640625" style="42"/>
  </cols>
  <sheetData>
    <row r="1" spans="1:25" s="211" customFormat="1" ht="44.45" customHeight="1" x14ac:dyDescent="0.25">
      <c r="A1" s="2602" t="s">
        <v>153</v>
      </c>
      <c r="B1" s="2603"/>
      <c r="C1" s="2603"/>
      <c r="D1" s="2603"/>
      <c r="E1" s="2603"/>
      <c r="F1" s="2603"/>
      <c r="G1" s="2603"/>
      <c r="H1" s="2603"/>
      <c r="I1" s="2604"/>
      <c r="J1" s="2149" t="s">
        <v>991</v>
      </c>
      <c r="K1" s="2150"/>
      <c r="L1" s="2277"/>
      <c r="M1" s="1946" t="s">
        <v>297</v>
      </c>
      <c r="N1" s="1947">
        <f ca="1">F18-TODAY()</f>
        <v>1</v>
      </c>
      <c r="O1" s="1948"/>
      <c r="P1" s="1948"/>
      <c r="Q1" s="1948"/>
      <c r="R1" s="1948"/>
      <c r="S1" s="1948"/>
      <c r="T1" s="1948"/>
      <c r="U1" s="1948"/>
      <c r="V1" s="1948"/>
      <c r="W1" s="1948"/>
      <c r="X1" s="1948"/>
      <c r="Y1" s="1948"/>
    </row>
    <row r="2" spans="1:25" ht="59.85" customHeight="1" x14ac:dyDescent="0.25">
      <c r="A2" s="2626"/>
      <c r="B2" s="1146"/>
      <c r="C2" s="1146"/>
      <c r="D2" s="1146"/>
      <c r="E2" s="1146"/>
      <c r="F2" s="1146"/>
      <c r="G2" s="1146"/>
      <c r="H2" s="1146"/>
      <c r="I2" s="1147"/>
      <c r="J2" s="2152"/>
      <c r="K2" s="2152"/>
      <c r="L2" s="2279"/>
      <c r="M2" s="1342" t="s">
        <v>296</v>
      </c>
      <c r="N2" s="1949">
        <f ca="1">H34-TODAY()</f>
        <v>1</v>
      </c>
      <c r="P2" s="1950" t="s">
        <v>1101</v>
      </c>
      <c r="Q2" s="1342" t="str">
        <f ca="1">IF(AND(H6&gt;30,_OK?="OK!"),"Danke für die Nutzung des K3-Tools. Ihre Lizenz ist noch "&amp;TEXT(H6,"0")&amp;" Tage gültig. Informationen zur K3-Kalkulation erfahren Sie laufend auf www.bauwesen.at.","")</f>
        <v/>
      </c>
    </row>
    <row r="3" spans="1:25" ht="59.85" customHeight="1" x14ac:dyDescent="0.25">
      <c r="A3" s="2626"/>
      <c r="B3" s="1146"/>
      <c r="C3" s="1146"/>
      <c r="D3" s="1146"/>
      <c r="E3" s="1146"/>
      <c r="F3" s="1146"/>
      <c r="G3" s="1146"/>
      <c r="H3" s="1146"/>
      <c r="I3" s="1142"/>
      <c r="J3" s="2152"/>
      <c r="K3" s="2152"/>
      <c r="L3" s="2279"/>
      <c r="M3" s="1342" t="s">
        <v>298</v>
      </c>
      <c r="N3" s="1342">
        <f ca="1">H34-F18</f>
        <v>0</v>
      </c>
      <c r="P3" s="1950" t="s">
        <v>1102</v>
      </c>
      <c r="Q3" s="1342" t="str">
        <f ca="1">IF(AND(H6&lt;=30,H6&gt;0,_OK?="OK!"),"Lizenz läuft in Kürze am "&amp;TEXT('Lizenz u lies mich'!B14,"TT.MM.JJJJ")&amp;" ab. Danach können Sie das K3-TOOL nur mehr wenige Tage ohne Einschränkungen nutzen. "&amp;Q6,"")</f>
        <v/>
      </c>
    </row>
    <row r="4" spans="1:25" ht="59.85" customHeight="1" x14ac:dyDescent="0.25">
      <c r="A4" s="2626"/>
      <c r="B4" s="1146"/>
      <c r="C4" s="1146"/>
      <c r="D4" s="1146"/>
      <c r="E4" s="1146"/>
      <c r="F4" s="1146"/>
      <c r="G4" s="1146"/>
      <c r="H4" s="1146"/>
      <c r="I4" s="1142"/>
      <c r="J4" s="2152"/>
      <c r="K4" s="2152"/>
      <c r="L4" s="2279"/>
      <c r="P4" s="1950" t="s">
        <v>1105</v>
      </c>
      <c r="Q4" s="1342" t="str">
        <f ca="1">IF(AND(H6&lt;=0,_OK?="OK!"),"Lizenz ist am "&amp;TEXT('Lizenz u lies mich'!B14,"TT.MM.JJJJ")&amp;" abgelaufen. Sie können das K3-TOOL nur mehr wenige Tage ohne Einschränkungen nutzen. "&amp;Q6,"")</f>
        <v/>
      </c>
    </row>
    <row r="5" spans="1:25" ht="59.85" customHeight="1" x14ac:dyDescent="0.25">
      <c r="A5" s="2626"/>
      <c r="B5" s="1146"/>
      <c r="C5" s="1146"/>
      <c r="D5" s="1146"/>
      <c r="E5" s="1146"/>
      <c r="F5" s="1146"/>
      <c r="G5" s="1146"/>
      <c r="H5" s="1146"/>
      <c r="I5" s="1143"/>
      <c r="J5" s="2154"/>
      <c r="K5" s="2154"/>
      <c r="L5" s="2278"/>
      <c r="P5" s="1950" t="s">
        <v>1103</v>
      </c>
      <c r="Q5" s="1342" t="str">
        <f ca="1">IF(_OK?&lt;&gt;"OK!","Lizenz ist abgelaufen oder Sie verwenden das K3-TOOL ohne Lizenz. Das Tool ist mit allen Funktionen nutzbar, Ergebnisse sind jedoch gerundet und durchgestrichen angezeigt. "&amp;Q6,"")</f>
        <v xml:space="preserve">Lizenz ist abgelaufen oder Sie verwenden das K3-TOOL ohne Lizenz. Das Tool ist mit allen Funktionen nutzbar, Ergebnisse sind jedoch gerundet und durchgestrichen angezeigt. Sie können eine Lizenz bzw eine Verlängerung auf
www.bauwesen.at/k3
oder 
bestellung@bw-b.at
erwerben. </v>
      </c>
    </row>
    <row r="6" spans="1:25" ht="17.850000000000001" customHeight="1" x14ac:dyDescent="0.25">
      <c r="A6" s="1184" t="s">
        <v>595</v>
      </c>
      <c r="B6" s="1144" t="str">
        <f>'Lizenz u lies mich'!B32:C32</f>
        <v>Vers V4.0</v>
      </c>
      <c r="C6" s="1145" t="s">
        <v>233</v>
      </c>
      <c r="D6" s="2213" t="str">
        <f ca="1">'Lizenz u lies mich'!B29</f>
        <v>Nur als Testversion nutzbar!</v>
      </c>
      <c r="E6" s="2213"/>
      <c r="F6" s="2213"/>
      <c r="G6" s="2213"/>
      <c r="H6" s="2212">
        <f ca="1">'Lizenz u lies mich'!B15</f>
        <v>-699</v>
      </c>
      <c r="I6" s="2606"/>
      <c r="J6" s="2596" t="str">
        <f ca="1">Stammdaten!H11</f>
        <v/>
      </c>
      <c r="K6" s="2596"/>
      <c r="L6" s="2551" t="str">
        <f ca="1">Q2&amp;Q3&amp;Q4&amp;Q5</f>
        <v xml:space="preserve">Lizenz ist abgelaufen oder Sie verwenden das K3-TOOL ohne Lizenz. Das Tool ist mit allen Funktionen nutzbar, Ergebnisse sind jedoch gerundet und durchgestrichen angezeigt. Sie können eine Lizenz bzw eine Verlängerung auf
www.bauwesen.at/k3
oder 
bestellung@bw-b.at
erwerben. </v>
      </c>
      <c r="M6" s="1342" t="s">
        <v>227</v>
      </c>
      <c r="P6" s="1950" t="s">
        <v>1104</v>
      </c>
      <c r="Q6" s="1951" t="s">
        <v>1106</v>
      </c>
    </row>
    <row r="7" spans="1:25" ht="20.100000000000001" customHeight="1" x14ac:dyDescent="0.25">
      <c r="A7" s="2554"/>
      <c r="B7" s="2555"/>
      <c r="C7" s="2555"/>
      <c r="D7" s="2555"/>
      <c r="E7" s="2555"/>
      <c r="F7" s="2555"/>
      <c r="G7" s="2555"/>
      <c r="H7" s="2555"/>
      <c r="I7" s="2555"/>
      <c r="J7" s="2597"/>
      <c r="K7" s="2597"/>
      <c r="L7" s="2551"/>
    </row>
    <row r="8" spans="1:25" ht="25.15" customHeight="1" x14ac:dyDescent="0.25">
      <c r="A8" s="2223" t="s">
        <v>831</v>
      </c>
      <c r="B8" s="2224"/>
      <c r="C8" s="2224"/>
      <c r="D8" s="2224"/>
      <c r="E8" s="2224"/>
      <c r="F8" s="2224"/>
      <c r="G8" s="2224"/>
      <c r="H8" s="2224"/>
      <c r="I8" s="2224"/>
      <c r="J8" s="2597"/>
      <c r="K8" s="2597"/>
      <c r="L8" s="2551"/>
      <c r="M8" s="1952">
        <v>0</v>
      </c>
      <c r="N8" s="1953">
        <v>1</v>
      </c>
    </row>
    <row r="9" spans="1:25" ht="17.850000000000001" customHeight="1" x14ac:dyDescent="0.25">
      <c r="A9" s="2556" t="s">
        <v>763</v>
      </c>
      <c r="B9" s="2557"/>
      <c r="C9" s="2557"/>
      <c r="D9" s="2557"/>
      <c r="E9" s="2557"/>
      <c r="F9" s="2557"/>
      <c r="G9" s="2557"/>
      <c r="H9" s="2557"/>
      <c r="I9" s="2557"/>
      <c r="J9" s="2597"/>
      <c r="K9" s="2597"/>
      <c r="L9" s="2551"/>
      <c r="M9" s="1954">
        <v>1</v>
      </c>
      <c r="N9" s="1955">
        <v>2</v>
      </c>
    </row>
    <row r="10" spans="1:25" ht="17.850000000000001" customHeight="1" x14ac:dyDescent="0.25">
      <c r="A10" s="2556"/>
      <c r="B10" s="2557"/>
      <c r="C10" s="2557"/>
      <c r="D10" s="2557"/>
      <c r="E10" s="2557"/>
      <c r="F10" s="2557"/>
      <c r="G10" s="2557"/>
      <c r="H10" s="2557"/>
      <c r="I10" s="2557"/>
      <c r="J10" s="2597"/>
      <c r="K10" s="2597"/>
      <c r="L10" s="2551"/>
      <c r="M10" s="1954">
        <v>2</v>
      </c>
      <c r="N10" s="1955">
        <v>3</v>
      </c>
    </row>
    <row r="11" spans="1:25" ht="17.850000000000001" customHeight="1" x14ac:dyDescent="0.25">
      <c r="A11" s="2552" t="s">
        <v>481</v>
      </c>
      <c r="B11" s="2403"/>
      <c r="C11" s="2404"/>
      <c r="D11" s="2605" t="str">
        <f ca="1">'Lizenz u lies mich'!B22</f>
        <v>Nur als Testversion nutzbar!</v>
      </c>
      <c r="E11" s="2403"/>
      <c r="F11" s="2403"/>
      <c r="G11" s="2403"/>
      <c r="H11" s="2615" t="str">
        <f ca="1">IF(_OK?="OK!",IF(OR('Lizenz u lies mich'!N18=1,'Lizenz u lies mich'!N21=1),"Sie können ihre Daten für die 2. und 3. Zeile frei wählen und im Blatt 'Lizenz und lies mich' eintragen.","Diese Bezeichnung entspricht jener ihrer Lizenz."),"Lizenz erforderlich! Bestellung unter bauwesen.at/k3; Lizenzdaten im Blatt LIZENZ UND LIES MICH eintragen.")</f>
        <v>Lizenz erforderlich! Bestellung unter bauwesen.at/k3; Lizenzdaten im Blatt LIZENZ UND LIES MICH eintragen.</v>
      </c>
      <c r="I11" s="2615"/>
      <c r="J11" s="2597"/>
      <c r="K11" s="2597"/>
      <c r="L11" s="2551"/>
      <c r="M11" s="1954">
        <v>3</v>
      </c>
      <c r="N11" s="1955">
        <v>4</v>
      </c>
    </row>
    <row r="12" spans="1:25" ht="17.850000000000001" customHeight="1" x14ac:dyDescent="0.25">
      <c r="A12" s="2117"/>
      <c r="B12" s="2417"/>
      <c r="C12" s="2418"/>
      <c r="D12" s="2553" t="str">
        <f ca="1">'Lizenz u lies mich'!B23</f>
        <v>Nur als Testversion nutzbar!</v>
      </c>
      <c r="E12" s="2417"/>
      <c r="F12" s="2417"/>
      <c r="G12" s="2417"/>
      <c r="H12" s="2615"/>
      <c r="I12" s="2615"/>
      <c r="J12" s="2597"/>
      <c r="K12" s="2597"/>
      <c r="L12" s="2551"/>
      <c r="M12" s="1956">
        <v>4</v>
      </c>
      <c r="N12" s="1957"/>
    </row>
    <row r="13" spans="1:25" ht="17.850000000000001" customHeight="1" x14ac:dyDescent="0.25">
      <c r="A13" s="2553"/>
      <c r="B13" s="2417"/>
      <c r="C13" s="2418"/>
      <c r="D13" s="2405" t="str">
        <f ca="1">'Lizenz u lies mich'!B24</f>
        <v>Nur als Testversion nutzbar!</v>
      </c>
      <c r="E13" s="2406"/>
      <c r="F13" s="2406"/>
      <c r="G13" s="2406"/>
      <c r="H13" s="2615"/>
      <c r="I13" s="2615"/>
      <c r="J13" s="2597"/>
      <c r="K13" s="2597"/>
      <c r="L13" s="2551"/>
    </row>
    <row r="14" spans="1:25" ht="17.850000000000001" customHeight="1" x14ac:dyDescent="0.25">
      <c r="A14" s="2611" t="s">
        <v>480</v>
      </c>
      <c r="B14" s="2612"/>
      <c r="C14" s="2612"/>
      <c r="D14" s="2571" t="s">
        <v>1145</v>
      </c>
      <c r="E14" s="2571"/>
      <c r="F14" s="2571"/>
      <c r="G14" s="2571"/>
      <c r="H14" s="2615"/>
      <c r="I14" s="2615"/>
      <c r="J14" s="2597"/>
      <c r="K14" s="2597"/>
      <c r="L14" s="2551"/>
    </row>
    <row r="15" spans="1:25" ht="17.850000000000001" customHeight="1" x14ac:dyDescent="0.25">
      <c r="A15" s="2613"/>
      <c r="B15" s="2614"/>
      <c r="C15" s="2614"/>
      <c r="D15" s="2387"/>
      <c r="E15" s="2387"/>
      <c r="F15" s="2387"/>
      <c r="G15" s="2387"/>
      <c r="H15" s="2615"/>
      <c r="I15" s="2615"/>
      <c r="J15" s="2597"/>
      <c r="K15" s="2597"/>
      <c r="L15" s="2551"/>
    </row>
    <row r="16" spans="1:25" ht="17.850000000000001" customHeight="1" x14ac:dyDescent="0.25">
      <c r="A16" s="2117" t="s">
        <v>482</v>
      </c>
      <c r="B16" s="2417"/>
      <c r="C16" s="2417"/>
      <c r="D16" s="2385" t="s">
        <v>1142</v>
      </c>
      <c r="E16" s="2385"/>
      <c r="F16" s="2385"/>
      <c r="G16" s="2385"/>
      <c r="H16" s="2615"/>
      <c r="I16" s="2615"/>
      <c r="J16" s="2597" t="str">
        <f ca="1">IF(J6="","","Bitte tragen Sie den Dateinamen der Quelldatei im Blatt STAMMDATEN ein.")</f>
        <v/>
      </c>
      <c r="K16" s="2597"/>
      <c r="L16" s="2551"/>
    </row>
    <row r="17" spans="1:18" ht="17.850000000000001" customHeight="1" x14ac:dyDescent="0.25">
      <c r="A17" s="2405"/>
      <c r="B17" s="2406"/>
      <c r="C17" s="2406"/>
      <c r="D17" s="2387"/>
      <c r="E17" s="2387"/>
      <c r="F17" s="2571"/>
      <c r="G17" s="2571"/>
      <c r="H17" s="2615"/>
      <c r="I17" s="2615"/>
      <c r="J17" s="2597"/>
      <c r="K17" s="2597"/>
      <c r="L17" s="2551"/>
    </row>
    <row r="18" spans="1:18" ht="17.850000000000001" customHeight="1" x14ac:dyDescent="0.25">
      <c r="A18" s="46" t="s">
        <v>483</v>
      </c>
      <c r="B18" s="2609" t="s">
        <v>315</v>
      </c>
      <c r="C18" s="2610"/>
      <c r="D18" s="2582" t="s">
        <v>484</v>
      </c>
      <c r="E18" s="2411"/>
      <c r="F18" s="2578">
        <v>46143</v>
      </c>
      <c r="G18" s="2578"/>
      <c r="H18" s="438"/>
      <c r="I18" s="438"/>
      <c r="J18" s="2319" t="str">
        <f ca="1">IF(OR(F18&lt;TODAY()-30,F18&gt;TODAY()+5),"Hinweis: Datum entspricht nicht dem heutigen Tag (-30/+5 Tage) oder keines eingetragen!! Gegebenenfalls Kalkulationsdatum eintragen. Dieses Datum erscheint im K3-Blatt und darf grundsätzlich nicht später als das Ende der Angebotsfrist sein "&amp;"und sollte nicht vor der Verfügbarkeit der Ausschreibungsunterlagen liegen.","")</f>
        <v/>
      </c>
      <c r="K18" s="2319"/>
      <c r="L18" s="2551"/>
    </row>
    <row r="19" spans="1:18" ht="17.850000000000001" customHeight="1" x14ac:dyDescent="0.25">
      <c r="A19" s="604" t="s">
        <v>749</v>
      </c>
      <c r="B19" s="2607" t="s">
        <v>316</v>
      </c>
      <c r="C19" s="2608"/>
      <c r="D19" s="2583"/>
      <c r="E19" s="2584"/>
      <c r="F19" s="2579"/>
      <c r="G19" s="2579"/>
      <c r="H19" s="438"/>
      <c r="I19" s="438"/>
      <c r="J19" s="2319"/>
      <c r="K19" s="2319"/>
      <c r="L19" s="2551"/>
    </row>
    <row r="20" spans="1:18" ht="17.850000000000001" customHeight="1" x14ac:dyDescent="0.25">
      <c r="A20" s="2616" t="s">
        <v>435</v>
      </c>
      <c r="B20" s="2617"/>
      <c r="C20" s="2617"/>
      <c r="D20" s="2617"/>
      <c r="E20" s="2617"/>
      <c r="F20" s="2572"/>
      <c r="G20" s="2573"/>
      <c r="H20" s="438"/>
      <c r="I20" s="438"/>
      <c r="J20" s="2319"/>
      <c r="K20" s="2319"/>
      <c r="L20" s="2551"/>
    </row>
    <row r="21" spans="1:18" ht="17.850000000000001" customHeight="1" x14ac:dyDescent="0.25">
      <c r="A21" s="2430" t="s">
        <v>1006</v>
      </c>
      <c r="B21" s="2431"/>
      <c r="C21" s="2431"/>
      <c r="D21" s="2431"/>
      <c r="E21" s="2431"/>
      <c r="F21" s="2431"/>
      <c r="G21" s="2431"/>
      <c r="H21" s="2431"/>
      <c r="I21" s="438"/>
      <c r="J21" s="2319"/>
      <c r="K21" s="2319"/>
      <c r="L21" s="764"/>
    </row>
    <row r="22" spans="1:18" ht="17.850000000000001" customHeight="1" x14ac:dyDescent="0.25">
      <c r="A22" s="2384" t="s">
        <v>1066</v>
      </c>
      <c r="B22" s="2275"/>
      <c r="C22" s="2275"/>
      <c r="D22" s="2275"/>
      <c r="E22" s="2275"/>
      <c r="F22" s="2275"/>
      <c r="G22" s="2275"/>
      <c r="H22" s="2275"/>
      <c r="I22" s="438"/>
      <c r="J22" s="2319"/>
      <c r="K22" s="2319"/>
      <c r="L22" s="764"/>
    </row>
    <row r="23" spans="1:18" ht="17.850000000000001" customHeight="1" x14ac:dyDescent="0.25">
      <c r="A23" s="2560"/>
      <c r="B23" s="2561"/>
      <c r="C23" s="2561"/>
      <c r="D23" s="2561"/>
      <c r="E23" s="2561"/>
      <c r="F23" s="2561"/>
      <c r="G23" s="2561"/>
      <c r="H23" s="2561"/>
      <c r="I23" s="438"/>
      <c r="J23" s="2319"/>
      <c r="K23" s="2319"/>
      <c r="L23" s="764"/>
    </row>
    <row r="24" spans="1:18" ht="17.850000000000001" customHeight="1" x14ac:dyDescent="0.25">
      <c r="A24" s="2560"/>
      <c r="B24" s="2561"/>
      <c r="C24" s="2561"/>
      <c r="D24" s="2561"/>
      <c r="E24" s="2561"/>
      <c r="F24" s="2561"/>
      <c r="G24" s="2561"/>
      <c r="H24" s="2561"/>
      <c r="I24" s="438"/>
      <c r="J24" s="2319"/>
      <c r="K24" s="2319"/>
      <c r="L24" s="764"/>
    </row>
    <row r="25" spans="1:18" ht="17.850000000000001" customHeight="1" x14ac:dyDescent="0.25">
      <c r="A25" s="2560"/>
      <c r="B25" s="2561"/>
      <c r="C25" s="2561"/>
      <c r="D25" s="2561"/>
      <c r="E25" s="2561"/>
      <c r="F25" s="2561"/>
      <c r="G25" s="2561"/>
      <c r="H25" s="2561"/>
      <c r="I25" s="438"/>
      <c r="J25" s="2319"/>
      <c r="K25" s="2319"/>
      <c r="L25" s="764"/>
    </row>
    <row r="26" spans="1:18" ht="17.850000000000001" customHeight="1" x14ac:dyDescent="0.25">
      <c r="A26" s="2562"/>
      <c r="B26" s="2563"/>
      <c r="C26" s="2563"/>
      <c r="D26" s="2563"/>
      <c r="E26" s="2563"/>
      <c r="F26" s="2563"/>
      <c r="G26" s="2563"/>
      <c r="H26" s="2563"/>
      <c r="I26" s="438"/>
      <c r="J26" s="1097"/>
      <c r="K26" s="1097"/>
      <c r="L26" s="764"/>
    </row>
    <row r="27" spans="1:18" ht="17.850000000000001" customHeight="1" x14ac:dyDescent="0.25">
      <c r="A27" s="2807"/>
      <c r="B27" s="2808"/>
      <c r="C27" s="2799"/>
      <c r="D27" s="2799"/>
      <c r="E27" s="2799"/>
      <c r="F27" s="2799"/>
      <c r="G27" s="2799"/>
      <c r="H27" s="2799"/>
      <c r="I27" s="438"/>
      <c r="L27" s="2634" t="str">
        <f ca="1">IFERROR(IF(AND(N2&gt;30,N1&gt;30),"KollV-Datum sowie Kalkulationsdatum liegen in Bezug zum heutigen Tag in der Zukunft (maximal 30 d zulässig; Kalkulation wird nicht erstellt).",IF('Lizenz u lies mich'!A17='Lizenz u lies mich'!N26,'Lizenz u lies mich'!N26,"")),KALKULATION!M284)</f>
        <v/>
      </c>
    </row>
    <row r="28" spans="1:18" ht="17.850000000000001" customHeight="1" x14ac:dyDescent="0.25">
      <c r="A28" s="2574" t="s">
        <v>322</v>
      </c>
      <c r="B28" s="2575"/>
      <c r="C28" s="2349" t="s">
        <v>5</v>
      </c>
      <c r="D28" s="2598"/>
      <c r="E28" s="2882" t="s">
        <v>1081</v>
      </c>
      <c r="F28" s="2883"/>
      <c r="G28" s="2883"/>
      <c r="H28" s="2883"/>
      <c r="I28" s="438"/>
      <c r="J28" s="2550" t="str">
        <f>IF(OR(ISBLANK(C28),ISBLANK(C29)),"Bitte Auswählen: Lohn | Gehalt bzw Montage | Fertigung | Dienstleistung","")</f>
        <v/>
      </c>
      <c r="K28" s="2550"/>
      <c r="L28" s="2634"/>
    </row>
    <row r="29" spans="1:18" ht="17.850000000000001" customHeight="1" x14ac:dyDescent="0.25">
      <c r="A29" s="2576"/>
      <c r="B29" s="2577"/>
      <c r="C29" s="2350" t="s">
        <v>152</v>
      </c>
      <c r="D29" s="2598"/>
      <c r="E29" s="1307" t="s">
        <v>1082</v>
      </c>
      <c r="F29" s="2137"/>
      <c r="G29" s="2138"/>
      <c r="H29" s="2138"/>
      <c r="I29" s="438"/>
      <c r="J29" s="2550"/>
      <c r="K29" s="2550"/>
      <c r="L29" s="2634"/>
    </row>
    <row r="30" spans="1:18" ht="17.850000000000001" customHeight="1" x14ac:dyDescent="0.25">
      <c r="A30" s="2558" t="str">
        <f>"Berechnung erfolgt für ["&amp;' K3 PP'!B45&amp;" ("&amp;C29&amp;")]"</f>
        <v>Berechnung erfolgt für [Mittellohnpreis (Montage)]</v>
      </c>
      <c r="B30" s="2559"/>
      <c r="C30" s="2559"/>
      <c r="D30" s="2559"/>
      <c r="E30" s="2559"/>
      <c r="F30" s="2559"/>
      <c r="G30" s="2559"/>
      <c r="H30" s="2559"/>
      <c r="I30" s="438"/>
      <c r="J30" s="1112"/>
      <c r="K30" s="1112"/>
      <c r="L30" s="2634"/>
      <c r="M30" s="1958" t="s">
        <v>618</v>
      </c>
      <c r="N30" s="1959"/>
      <c r="O30" s="1958" t="s">
        <v>620</v>
      </c>
      <c r="P30" s="1960"/>
      <c r="Q30" s="1961" t="s">
        <v>681</v>
      </c>
      <c r="R30" s="1962" t="s">
        <v>811</v>
      </c>
    </row>
    <row r="31" spans="1:18" ht="17.850000000000001" customHeight="1" x14ac:dyDescent="0.25">
      <c r="A31" s="2618"/>
      <c r="B31" s="2619"/>
      <c r="C31" s="2619"/>
      <c r="D31" s="2619"/>
      <c r="E31" s="2619"/>
      <c r="F31" s="2619"/>
      <c r="G31" s="2619"/>
      <c r="H31" s="2619"/>
      <c r="I31" s="2619"/>
      <c r="J31" s="1112"/>
      <c r="K31" s="1112"/>
      <c r="L31" s="2634"/>
      <c r="M31" s="1963" t="s">
        <v>5</v>
      </c>
      <c r="O31" s="1964" t="s">
        <v>152</v>
      </c>
      <c r="P31" s="1965"/>
      <c r="Q31" s="1959" t="s">
        <v>192</v>
      </c>
      <c r="R31" s="1966" t="s">
        <v>107</v>
      </c>
    </row>
    <row r="32" spans="1:18" ht="25.15" customHeight="1" x14ac:dyDescent="0.25">
      <c r="A32" s="2223" t="s">
        <v>648</v>
      </c>
      <c r="B32" s="2224"/>
      <c r="C32" s="2224"/>
      <c r="D32" s="2224"/>
      <c r="E32" s="2224"/>
      <c r="F32" s="2224"/>
      <c r="G32" s="2224"/>
      <c r="H32" s="2224"/>
      <c r="I32" s="438"/>
      <c r="J32" s="2178" t="str">
        <f ca="1">IFERROR(IF((TODAY()-H34)&gt;365,"KollV-Datum ist älter als 1 Jahr. Bitte KollV auf Aktualität prüfen und KollV-Gültigkeitsdatum in der Quelldatei aktualisieren!",IF((TODAY()-H34)&lt;-100,"KollV-Datum liegt 100 oder mehr Tage in der Zukunft!","")),"")</f>
        <v/>
      </c>
      <c r="K32" s="2178"/>
      <c r="L32" s="2634"/>
      <c r="M32" s="1963" t="s">
        <v>151</v>
      </c>
      <c r="O32" s="1964" t="s">
        <v>154</v>
      </c>
      <c r="P32" s="1965"/>
      <c r="Q32" s="1967" t="s">
        <v>193</v>
      </c>
      <c r="R32" s="1968" t="s">
        <v>813</v>
      </c>
    </row>
    <row r="33" spans="1:17" ht="17.850000000000001" customHeight="1" x14ac:dyDescent="0.25">
      <c r="A33" s="2580" t="str">
        <f ca="1">IF(OR(E55=0,H56=1),"B1) Produktives Personal","B1) Personal (der produktive Teil davon ergibt sich nach Abzug B2.a)")</f>
        <v>B1) Personal (der produktive Teil davon ergibt sich nach Abzug B2.a)</v>
      </c>
      <c r="B33" s="2581"/>
      <c r="C33" s="2581"/>
      <c r="D33" s="2581"/>
      <c r="E33" s="2581"/>
      <c r="F33" s="2581"/>
      <c r="G33" s="2581"/>
      <c r="H33" s="2581"/>
      <c r="I33" s="438"/>
      <c r="J33" s="2178"/>
      <c r="K33" s="2178"/>
      <c r="L33" s="2634"/>
      <c r="M33" s="1969" t="str">
        <f>IF(C28=M31,"Mittellohnkosten","Mittelgehaltkosten")</f>
        <v>Mittellohnkosten</v>
      </c>
      <c r="O33" s="1946" t="s">
        <v>628</v>
      </c>
      <c r="P33" s="1965"/>
    </row>
    <row r="34" spans="1:17" ht="17.850000000000001" customHeight="1" x14ac:dyDescent="0.25">
      <c r="A34" s="156" t="s">
        <v>780</v>
      </c>
      <c r="B34" s="2142" t="str">
        <f ca="1">IFERROR(Stammdaten!B3,"Kein KollV gefunden!")</f>
        <v>KollV f Bauindustrie und Baugewerbe (Arbeiter)</v>
      </c>
      <c r="C34" s="2143"/>
      <c r="D34" s="2143"/>
      <c r="E34" s="2143"/>
      <c r="F34" s="2143"/>
      <c r="G34" s="2414"/>
      <c r="H34" s="1281">
        <f ca="1">Stammdaten!B4</f>
        <v>46143</v>
      </c>
      <c r="I34" s="438"/>
      <c r="J34" s="2178"/>
      <c r="K34" s="2178"/>
      <c r="L34" s="2634"/>
      <c r="M34" s="1970" t="str">
        <f>IF(C28=M31,"Mittellohnpreis","Mittelgehaltpreis")</f>
        <v>Mittellohnpreis</v>
      </c>
      <c r="O34" s="1946" t="s">
        <v>619</v>
      </c>
      <c r="P34" s="1965"/>
      <c r="Q34" s="1961" t="s">
        <v>1111</v>
      </c>
    </row>
    <row r="35" spans="1:17" ht="17.850000000000001" customHeight="1" thickBot="1" x14ac:dyDescent="0.3">
      <c r="A35" s="2564" t="s">
        <v>779</v>
      </c>
      <c r="B35" s="2565"/>
      <c r="C35" s="2565"/>
      <c r="D35" s="930" t="s">
        <v>802</v>
      </c>
      <c r="E35" s="715" t="s">
        <v>455</v>
      </c>
      <c r="F35" s="1011" t="s">
        <v>596</v>
      </c>
      <c r="G35" s="646" t="s">
        <v>597</v>
      </c>
      <c r="H35" s="929" t="s">
        <v>598</v>
      </c>
      <c r="I35" s="438"/>
      <c r="J35" s="2178"/>
      <c r="K35" s="2178"/>
      <c r="L35" s="2634"/>
      <c r="M35" s="1961" t="s">
        <v>567</v>
      </c>
      <c r="N35" s="1961" t="s">
        <v>570</v>
      </c>
      <c r="O35" s="1961" t="s">
        <v>737</v>
      </c>
      <c r="P35" s="1971"/>
      <c r="Q35" s="1342" t="s">
        <v>1109</v>
      </c>
    </row>
    <row r="36" spans="1:17" ht="17.850000000000001" customHeight="1" thickTop="1" thickBot="1" x14ac:dyDescent="0.3">
      <c r="A36" s="2355" t="s">
        <v>1134</v>
      </c>
      <c r="B36" s="2356"/>
      <c r="C36" s="2357"/>
      <c r="D36" s="51">
        <f ca="1">IF(L$27="",IFERROR(VLOOKUP(A36,Stammdaten!A$7:D$33,4,FALSE),KALKULATION!$M$283),"ungültig")</f>
        <v>21.96</v>
      </c>
      <c r="E36" s="327">
        <v>1</v>
      </c>
      <c r="F36" s="139">
        <f ca="1">IFERROR(IF(AND(A36&lt;&gt;"",D36&lt;&gt;M$283),E36/E$45,""),"")</f>
        <v>0.1429</v>
      </c>
      <c r="G36" s="136">
        <f ca="1">IFERROR(VLOOKUP(A36,Stammdaten!A$7:F$33,4,FALSE)*F36,"")</f>
        <v>3.1379999999999999</v>
      </c>
      <c r="H36" s="1221">
        <f ca="1">IFERROR(VLOOKUP(A36,Stammdaten!A$7:F$33,6,FALSE)*F36,"")</f>
        <v>0.47</v>
      </c>
      <c r="I36" s="577"/>
      <c r="J36" s="2178" t="str">
        <f ca="1">IF(OR(COUNTA(A36,E36)=2,COUNTA(A36,E36)=0),IF(D36=KALKULATION!$M$283,"Auswahl erneut vornehmen (ungültiger Verweis)!",""),"Eingabe unvollständig (ergänzen oder löschen)!")</f>
        <v/>
      </c>
      <c r="K36" s="2178"/>
      <c r="L36" s="2179"/>
      <c r="M36" s="1972" t="str">
        <f t="shared" ref="M36:M62" ca="1" si="0">IFERROR(INDIRECT("O"&amp;(SMALL(P$36:P$62,ROW(P36)-ROW(P$36)+1))),"")</f>
        <v>I.        Vizepolier</v>
      </c>
      <c r="N36" s="1342">
        <f t="shared" ref="N36:N62" ca="1" si="1">IF(M36="","",ROW())</f>
        <v>36</v>
      </c>
      <c r="O36" s="1972" t="str">
        <f ca="1">IF(Stammdaten!A7=0,"",Stammdaten!A7)</f>
        <v>I.        Vizepolier</v>
      </c>
      <c r="P36" s="1965">
        <f t="shared" ref="P36:P61" ca="1" si="2">IF(O36="","",1*ROW())</f>
        <v>36</v>
      </c>
      <c r="Q36" s="1342" t="s">
        <v>1110</v>
      </c>
    </row>
    <row r="37" spans="1:17" ht="17.850000000000001" customHeight="1" thickBot="1" x14ac:dyDescent="0.3">
      <c r="A37" s="2137" t="s">
        <v>1135</v>
      </c>
      <c r="B37" s="2138"/>
      <c r="C37" s="2139"/>
      <c r="D37" s="51">
        <f ca="1">IF(L$27="",IFERROR(VLOOKUP(A37,Stammdaten!A$7:D$33,4,FALSE),KALKULATION!$M$283),"ungültig")</f>
        <v>19.989999999999998</v>
      </c>
      <c r="E37" s="327">
        <v>3</v>
      </c>
      <c r="F37" s="139">
        <f t="shared" ref="F37:F44" ca="1" si="3">IFERROR(IF(AND(A37&lt;&gt;"",D37&lt;&gt;M$283),E37/E$45,""),"")</f>
        <v>0.42859999999999998</v>
      </c>
      <c r="G37" s="54">
        <f ca="1">IFERROR(VLOOKUP(A37,Stammdaten!A$7:F$33,4,FALSE)*F37,"")</f>
        <v>8.5679999999999996</v>
      </c>
      <c r="H37" s="1222">
        <f ca="1">IFERROR(VLOOKUP(A37,Stammdaten!A$7:F$33,6,FALSE)*F37,"")</f>
        <v>1.286</v>
      </c>
      <c r="I37" s="577"/>
      <c r="J37" s="2178" t="str">
        <f ca="1">IF(OR(COUNTA(A37,E37)=2,COUNTA(A37,E37)=0),IF(D37=KALKULATION!$M$283,"Auswahl erneut vornehmen (ungültiger Verweis)!",""),"Eingabe unvollständig (ergänzen oder löschen)!")</f>
        <v/>
      </c>
      <c r="K37" s="2178"/>
      <c r="L37" s="2179"/>
      <c r="M37" s="1972" t="str">
        <f t="shared" ca="1" si="0"/>
        <v>IIa.    Vorarbeiter</v>
      </c>
      <c r="N37" s="1342">
        <f t="shared" ca="1" si="1"/>
        <v>37</v>
      </c>
      <c r="O37" s="1972" t="str">
        <f ca="1">IF(Stammdaten!A8=0,"",Stammdaten!A8)</f>
        <v>IIa.    Vorarbeiter</v>
      </c>
      <c r="P37" s="1965">
        <f t="shared" ca="1" si="2"/>
        <v>37</v>
      </c>
    </row>
    <row r="38" spans="1:17" ht="17.850000000000001" customHeight="1" thickBot="1" x14ac:dyDescent="0.3">
      <c r="A38" s="2137" t="s">
        <v>1136</v>
      </c>
      <c r="B38" s="2138"/>
      <c r="C38" s="2139"/>
      <c r="D38" s="51">
        <f ca="1">IF(L$27="",IFERROR(VLOOKUP(A38,Stammdaten!A$7:D$33,4,FALSE),KALKULATION!$M$283),"ungültig")</f>
        <v>17.03</v>
      </c>
      <c r="E38" s="327">
        <v>3</v>
      </c>
      <c r="F38" s="139">
        <f t="shared" ca="1" si="3"/>
        <v>0.42859999999999998</v>
      </c>
      <c r="G38" s="54">
        <f ca="1">IFERROR(VLOOKUP(A38,Stammdaten!A$7:F$33,4,FALSE)*F38,"")</f>
        <v>7.2990000000000004</v>
      </c>
      <c r="H38" s="1222">
        <f ca="1">IFERROR(VLOOKUP(A38,Stammdaten!A$7:F$33,6,FALSE)*F38,"")</f>
        <v>1.093</v>
      </c>
      <c r="I38" s="577"/>
      <c r="J38" s="2178" t="str">
        <f ca="1">IF(OR(COUNTA(A38,E38)=2,COUNTA(A38,E38)=0),IF(D38=KALKULATION!$M$283,"Auswahl erneut vornehmen (ungültiger Verweis)!",""),"Eingabe unvollständig (ergänzen oder löschen)!")</f>
        <v/>
      </c>
      <c r="K38" s="2178"/>
      <c r="L38" s="2179"/>
      <c r="M38" s="1972" t="str">
        <f t="shared" ca="1" si="0"/>
        <v>IIb.   Facharbeiter</v>
      </c>
      <c r="N38" s="1342">
        <f t="shared" ca="1" si="1"/>
        <v>38</v>
      </c>
      <c r="O38" s="1972" t="str">
        <f ca="1">IF(Stammdaten!A9=0,"",Stammdaten!A9)</f>
        <v>IIb.   Facharbeiter</v>
      </c>
      <c r="P38" s="1965">
        <f t="shared" ca="1" si="2"/>
        <v>38</v>
      </c>
    </row>
    <row r="39" spans="1:17" ht="17.850000000000001" customHeight="1" thickBot="1" x14ac:dyDescent="0.3">
      <c r="A39" s="2137"/>
      <c r="B39" s="2138"/>
      <c r="C39" s="2139"/>
      <c r="D39" s="51">
        <f ca="1">IF(L$27="",IFERROR(VLOOKUP(A39,Stammdaten!A$7:D$33,4,FALSE),KALKULATION!$M$283),"ungültig")</f>
        <v>0</v>
      </c>
      <c r="E39" s="327"/>
      <c r="F39" s="139" t="str">
        <f t="shared" ca="1" si="3"/>
        <v/>
      </c>
      <c r="G39" s="54" t="str">
        <f ca="1">IFERROR(VLOOKUP(A39,Stammdaten!A$7:F$33,4,FALSE)*F39,"")</f>
        <v/>
      </c>
      <c r="H39" s="1222" t="str">
        <f ca="1">IFERROR(VLOOKUP(A39,Stammdaten!A$7:F$33,6,FALSE)*F39,"")</f>
        <v/>
      </c>
      <c r="I39" s="577"/>
      <c r="J39" s="2178" t="str">
        <f ca="1">IF(OR(COUNTA(A39,E39)=2,COUNTA(A39,E39)=0),IF(D39=KALKULATION!$M$283,"Auswahl erneut vornehmen (ungültiger Verweis)!",""),"Eingabe unvollständig (ergänzen oder löschen)!")</f>
        <v/>
      </c>
      <c r="K39" s="2178"/>
      <c r="L39" s="2179"/>
      <c r="M39" s="1972" t="str">
        <f t="shared" ca="1" si="0"/>
        <v>IIIa.  Angelernter Bauarbeiter</v>
      </c>
      <c r="N39" s="1342">
        <f t="shared" ca="1" si="1"/>
        <v>39</v>
      </c>
      <c r="O39" s="1972" t="str">
        <f ca="1">IF(Stammdaten!A10=0,"",Stammdaten!A10)</f>
        <v>IIIa.  Angelernter Bauarbeiter</v>
      </c>
      <c r="P39" s="1965">
        <f t="shared" ca="1" si="2"/>
        <v>39</v>
      </c>
    </row>
    <row r="40" spans="1:17" ht="17.850000000000001" customHeight="1" thickBot="1" x14ac:dyDescent="0.3">
      <c r="A40" s="2137"/>
      <c r="B40" s="2138"/>
      <c r="C40" s="2139"/>
      <c r="D40" s="51">
        <f ca="1">IF(L$27="",IFERROR(VLOOKUP(A40,Stammdaten!A$7:D$33,4,FALSE),KALKULATION!$M$283),"ungültig")</f>
        <v>0</v>
      </c>
      <c r="E40" s="327"/>
      <c r="F40" s="139" t="str">
        <f t="shared" ca="1" si="3"/>
        <v/>
      </c>
      <c r="G40" s="54" t="str">
        <f ca="1">IFERROR(VLOOKUP(A40,Stammdaten!A$7:F$33,4,FALSE)*F40,"")</f>
        <v/>
      </c>
      <c r="H40" s="1222" t="str">
        <f ca="1">IFERROR(VLOOKUP(A40,Stammdaten!A$7:F$33,6,FALSE)*F40,"")</f>
        <v/>
      </c>
      <c r="I40" s="577"/>
      <c r="J40" s="2178" t="str">
        <f ca="1">IF(OR(COUNTA(A40,E40)=2,COUNTA(A40,E40)=0),IF(D40=KALKULATION!$M$283,"Auswahl erneut vornehmen (ungültiger Verweis)!",""),"Eingabe unvollständig (ergänzen oder löschen)!")</f>
        <v/>
      </c>
      <c r="K40" s="2178"/>
      <c r="L40" s="2179"/>
      <c r="M40" s="1972" t="str">
        <f t="shared" ca="1" si="0"/>
        <v>IIIb.  Angelernter Bauarbeiter</v>
      </c>
      <c r="N40" s="1342">
        <f t="shared" ca="1" si="1"/>
        <v>40</v>
      </c>
      <c r="O40" s="1972" t="str">
        <f ca="1">IF(Stammdaten!A11=0,"",Stammdaten!A11)</f>
        <v>IIIb.  Angelernter Bauarbeiter</v>
      </c>
      <c r="P40" s="1965">
        <f t="shared" ca="1" si="2"/>
        <v>40</v>
      </c>
    </row>
    <row r="41" spans="1:17" ht="17.850000000000001" customHeight="1" thickBot="1" x14ac:dyDescent="0.3">
      <c r="A41" s="2137"/>
      <c r="B41" s="2138"/>
      <c r="C41" s="2139"/>
      <c r="D41" s="51">
        <f ca="1">IF(L$27="",IFERROR(VLOOKUP(A41,Stammdaten!A$7:D$33,4,FALSE),KALKULATION!$M$283),"ungültig")</f>
        <v>0</v>
      </c>
      <c r="E41" s="327"/>
      <c r="F41" s="139" t="str">
        <f t="shared" ca="1" si="3"/>
        <v/>
      </c>
      <c r="G41" s="54" t="str">
        <f ca="1">IFERROR(VLOOKUP(A41,Stammdaten!A$7:F$33,4,FALSE)*F41,"")</f>
        <v/>
      </c>
      <c r="H41" s="1222" t="str">
        <f ca="1">IFERROR(VLOOKUP(A41,Stammdaten!A$7:F$33,6,FALSE)*F41,"")</f>
        <v/>
      </c>
      <c r="I41" s="577"/>
      <c r="J41" s="2178" t="str">
        <f ca="1">IF(OR(COUNTA(A41,E41)=2,COUNTA(A41,E41)=0),IF(D41=KALKULATION!$M$283,"Auswahl erneut vornehmen (ungültiger Verweis)!",""),"Eingabe unvollständig (ergänzen oder löschen)!")</f>
        <v/>
      </c>
      <c r="K41" s="2178"/>
      <c r="L41" s="2179"/>
      <c r="M41" s="1972" t="str">
        <f t="shared" ca="1" si="0"/>
        <v>IIIc.  Angelernter Bauarbeiter</v>
      </c>
      <c r="N41" s="1342">
        <f t="shared" ca="1" si="1"/>
        <v>41</v>
      </c>
      <c r="O41" s="1972" t="str">
        <f ca="1">IF(Stammdaten!A12=0,"",Stammdaten!A12)</f>
        <v>IIIc.  Angelernter Bauarbeiter</v>
      </c>
      <c r="P41" s="1965">
        <f t="shared" ca="1" si="2"/>
        <v>41</v>
      </c>
    </row>
    <row r="42" spans="1:17" ht="18" customHeight="1" thickBot="1" x14ac:dyDescent="0.3">
      <c r="A42" s="2137"/>
      <c r="B42" s="2138"/>
      <c r="C42" s="2139"/>
      <c r="D42" s="51">
        <f ca="1">IF(L$27="",IFERROR(VLOOKUP(A42,Stammdaten!A$7:D$33,4,FALSE),KALKULATION!$M$283),"ungültig")</f>
        <v>0</v>
      </c>
      <c r="E42" s="327"/>
      <c r="F42" s="139" t="str">
        <f t="shared" ca="1" si="3"/>
        <v/>
      </c>
      <c r="G42" s="54" t="str">
        <f ca="1">IFERROR(VLOOKUP(A42,Stammdaten!A$7:F$33,4,FALSE)*F42,"")</f>
        <v/>
      </c>
      <c r="H42" s="1222" t="str">
        <f ca="1">IFERROR(VLOOKUP(A42,Stammdaten!A$7:F$33,6,FALSE)*F42,"")</f>
        <v/>
      </c>
      <c r="I42" s="577"/>
      <c r="J42" s="2178" t="str">
        <f ca="1">IF(OR(COUNTA(A42,E42)=2,COUNTA(A42,E42)=0),IF(D42=KALKULATION!$M$283,"Auswahl erneut vornehmen (ungültiger Verweis)!",""),"Eingabe unvollständig (ergänzen oder löschen)!")</f>
        <v/>
      </c>
      <c r="K42" s="2178"/>
      <c r="L42" s="2179"/>
      <c r="M42" s="1972" t="str">
        <f t="shared" ca="1" si="0"/>
        <v>IIId.  Angelernter Bauarbeiter</v>
      </c>
      <c r="N42" s="1342">
        <f t="shared" ca="1" si="1"/>
        <v>42</v>
      </c>
      <c r="O42" s="1972" t="str">
        <f ca="1">IF(Stammdaten!A13=0,"",Stammdaten!A13)</f>
        <v>IIId.  Angelernter Bauarbeiter</v>
      </c>
      <c r="P42" s="1965">
        <f t="shared" ca="1" si="2"/>
        <v>42</v>
      </c>
    </row>
    <row r="43" spans="1:17" ht="18" customHeight="1" thickBot="1" x14ac:dyDescent="0.3">
      <c r="A43" s="2137"/>
      <c r="B43" s="2138"/>
      <c r="C43" s="2139"/>
      <c r="D43" s="51">
        <f ca="1">IF(L$27="",IFERROR(VLOOKUP(A43,Stammdaten!A$7:D$33,4,FALSE),KALKULATION!$M$283),"ungültig")</f>
        <v>0</v>
      </c>
      <c r="E43" s="327"/>
      <c r="F43" s="139" t="str">
        <f t="shared" ca="1" si="3"/>
        <v/>
      </c>
      <c r="G43" s="54" t="str">
        <f ca="1">IFERROR(VLOOKUP(A43,Stammdaten!A$7:F$33,4,FALSE)*F43,"")</f>
        <v/>
      </c>
      <c r="H43" s="1222" t="str">
        <f ca="1">IFERROR(VLOOKUP(A43,Stammdaten!A$7:F$33,6,FALSE)*F43,"")</f>
        <v/>
      </c>
      <c r="I43" s="577"/>
      <c r="J43" s="2178" t="str">
        <f ca="1">IF(OR(COUNTA(A43,E43)=2,COUNTA(A43,E43)=0),IF(D43=KALKULATION!$M$283,"Auswahl erneut vornehmen (ungültiger Verweis)!",""),"Eingabe unvollständig (ergänzen oder löschen)!")</f>
        <v/>
      </c>
      <c r="K43" s="2178"/>
      <c r="L43" s="2179"/>
      <c r="M43" s="1972" t="str">
        <f t="shared" ca="1" si="0"/>
        <v>IIIe.  Angelernter Bauarbeiter</v>
      </c>
      <c r="N43" s="1342">
        <f t="shared" ca="1" si="1"/>
        <v>43</v>
      </c>
      <c r="O43" s="1972" t="str">
        <f ca="1">IF(Stammdaten!A14=0,"",Stammdaten!A14)</f>
        <v>IIIe.  Angelernter Bauarbeiter</v>
      </c>
      <c r="P43" s="1965">
        <f t="shared" ca="1" si="2"/>
        <v>43</v>
      </c>
    </row>
    <row r="44" spans="1:17" ht="17.850000000000001" customHeight="1" thickBot="1" x14ac:dyDescent="0.3">
      <c r="A44" s="2395"/>
      <c r="B44" s="2396"/>
      <c r="C44" s="2397"/>
      <c r="D44" s="60">
        <f ca="1">IF(L$27="",IFERROR(VLOOKUP(A44,Stammdaten!A$7:D$33,4,FALSE),KALKULATION!$M$283),"ungültig")</f>
        <v>0</v>
      </c>
      <c r="E44" s="328"/>
      <c r="F44" s="53" t="str">
        <f t="shared" ca="1" si="3"/>
        <v/>
      </c>
      <c r="G44" s="213" t="str">
        <f ca="1">IFERROR(VLOOKUP(A44,Stammdaten!A$7:F$33,4,FALSE)*F44,"")</f>
        <v/>
      </c>
      <c r="H44" s="1223" t="str">
        <f ca="1">IFERROR(VLOOKUP(A44,Stammdaten!A$7:F$33,6,FALSE)*F44,"")</f>
        <v/>
      </c>
      <c r="I44" s="577"/>
      <c r="J44" s="2178" t="str">
        <f ca="1">IF(OR(COUNTA(A44,E44)=2,COUNTA(A44,E44)=0),IF(D44=KALKULATION!$M$283,"Auswahl erneut vornehmen (ungültiger Verweis)!",""),"Eingabe unvollständig (ergänzen oder löschen)!")</f>
        <v/>
      </c>
      <c r="K44" s="2178"/>
      <c r="L44" s="2179"/>
      <c r="M44" s="1972" t="str">
        <f t="shared" ca="1" si="0"/>
        <v>IV.   Bauhilfsarbeiter</v>
      </c>
      <c r="N44" s="1342">
        <f t="shared" ca="1" si="1"/>
        <v>44</v>
      </c>
      <c r="O44" s="1972" t="str">
        <f ca="1">IF(Stammdaten!A15=0,"",Stammdaten!A15)</f>
        <v>IV.   Bauhilfsarbeiter</v>
      </c>
      <c r="P44" s="1965">
        <f t="shared" ca="1" si="2"/>
        <v>44</v>
      </c>
    </row>
    <row r="45" spans="1:17" ht="17.850000000000001" customHeight="1" thickBot="1" x14ac:dyDescent="0.3">
      <c r="A45" s="2221" t="s">
        <v>803</v>
      </c>
      <c r="B45" s="2222"/>
      <c r="C45" s="2222"/>
      <c r="D45" s="2306"/>
      <c r="E45" s="490">
        <f ca="1">IF(L27="",SUM(E36:E44),"")</f>
        <v>7</v>
      </c>
      <c r="F45" s="150">
        <f ca="1">IFERROR(IF(AND(_Test=9,SUM(Stammdaten!B7:B10)&lt;&gt;50),"FEHLER!",SUM(F36:F44)),KALKULATION!M285)</f>
        <v>1</v>
      </c>
      <c r="G45" s="51">
        <f ca="1">IF(AND(_OK?="OK!",_OK_KV?="OK_KV!"),SUM(G36:G44),ROUND(SUM(G36:G44)*1.05,0))</f>
        <v>20</v>
      </c>
      <c r="H45" s="84">
        <f ca="1">SUM(H36:H44)</f>
        <v>2.85</v>
      </c>
      <c r="I45" s="1251" t="str">
        <f ca="1">IF(_OK?&lt;&gt;"OK!","X","")</f>
        <v>X</v>
      </c>
      <c r="J45" s="2176" t="str">
        <f ca="1">IFERROR(IF(ROUND(F45*100,0)&lt;&gt;100,"Obige Eingaben ergänzen bzw ändern; Ergebnis ≠ 100%!",IF(E45&lt;1,"Anzahl darf nicht unter 1,00 liegen!!!","")),KALKULATION!M286)</f>
        <v/>
      </c>
      <c r="K45" s="2176"/>
      <c r="L45" s="2177"/>
      <c r="M45" s="1972" t="str">
        <f t="shared" ca="1" si="0"/>
        <v># eingetragene Werte prüfen</v>
      </c>
      <c r="N45" s="1342">
        <f t="shared" ca="1" si="1"/>
        <v>45</v>
      </c>
      <c r="O45" s="1972" t="str">
        <f ca="1">IF(Stammdaten!A16=0,"",Stammdaten!A16)</f>
        <v/>
      </c>
      <c r="P45" s="1965" t="str">
        <f t="shared" ca="1" si="2"/>
        <v/>
      </c>
    </row>
    <row r="46" spans="1:17" ht="17.850000000000001" customHeight="1" thickBot="1" x14ac:dyDescent="0.3">
      <c r="A46" s="2587" t="str">
        <f ca="1">"Die möglichtst zutreffende Erfassung der Ø Beschäftigtenanzahl (oben "&amp;TEXT(E45,"0,00")&amp;") ist für die Ermittlung der Umlagen in G2.b sowie H1.b erforderlich. "&amp;"Weiters benötigt die monetäre Darstellung der Arbeitspartie und die Darstel-lung von Deckungsbeiträgen pro Woche im Blatt REPORT eine möglichst zutreffende Anzahl "&amp;"(REPORT B1, B4 etc). Alle anderen Ergebnisse des Blatts KALKULATION sind von der absoluten Beschäftigtenanzahl unabhängig. "</f>
        <v xml:space="preserve">Die möglichtst zutreffende Erfassung der Ø Beschäftigtenanzahl (oben 7,00) ist für die Ermittlung der Umlagen in G2.b sowie H1.b erforderlich. Weiters benötigt die monetäre Darstellung der Arbeitspartie und die Darstel-lung von Deckungsbeiträgen pro Woche im Blatt REPORT eine möglichst zutreffende Anzahl (REPORT B1, B4 etc). Alle anderen Ergebnisse des Blatts KALKULATION sind von der absoluten Beschäftigtenanzahl unabhängig. </v>
      </c>
      <c r="B46" s="2588"/>
      <c r="C46" s="2588"/>
      <c r="D46" s="2588"/>
      <c r="E46" s="2588"/>
      <c r="F46" s="2588"/>
      <c r="G46" s="2588"/>
      <c r="H46" s="2588"/>
      <c r="I46" s="578"/>
      <c r="J46" s="1090" t="str">
        <f ca="1">IF(I45="X","Wegen fehlender Lizenz, gerundete Werte! Siehe Blatt LIZENZ u LIES MICH!","")</f>
        <v>Wegen fehlender Lizenz, gerundete Werte! Siehe Blatt LIZENZ u LIES MICH!</v>
      </c>
      <c r="K46" s="1112"/>
      <c r="L46" s="765"/>
      <c r="M46" s="1972" t="str">
        <f t="shared" ca="1" si="0"/>
        <v># AKV auf betriebliche Werte ändern!</v>
      </c>
      <c r="N46" s="1342">
        <f t="shared" ca="1" si="1"/>
        <v>46</v>
      </c>
      <c r="O46" s="1972" t="str">
        <f ca="1">IF(Stammdaten!A17=0,"",Stammdaten!A17)</f>
        <v># eingetragene Werte prüfen</v>
      </c>
      <c r="P46" s="1965">
        <f t="shared" ca="1" si="2"/>
        <v>46</v>
      </c>
    </row>
    <row r="47" spans="1:17" ht="17.850000000000001" customHeight="1" thickBot="1" x14ac:dyDescent="0.3">
      <c r="A47" s="2589"/>
      <c r="B47" s="2590"/>
      <c r="C47" s="2590"/>
      <c r="D47" s="2590"/>
      <c r="E47" s="2590"/>
      <c r="F47" s="2590"/>
      <c r="G47" s="2590"/>
      <c r="H47" s="2590"/>
      <c r="I47" s="578"/>
      <c r="J47" s="2544" t="str">
        <f ca="1">IF(OR(_OK?&lt;&gt;"OK!",_OK_KV?&lt;&gt;"OK_KV!"),"Sie verwenden keine gültige Lizenz. Manche Rechen-ergebnisse sind deswegen aufgerundet; rote Schrift im K3-Blatt. Sie können das Tool trotzdem mit allen Funktionen verwenden (testen) und später ohne Verlust der Eingaben lizenzieren.","")</f>
        <v>Sie verwenden keine gültige Lizenz. Manche Rechen-ergebnisse sind deswegen aufgerundet; rote Schrift im K3-Blatt. Sie können das Tool trotzdem mit allen Funktionen verwenden (testen) und später ohne Verlust der Eingaben lizenzieren.</v>
      </c>
      <c r="K47" s="2544"/>
      <c r="L47" s="2545"/>
      <c r="M47" s="1972" t="str">
        <f t="shared" ca="1" si="0"/>
        <v>Fassader (Wien)</v>
      </c>
      <c r="N47" s="1342">
        <f t="shared" ca="1" si="1"/>
        <v>47</v>
      </c>
      <c r="O47" s="1972" t="str">
        <f ca="1">IF(Stammdaten!A18=0,"",Stammdaten!A18)</f>
        <v># AKV auf betriebliche Werte ändern!</v>
      </c>
      <c r="P47" s="1965">
        <f t="shared" ca="1" si="2"/>
        <v>47</v>
      </c>
    </row>
    <row r="48" spans="1:17" ht="17.850000000000001" customHeight="1" thickBot="1" x14ac:dyDescent="0.3">
      <c r="A48" s="2589"/>
      <c r="B48" s="2590"/>
      <c r="C48" s="2590"/>
      <c r="D48" s="2590"/>
      <c r="E48" s="2590"/>
      <c r="F48" s="2590"/>
      <c r="G48" s="2590"/>
      <c r="H48" s="2590"/>
      <c r="I48" s="578"/>
      <c r="J48" s="2544"/>
      <c r="K48" s="2544"/>
      <c r="L48" s="2545"/>
      <c r="M48" s="1972" t="str">
        <f t="shared" ca="1" si="0"/>
        <v>Lenkstunde (§8 Z 1b)</v>
      </c>
      <c r="N48" s="1342">
        <f t="shared" ca="1" si="1"/>
        <v>48</v>
      </c>
      <c r="O48" s="1972" t="str">
        <f ca="1">IF(Stammdaten!A19=0,"",Stammdaten!A19)</f>
        <v>Fassader (Wien)</v>
      </c>
      <c r="P48" s="1965">
        <f t="shared" ca="1" si="2"/>
        <v>48</v>
      </c>
    </row>
    <row r="49" spans="1:19" ht="17.850000000000001" customHeight="1" thickBot="1" x14ac:dyDescent="0.3">
      <c r="A49" s="2591"/>
      <c r="B49" s="2592"/>
      <c r="C49" s="2592"/>
      <c r="D49" s="2592"/>
      <c r="E49" s="2592"/>
      <c r="F49" s="2592"/>
      <c r="G49" s="2592"/>
      <c r="H49" s="2592"/>
      <c r="I49" s="438"/>
      <c r="K49" s="1327"/>
      <c r="L49" s="1328"/>
      <c r="M49" s="1972" t="str">
        <f t="shared" ca="1" si="0"/>
        <v>KV Feuerungstechnische Betriebe:</v>
      </c>
      <c r="N49" s="1342">
        <f t="shared" ca="1" si="1"/>
        <v>49</v>
      </c>
      <c r="O49" s="1972" t="str">
        <f ca="1">IF(Stammdaten!A20=0,"",Stammdaten!A20)</f>
        <v>Lenkstunde (§8 Z 1b)</v>
      </c>
      <c r="P49" s="1965">
        <f t="shared" ca="1" si="2"/>
        <v>49</v>
      </c>
    </row>
    <row r="50" spans="1:19" ht="17.850000000000001" customHeight="1" thickBot="1" x14ac:dyDescent="0.3">
      <c r="A50" s="2585" t="s">
        <v>750</v>
      </c>
      <c r="B50" s="2586"/>
      <c r="C50" s="2586"/>
      <c r="D50" s="2586"/>
      <c r="E50" s="2586"/>
      <c r="F50" s="2586"/>
      <c r="G50" s="2586"/>
      <c r="H50" s="2586"/>
      <c r="I50" s="438"/>
      <c r="J50" s="2546" t="str">
        <f>VLOOKUP(E51,M71:P74,4,FALSE)</f>
        <v>Die Festlegung des unprod. Personals erfolgt gem B2.a als (Auswahl (3)) Anteil an der in B1 festgelegten Gesamtanzahl. Durch den relativen Bezug ändert sich die Anzahl des unprod. Personals bei Änderung der Anzahl in Pkt B1.</v>
      </c>
      <c r="K50" s="2546"/>
      <c r="L50" s="2547"/>
      <c r="M50" s="1972" t="str">
        <f t="shared" ca="1" si="0"/>
        <v>a) Schornsteinbau (Vorarb.)</v>
      </c>
      <c r="N50" s="1342">
        <f t="shared" ca="1" si="1"/>
        <v>50</v>
      </c>
      <c r="O50" s="1972" t="str">
        <f ca="1">IF(Stammdaten!A21=0,"",Stammdaten!A21)</f>
        <v>KV Feuerungstechnische Betriebe:</v>
      </c>
      <c r="P50" s="1965">
        <f t="shared" ca="1" si="2"/>
        <v>50</v>
      </c>
    </row>
    <row r="51" spans="1:19" ht="17.850000000000001" customHeight="1" thickBot="1" x14ac:dyDescent="0.3">
      <c r="A51" s="2568" t="s">
        <v>485</v>
      </c>
      <c r="B51" s="2569"/>
      <c r="C51" s="2570"/>
      <c r="D51" s="928" t="s">
        <v>805</v>
      </c>
      <c r="E51" s="2566" t="s">
        <v>1023</v>
      </c>
      <c r="F51" s="2567"/>
      <c r="G51" s="2567"/>
      <c r="H51" s="2567"/>
      <c r="I51" s="438"/>
      <c r="J51" s="2546"/>
      <c r="K51" s="2546"/>
      <c r="L51" s="2547"/>
      <c r="M51" s="1972" t="str">
        <f t="shared" ca="1" si="0"/>
        <v>b) Feuerfestbau (Vorarb.)</v>
      </c>
      <c r="N51" s="1342">
        <f t="shared" ca="1" si="1"/>
        <v>51</v>
      </c>
      <c r="O51" s="1972" t="str">
        <f ca="1">IF(Stammdaten!A22=0,"",Stammdaten!A22)</f>
        <v>a) Schornsteinbau (Vorarb.)</v>
      </c>
      <c r="P51" s="1965">
        <f t="shared" ca="1" si="2"/>
        <v>51</v>
      </c>
    </row>
    <row r="52" spans="1:19" ht="17.850000000000001" customHeight="1" thickBot="1" x14ac:dyDescent="0.3">
      <c r="A52" s="809" t="str">
        <f>A35</f>
        <v>Auswahl der Beschäftigungsgruppe: ↓</v>
      </c>
      <c r="B52" s="810"/>
      <c r="C52" s="969"/>
      <c r="D52" s="715" t="str">
        <f ca="1">IF(E51=M73,"% von "&amp;TEXT(E45,"0,0")&amp;" P.","% v d Person")</f>
        <v>% von 7,0 P.</v>
      </c>
      <c r="E52" s="715" t="str">
        <f>IF(E51=M71,"Anzahl/-teil",IF(OR(E51=M73,E51=M72),"Anzahl","Wählen"))</f>
        <v>Anzahl</v>
      </c>
      <c r="F52" s="1011" t="s">
        <v>107</v>
      </c>
      <c r="G52" s="1011" t="str">
        <f>G35</f>
        <v>Ø KV-Entgelt</v>
      </c>
      <c r="H52" s="1120" t="str">
        <f>H35</f>
        <v>Ø AKV-Entg.</v>
      </c>
      <c r="I52" s="438"/>
      <c r="J52" s="2546"/>
      <c r="K52" s="2546"/>
      <c r="L52" s="2547"/>
      <c r="M52" s="1972" t="str">
        <f t="shared" ca="1" si="0"/>
        <v>c) Schornsteinmaurer</v>
      </c>
      <c r="N52" s="1342">
        <f t="shared" ca="1" si="1"/>
        <v>52</v>
      </c>
      <c r="O52" s="1972" t="str">
        <f ca="1">IF(Stammdaten!A23=0,"",Stammdaten!A23)</f>
        <v>b) Feuerfestbau (Vorarb.)</v>
      </c>
      <c r="P52" s="1965">
        <f t="shared" ca="1" si="2"/>
        <v>52</v>
      </c>
    </row>
    <row r="53" spans="1:19" ht="17.850000000000001" customHeight="1" thickTop="1" thickBot="1" x14ac:dyDescent="0.3">
      <c r="A53" s="2122" t="s">
        <v>1134</v>
      </c>
      <c r="B53" s="2123"/>
      <c r="C53" s="2124"/>
      <c r="D53" s="492">
        <v>7.4999999999999997E-2</v>
      </c>
      <c r="E53" s="327">
        <v>1</v>
      </c>
      <c r="F53" s="51">
        <f ca="1">IF(L$27="",IFERROR(VLOOKUP(A53,Stammdaten!A$7:D$33,4,FALSE),KALKULATION!$M$283),"ungültig")</f>
        <v>21.96</v>
      </c>
      <c r="G53" s="51">
        <f ca="1">IFERROR(IF(E$51=M$71,IF(E53&lt;&gt;0,F53*E53/SUM(E$53:E$54),""),IF(OR(E$51=M$73,E$51=M$72),IF(D53&lt;&gt;0,F53*D53/SUM(D$53:D$54),""),"")),"?")</f>
        <v>16.47</v>
      </c>
      <c r="H53" s="84">
        <f ca="1">IFERROR(VLOOKUP(A53,Stammdaten!A$7:F$33,5,FALSE)*G53,"")</f>
        <v>2.4700000000000002</v>
      </c>
      <c r="I53" s="577"/>
      <c r="J53" s="2178" t="str">
        <f ca="1">IF(F53=KALKULATION!$M$283,"Auswahl erneut vornehmen (ungültiger Verweis)!",IF(S75="f","Eingabe unvollständig (ergänzen oder löschen)!",""))</f>
        <v/>
      </c>
      <c r="K53" s="2178"/>
      <c r="L53" s="2179"/>
      <c r="M53" s="1972" t="str">
        <f t="shared" ca="1" si="0"/>
        <v>d) Feuerungsmaurer (&gt;4J)</v>
      </c>
      <c r="N53" s="1342">
        <f t="shared" ca="1" si="1"/>
        <v>53</v>
      </c>
      <c r="O53" s="1972" t="str">
        <f ca="1">IF(Stammdaten!A24=0,"",Stammdaten!A24)</f>
        <v>c) Schornsteinmaurer</v>
      </c>
      <c r="P53" s="1965">
        <f t="shared" ca="1" si="2"/>
        <v>53</v>
      </c>
    </row>
    <row r="54" spans="1:19" ht="17.850000000000001" customHeight="1" thickBot="1" x14ac:dyDescent="0.3">
      <c r="A54" s="2395" t="s">
        <v>1135</v>
      </c>
      <c r="B54" s="2396"/>
      <c r="C54" s="2397"/>
      <c r="D54" s="967">
        <v>2.5000000000000001E-2</v>
      </c>
      <c r="E54" s="328">
        <v>1</v>
      </c>
      <c r="F54" s="60">
        <f ca="1">IF(L27="",IFERROR(VLOOKUP(A54,Stammdaten!A$7:D$33,4,FALSE),KALKULATION!$M$283),"ungültig")</f>
        <v>19.989999999999998</v>
      </c>
      <c r="G54" s="60">
        <f ca="1">IFERROR(IF(E$51=M$71,IF(E54&lt;&gt;0,F54*E54/SUM(E$53:E$54),""),IF(OR(E$51=M$73,E$51=M$72),IF(D54&lt;&gt;0,F54*D54/SUM(D$53:D$54),""),"")),"?")</f>
        <v>5</v>
      </c>
      <c r="H54" s="571">
        <f ca="1">IFERROR(VLOOKUP(A54,Stammdaten!A$7:F$33,5,FALSE)*G54,"")</f>
        <v>0.75</v>
      </c>
      <c r="I54" s="577"/>
      <c r="J54" s="2178" t="str">
        <f ca="1">IF(F54=KALKULATION!$M$283,"Auswahl erneut vornehmen (ungültiger Verweis)!",IF(T75="f","Eingabe unvollständig (ergänzen oder löschen)!",""))</f>
        <v/>
      </c>
      <c r="K54" s="2178"/>
      <c r="L54" s="2179"/>
      <c r="M54" s="1972" t="str">
        <f t="shared" ca="1" si="0"/>
        <v>e) Feuerungsmaurer (&gt;2J)</v>
      </c>
      <c r="N54" s="1342">
        <f t="shared" ca="1" si="1"/>
        <v>54</v>
      </c>
      <c r="O54" s="1972" t="str">
        <f ca="1">IF(Stammdaten!A25=0,"",Stammdaten!A25)</f>
        <v>d) Feuerungsmaurer (&gt;4J)</v>
      </c>
      <c r="P54" s="1965">
        <f t="shared" ca="1" si="2"/>
        <v>54</v>
      </c>
      <c r="R54" s="1973" t="s">
        <v>806</v>
      </c>
      <c r="S54" s="1960"/>
    </row>
    <row r="55" spans="1:19" ht="17.850000000000001" customHeight="1" thickBot="1" x14ac:dyDescent="0.3">
      <c r="A55" s="2221" t="s">
        <v>1020</v>
      </c>
      <c r="B55" s="2222"/>
      <c r="C55" s="2222"/>
      <c r="D55" s="2306"/>
      <c r="E55" s="490">
        <f ca="1">IF(L27&lt;&gt;"","",IF(E51=M71,SUM(E53:E54),IF(E51=M72,SUM(D53,D54),IF(E51=M73,SUM(D53,D54)*E45,0))))</f>
        <v>0.7</v>
      </c>
      <c r="F55" s="150"/>
      <c r="G55" s="51">
        <f ca="1">SUM(G53:G54)</f>
        <v>21.47</v>
      </c>
      <c r="H55" s="85">
        <f ca="1">SUM(H53:H54)</f>
        <v>3.22</v>
      </c>
      <c r="I55" s="438"/>
      <c r="J55" s="2263" t="str">
        <f ca="1">IFERROR(IF(E55/E45&gt;Report!F7,"Hinweis: Anzahl unprod. Pers.  ergibt Umlage% ("&amp;TEXT(E55,"0,00")&amp;" zu "&amp;TEXT(E45,"0,00")&amp;") die über dem Richtwert gem Blatt REPORT liegt!",""),"")</f>
        <v/>
      </c>
      <c r="K55" s="2263"/>
      <c r="L55" s="2264"/>
      <c r="M55" s="1972" t="str">
        <f t="shared" ca="1" si="0"/>
        <v>f) Feuerungsmaurer (1J)</v>
      </c>
      <c r="N55" s="1342">
        <f t="shared" ca="1" si="1"/>
        <v>55</v>
      </c>
      <c r="O55" s="1972" t="str">
        <f ca="1">IF(Stammdaten!A26=0,"",Stammdaten!A26)</f>
        <v>e) Feuerungsmaurer (&gt;2J)</v>
      </c>
      <c r="P55" s="1965">
        <f t="shared" ca="1" si="2"/>
        <v>55</v>
      </c>
      <c r="R55" s="2859" t="str">
        <f>CONCATENATE(A36,A37,A38,A39,A40,A41,A42,A43,A44)</f>
        <v>IIa.    VorarbeiterIIb.   FacharbeiterIV.   Bauhilfsarbeiter</v>
      </c>
      <c r="S55" s="2860"/>
    </row>
    <row r="56" spans="1:19" ht="17.850000000000001" customHeight="1" thickBot="1" x14ac:dyDescent="0.3">
      <c r="A56" s="2208" t="str">
        <f ca="1">IF(E55&lt;&gt;0,"B2.a1) Unprod. Personal zusätzlich zum (KZ = 1) oder vom (KZ = 0) prod. Pers.?              KZ: ↓","")</f>
        <v>B2.a1) Unprod. Personal zusätzlich zum (KZ = 1) oder vom (KZ = 0) prod. Pers.?              KZ: ↓</v>
      </c>
      <c r="B56" s="2305"/>
      <c r="C56" s="2305"/>
      <c r="D56" s="2305"/>
      <c r="E56" s="2305"/>
      <c r="F56" s="2305"/>
      <c r="G56" s="2209"/>
      <c r="H56" s="931">
        <v>0</v>
      </c>
      <c r="I56" s="577"/>
      <c r="J56" s="2263"/>
      <c r="K56" s="2263"/>
      <c r="L56" s="2264"/>
      <c r="M56" s="1972" t="str">
        <f t="shared" ca="1" si="0"/>
        <v>KV Rohrleger</v>
      </c>
      <c r="N56" s="1342">
        <f t="shared" ca="1" si="1"/>
        <v>56</v>
      </c>
      <c r="O56" s="1972" t="str">
        <f ca="1">IF(Stammdaten!A27=0,"",Stammdaten!A27)</f>
        <v>f) Feuerungsmaurer (1J)</v>
      </c>
      <c r="P56" s="1965">
        <f t="shared" ca="1" si="2"/>
        <v>56</v>
      </c>
      <c r="R56" s="1342">
        <f>IF(A53&lt;&gt;"",IFERROR(SEARCH(A53,R55),"N"))</f>
        <v>1</v>
      </c>
    </row>
    <row r="57" spans="1:19" ht="17.850000000000001" customHeight="1" thickBot="1" x14ac:dyDescent="0.3">
      <c r="A57" s="2476" t="str">
        <f ca="1">IFERROR("Info: Kalk. Ø 'Baustellenbesetzung' ist "&amp;TEXT(G57,"0,0")&amp;" Std prod. zu "&amp;TEXT(H57,"0,0")&amp;" Std unprod.; "&amp;TEXT(H57/G57,"0,0%"),"Unzulässige Division durch 0 - Berechnung kann nicht fortgesetzt werden!")</f>
        <v>Info: Kalk. Ø 'Baustellenbesetzung' ist 6,3 Std prod. zu 0,7 Std unprod.; 11,1%</v>
      </c>
      <c r="B57" s="2477"/>
      <c r="C57" s="2477"/>
      <c r="D57" s="2477"/>
      <c r="E57" s="2477"/>
      <c r="F57" s="2477"/>
      <c r="G57" s="904">
        <f ca="1">IF(H56=1,E45,E45-E55)</f>
        <v>6.3</v>
      </c>
      <c r="H57" s="904">
        <f ca="1">E55</f>
        <v>0.7</v>
      </c>
      <c r="I57" s="438"/>
      <c r="J57" s="2485" t="str">
        <f ca="1">IFERROR(IF(G57&lt;=0,"Es verbleibt nach Abzug des unprod. Pers. kein oder eine negative Anzahl an produktivem Personal!",IF(AND(ISBLANK(H56),E55&gt;0),"In oberer Zeile Kennzeichen auswählen!",IF(COUNTIF(E53:E54,0)&lt;&gt;0,"Eintragung von 0,00 bei Anzahl gefunden; bitte löschen.",""))),KALKULATION!M286)</f>
        <v/>
      </c>
      <c r="K57" s="2485"/>
      <c r="L57" s="2486"/>
      <c r="M57" s="1972" t="str">
        <f t="shared" ca="1" si="0"/>
        <v>Rohrleger</v>
      </c>
      <c r="N57" s="1342">
        <f t="shared" ca="1" si="1"/>
        <v>57</v>
      </c>
      <c r="O57" s="1972" t="str">
        <f ca="1">IF(Stammdaten!A28=0,"",Stammdaten!A28)</f>
        <v/>
      </c>
      <c r="P57" s="1965" t="str">
        <f t="shared" ca="1" si="2"/>
        <v/>
      </c>
      <c r="R57" s="1342">
        <f>IF(A54&lt;&gt;"",IFERROR(SEARCH(A54,R55),"N"))</f>
        <v>20</v>
      </c>
    </row>
    <row r="58" spans="1:19" ht="17.850000000000001" customHeight="1" thickBot="1" x14ac:dyDescent="0.3">
      <c r="A58" s="2809" t="str">
        <f>IF(AND(H56=0,S58="f"),"Hinweis zu B2.a: KZ = 0, daher sollte eine Beschäftigungsgruppe gewählt sein, die in B1 vorkommt. Ev ändern.","")</f>
        <v/>
      </c>
      <c r="B58" s="2478"/>
      <c r="C58" s="2478"/>
      <c r="D58" s="2478"/>
      <c r="E58" s="2478"/>
      <c r="F58" s="2478"/>
      <c r="G58" s="2478"/>
      <c r="H58" s="2478"/>
      <c r="I58" s="438"/>
      <c r="J58" s="2485"/>
      <c r="K58" s="2485"/>
      <c r="L58" s="2486"/>
      <c r="M58" s="1972" t="str">
        <f t="shared" ca="1" si="0"/>
        <v>Rohrleger-Helfer</v>
      </c>
      <c r="N58" s="1342">
        <f t="shared" ca="1" si="1"/>
        <v>58</v>
      </c>
      <c r="O58" s="1972" t="str">
        <f ca="1">IF(Stammdaten!A29=0,"",Stammdaten!A29)</f>
        <v>KV Rohrleger</v>
      </c>
      <c r="P58" s="1965">
        <f t="shared" ca="1" si="2"/>
        <v>58</v>
      </c>
      <c r="R58" s="1342" t="s">
        <v>319</v>
      </c>
      <c r="S58" s="1950" t="str">
        <f>IF(OR(R56="N",R57="N"),"f","")</f>
        <v/>
      </c>
    </row>
    <row r="59" spans="1:19" ht="17.850000000000001" customHeight="1" thickBot="1" x14ac:dyDescent="0.3">
      <c r="A59" s="2599" t="s">
        <v>1083</v>
      </c>
      <c r="B59" s="2600"/>
      <c r="C59" s="2601"/>
      <c r="D59" s="579" t="s">
        <v>193</v>
      </c>
      <c r="E59" s="2643" t="s">
        <v>228</v>
      </c>
      <c r="F59" s="2643" t="s">
        <v>751</v>
      </c>
      <c r="G59" s="2643" t="s">
        <v>752</v>
      </c>
      <c r="H59" s="2868" t="s">
        <v>753</v>
      </c>
      <c r="I59" s="438"/>
      <c r="L59" s="216"/>
      <c r="M59" s="1972" t="str">
        <f t="shared" ca="1" si="0"/>
        <v/>
      </c>
      <c r="N59" s="1342" t="str">
        <f t="shared" ca="1" si="1"/>
        <v/>
      </c>
      <c r="O59" s="1972" t="str">
        <f ca="1">IF(Stammdaten!A30=0,"",Stammdaten!A30)</f>
        <v>Rohrleger</v>
      </c>
      <c r="P59" s="1965">
        <f t="shared" ca="1" si="2"/>
        <v>59</v>
      </c>
    </row>
    <row r="60" spans="1:19" ht="17.850000000000001" customHeight="1" thickBot="1" x14ac:dyDescent="0.3">
      <c r="A60" s="2593" t="str">
        <f>IF(AND(F61&lt;&gt;0,A61=""),"Grund/Ursache für den %-Satz angeben:","Bezeichnung / Grund:")</f>
        <v>Bezeichnung / Grund:</v>
      </c>
      <c r="B60" s="2594"/>
      <c r="C60" s="2594"/>
      <c r="D60" s="2595"/>
      <c r="E60" s="2644"/>
      <c r="F60" s="2644"/>
      <c r="G60" s="2644"/>
      <c r="H60" s="2869"/>
      <c r="I60" s="438"/>
      <c r="L60" s="216"/>
      <c r="M60" s="1972" t="str">
        <f t="shared" ca="1" si="0"/>
        <v/>
      </c>
      <c r="N60" s="1342" t="str">
        <f t="shared" ca="1" si="1"/>
        <v/>
      </c>
      <c r="O60" s="1972" t="str">
        <f ca="1">IF(Stammdaten!A31=0,"",Stammdaten!A31)</f>
        <v>Rohrleger-Helfer</v>
      </c>
      <c r="P60" s="1965">
        <f t="shared" ca="1" si="2"/>
        <v>60</v>
      </c>
    </row>
    <row r="61" spans="1:19" ht="17.850000000000001" customHeight="1" thickTop="1" thickBot="1" x14ac:dyDescent="0.3">
      <c r="A61" s="2122"/>
      <c r="B61" s="2123"/>
      <c r="C61" s="2123"/>
      <c r="D61" s="2124"/>
      <c r="E61" s="491">
        <f ca="1">G57</f>
        <v>6.3</v>
      </c>
      <c r="F61" s="492"/>
      <c r="G61" s="713">
        <f>IF(D59=_Ja,F61/(1-F61),0)</f>
        <v>0</v>
      </c>
      <c r="H61" s="573">
        <f>IF(D59=_Ja,E61*F61,0)</f>
        <v>0</v>
      </c>
      <c r="I61" s="578" t="str">
        <f>IF(D59=_Nein,"",IF(F61&lt;&gt;0,"X",""))</f>
        <v/>
      </c>
      <c r="J61" s="2263" t="str">
        <f>IF(D59=_Nein,"",IF(F61&gt;=0.9,"Unzulässiger Wert!",IFERROR(IF(OR(G61&gt;Report!F8,G61&lt;Report!G8),"Hinweis: Eingetragener Wert liegt über oder unter den Richtwerten gemäß Blatt REPORT!",""),"")))</f>
        <v/>
      </c>
      <c r="K61" s="2263"/>
      <c r="L61" s="2264"/>
      <c r="M61" s="1972" t="str">
        <f t="shared" ca="1" si="0"/>
        <v/>
      </c>
      <c r="N61" s="1342" t="str">
        <f t="shared" ca="1" si="1"/>
        <v/>
      </c>
      <c r="O61" s="1972" t="str">
        <f ca="1">IF(Stammdaten!A32=0,"",Stammdaten!A32)</f>
        <v/>
      </c>
      <c r="P61" s="1965" t="str">
        <f t="shared" ca="1" si="2"/>
        <v/>
      </c>
    </row>
    <row r="62" spans="1:19" ht="17.850000000000001" customHeight="1" x14ac:dyDescent="0.25">
      <c r="A62" s="2225"/>
      <c r="B62" s="2639"/>
      <c r="C62" s="2639"/>
      <c r="D62" s="2639"/>
      <c r="E62" s="2639"/>
      <c r="F62" s="2639"/>
      <c r="G62" s="2639"/>
      <c r="H62" s="2639"/>
      <c r="I62" s="438"/>
      <c r="J62" s="2263"/>
      <c r="K62" s="2263"/>
      <c r="L62" s="2264"/>
      <c r="M62" s="1972" t="str">
        <f t="shared" ca="1" si="0"/>
        <v/>
      </c>
      <c r="N62" s="1342" t="str">
        <f t="shared" ca="1" si="1"/>
        <v/>
      </c>
      <c r="O62" s="1972" t="str">
        <f>IF(Stammdaten!A33=0,"",Stammdaten!A33)</f>
        <v/>
      </c>
      <c r="P62" s="1965" t="str">
        <f t="shared" ref="P62" si="4">IF(O62="","",1*ROW())</f>
        <v/>
      </c>
    </row>
    <row r="63" spans="1:19" ht="17.850000000000001" customHeight="1" x14ac:dyDescent="0.25">
      <c r="A63" s="2500" t="str">
        <f>"B2) Ergebnis produktive Zeit (nach 'Köpfen'): "</f>
        <v xml:space="preserve">B2) Ergebnis produktive Zeit (nach 'Köpfen'): </v>
      </c>
      <c r="B63" s="2501"/>
      <c r="C63" s="2501"/>
      <c r="D63" s="2501"/>
      <c r="E63" s="489" t="s">
        <v>526</v>
      </c>
      <c r="F63" s="493">
        <f ca="1">G57-H61</f>
        <v>6.3</v>
      </c>
      <c r="G63" s="489" t="s">
        <v>527</v>
      </c>
      <c r="H63" s="493">
        <f ca="1">H57+H61</f>
        <v>0.7</v>
      </c>
      <c r="I63" s="438"/>
      <c r="J63" s="2469" t="s">
        <v>1108</v>
      </c>
      <c r="K63" s="2469"/>
      <c r="L63" s="2470"/>
      <c r="M63" s="1342" t="s">
        <v>568</v>
      </c>
      <c r="N63" s="1342">
        <f ca="1">MIN(N36:N62,ROW(O36))</f>
        <v>36</v>
      </c>
      <c r="P63" s="1965"/>
    </row>
    <row r="64" spans="1:19" ht="17.850000000000001" customHeight="1" x14ac:dyDescent="0.25">
      <c r="A64" s="2537"/>
      <c r="B64" s="2538"/>
      <c r="C64" s="2538"/>
      <c r="D64" s="2538"/>
      <c r="E64" s="2538"/>
      <c r="F64" s="2538"/>
      <c r="G64" s="2538"/>
      <c r="H64" s="2538"/>
      <c r="I64" s="438"/>
      <c r="J64" s="2471"/>
      <c r="K64" s="2471"/>
      <c r="L64" s="2472"/>
      <c r="M64" s="1967" t="s">
        <v>569</v>
      </c>
      <c r="N64" s="1967">
        <f ca="1">MAX(N36:N62,ROW(O36))</f>
        <v>58</v>
      </c>
      <c r="O64" s="1967"/>
      <c r="P64" s="1974"/>
    </row>
    <row r="65" spans="1:34" ht="17.850000000000001" customHeight="1" thickBot="1" x14ac:dyDescent="0.3">
      <c r="A65" s="2687" t="s">
        <v>740</v>
      </c>
      <c r="B65" s="2688"/>
      <c r="C65" s="2688"/>
      <c r="D65" s="2688"/>
      <c r="E65" s="2688"/>
      <c r="F65" s="2688"/>
      <c r="G65" s="2688"/>
      <c r="H65" s="2688"/>
      <c r="I65" s="438"/>
      <c r="J65" s="2471"/>
      <c r="K65" s="2471"/>
      <c r="L65" s="2472"/>
      <c r="Z65" s="1141"/>
      <c r="AA65" s="1141"/>
      <c r="AB65" s="1141"/>
      <c r="AC65" s="1141"/>
      <c r="AD65" s="1141"/>
      <c r="AE65" s="1141"/>
      <c r="AF65" s="1141"/>
      <c r="AG65" s="1141"/>
    </row>
    <row r="66" spans="1:34" ht="17.850000000000001" customHeight="1" x14ac:dyDescent="0.25">
      <c r="A66" s="647" t="s">
        <v>486</v>
      </c>
      <c r="B66" s="465"/>
      <c r="C66" s="459" t="s">
        <v>18</v>
      </c>
      <c r="D66" s="459" t="s">
        <v>634</v>
      </c>
      <c r="E66" s="714" t="s">
        <v>635</v>
      </c>
      <c r="F66" s="2705"/>
      <c r="G66" s="2810" t="s">
        <v>252</v>
      </c>
      <c r="H66" s="2872" t="s">
        <v>133</v>
      </c>
      <c r="I66" s="438"/>
      <c r="J66" s="2471"/>
      <c r="K66" s="2471"/>
      <c r="L66" s="2472"/>
      <c r="Z66" s="1342" t="s">
        <v>804</v>
      </c>
      <c r="AA66" s="1342"/>
      <c r="AB66" s="1342"/>
      <c r="AC66" s="1342"/>
      <c r="AD66" s="1342"/>
      <c r="AE66" s="1342" t="s">
        <v>746</v>
      </c>
      <c r="AF66" s="1342" t="s">
        <v>745</v>
      </c>
      <c r="AG66" s="1342"/>
      <c r="AH66" s="267"/>
    </row>
    <row r="67" spans="1:34" ht="17.850000000000001" customHeight="1" thickBot="1" x14ac:dyDescent="0.3">
      <c r="A67" s="458" t="s">
        <v>286</v>
      </c>
      <c r="B67" s="459"/>
      <c r="C67" s="448">
        <f ca="1">F63</f>
        <v>6.3</v>
      </c>
      <c r="D67" s="449">
        <f ca="1">C67*G45</f>
        <v>126</v>
      </c>
      <c r="E67" s="450">
        <f ca="1">C67*H45</f>
        <v>17.96</v>
      </c>
      <c r="F67" s="2706"/>
      <c r="G67" s="2811"/>
      <c r="H67" s="2873"/>
      <c r="I67" s="438"/>
      <c r="J67" s="2471"/>
      <c r="K67" s="2471"/>
      <c r="L67" s="2472"/>
      <c r="Z67" s="1342" t="s">
        <v>743</v>
      </c>
      <c r="AA67" s="1343">
        <f ca="1">_ProdPers</f>
        <v>7</v>
      </c>
      <c r="AB67" s="1342"/>
      <c r="AC67" s="1342"/>
      <c r="AD67" s="1343">
        <f ca="1">E45</f>
        <v>7</v>
      </c>
      <c r="AE67" s="1343">
        <f ca="1">AD67-AD69-AD68</f>
        <v>6.3</v>
      </c>
      <c r="AF67" s="1343">
        <f ca="1">AD67-AD68</f>
        <v>7</v>
      </c>
      <c r="AG67" s="1342"/>
      <c r="AH67" s="267"/>
    </row>
    <row r="68" spans="1:34" ht="17.850000000000001" customHeight="1" thickTop="1" x14ac:dyDescent="0.25">
      <c r="A68" s="458" t="s">
        <v>356</v>
      </c>
      <c r="B68" s="459"/>
      <c r="C68" s="448">
        <f>H61</f>
        <v>0</v>
      </c>
      <c r="D68" s="449">
        <f ca="1">C68*G45</f>
        <v>0</v>
      </c>
      <c r="E68" s="450">
        <f ca="1">C68*H45</f>
        <v>0</v>
      </c>
      <c r="F68" s="451" t="s">
        <v>59</v>
      </c>
      <c r="G68" s="452">
        <f ca="1">D67</f>
        <v>126</v>
      </c>
      <c r="H68" s="574">
        <f ca="1">D70</f>
        <v>141.03</v>
      </c>
      <c r="I68" s="438"/>
      <c r="J68" s="2471"/>
      <c r="K68" s="2471"/>
      <c r="L68" s="2472"/>
      <c r="Z68" s="1342" t="s">
        <v>744</v>
      </c>
      <c r="AA68" s="1343">
        <f ca="1">IF(H56=0,AA67-AD68-AD69,AA67-AD68)</f>
        <v>6.3</v>
      </c>
      <c r="AB68" s="1343">
        <f>AE68</f>
        <v>0</v>
      </c>
      <c r="AC68" s="1343">
        <f ca="1">AD69</f>
        <v>0.7</v>
      </c>
      <c r="AD68" s="1343">
        <f>H61</f>
        <v>0</v>
      </c>
      <c r="AE68" s="1343">
        <f>AD68</f>
        <v>0</v>
      </c>
      <c r="AF68" s="1343">
        <f>AE68</f>
        <v>0</v>
      </c>
      <c r="AG68" s="1342"/>
      <c r="AH68" s="267"/>
    </row>
    <row r="69" spans="1:34" ht="17.850000000000001" customHeight="1" thickBot="1" x14ac:dyDescent="0.3">
      <c r="A69" s="460" t="s">
        <v>287</v>
      </c>
      <c r="B69" s="461"/>
      <c r="C69" s="453">
        <f ca="1">H57</f>
        <v>0.7</v>
      </c>
      <c r="D69" s="454">
        <f ca="1">C69*G55</f>
        <v>15.03</v>
      </c>
      <c r="E69" s="455">
        <f ca="1">C69*H55</f>
        <v>2.25</v>
      </c>
      <c r="F69" s="456" t="s">
        <v>76</v>
      </c>
      <c r="G69" s="457">
        <f ca="1">D69+D68</f>
        <v>15.03</v>
      </c>
      <c r="H69" s="575">
        <f ca="1">E70</f>
        <v>20.21</v>
      </c>
      <c r="I69" s="438"/>
      <c r="J69" s="2473"/>
      <c r="K69" s="2473"/>
      <c r="L69" s="2474"/>
      <c r="P69" s="1342" t="s">
        <v>1084</v>
      </c>
      <c r="Z69" s="1342"/>
      <c r="AA69" s="1343"/>
      <c r="AB69" s="1342"/>
      <c r="AC69" s="1342"/>
      <c r="AD69" s="1343">
        <f ca="1">E55</f>
        <v>0.7</v>
      </c>
      <c r="AE69" s="1343">
        <f ca="1">AD69</f>
        <v>0.7</v>
      </c>
      <c r="AF69" s="1343">
        <f ca="1">AE69</f>
        <v>0.7</v>
      </c>
      <c r="AG69" s="1342"/>
      <c r="AH69" s="267"/>
    </row>
    <row r="70" spans="1:34" ht="17.850000000000001" customHeight="1" thickBot="1" x14ac:dyDescent="0.3">
      <c r="A70" s="2874" t="s">
        <v>754</v>
      </c>
      <c r="B70" s="2875"/>
      <c r="C70" s="400">
        <f ca="1">SUM(C67:C69)</f>
        <v>7</v>
      </c>
      <c r="D70" s="401">
        <f ca="1">SUM(D67:D69)</f>
        <v>141.03</v>
      </c>
      <c r="E70" s="402">
        <f ca="1">SUM(E67:E69)</f>
        <v>20.21</v>
      </c>
      <c r="F70" s="648" t="s">
        <v>134</v>
      </c>
      <c r="G70" s="649">
        <f ca="1">IFERROR(G69/G68,"")</f>
        <v>0.1193</v>
      </c>
      <c r="H70" s="650">
        <f ca="1">IFERROR(H69/H68,"")</f>
        <v>0.14330000000000001</v>
      </c>
      <c r="I70" s="438"/>
      <c r="L70" s="216"/>
      <c r="M70" s="1975" t="s">
        <v>679</v>
      </c>
      <c r="N70" s="1975"/>
      <c r="O70" s="1976"/>
      <c r="P70" s="1342" t="s">
        <v>1085</v>
      </c>
      <c r="S70" s="1977" t="s">
        <v>843</v>
      </c>
      <c r="T70" s="1977"/>
      <c r="Z70" s="1342"/>
      <c r="AA70" s="1342"/>
      <c r="AB70" s="1342"/>
      <c r="AC70" s="1342"/>
      <c r="AD70" s="1342"/>
      <c r="AE70" s="1342"/>
      <c r="AF70" s="1342"/>
      <c r="AG70" s="1342"/>
      <c r="AH70" s="267"/>
    </row>
    <row r="71" spans="1:34" ht="17.850000000000001" customHeight="1" thickBot="1" x14ac:dyDescent="0.3">
      <c r="A71" s="2479" t="s">
        <v>812</v>
      </c>
      <c r="B71" s="2480"/>
      <c r="C71" s="2480"/>
      <c r="D71" s="2480"/>
      <c r="E71" s="2480"/>
      <c r="F71" s="2481"/>
      <c r="G71" s="342"/>
      <c r="H71" s="576"/>
      <c r="I71" s="578" t="str">
        <f>IF(OR(G71&lt;&gt;0,H71&lt;&gt;0),"X","")</f>
        <v/>
      </c>
      <c r="J71" s="2471" t="str">
        <f ca="1">IFERROR(IF(ABS(H71)/H70&gt;0.35,"Hinweis: Anpassung bei B3.b AKV-Entgelt auffällig hoch. ",""),"")</f>
        <v/>
      </c>
      <c r="K71" s="2471"/>
      <c r="L71" s="2472"/>
      <c r="M71" s="1858" t="s">
        <v>1021</v>
      </c>
      <c r="N71" s="1858"/>
      <c r="O71" s="1978"/>
      <c r="P71" s="1342" t="str">
        <f>P70&amp;"(Auswahl (1)) absolute Anzahl bzw Teilanzahl (Köpfe). Hinweis: Eine Änderung der Anzahl in Pkt B1 ändert die Anzahl des unprod. Personals nicht."</f>
        <v>Die Festlegung des unprod. Personals erfolgt gem B2.a als (Auswahl (1)) absolute Anzahl bzw Teilanzahl (Köpfe). Hinweis: Eine Änderung der Anzahl in Pkt B1 ändert die Anzahl des unprod. Personals nicht.</v>
      </c>
      <c r="S71" s="1979" t="str">
        <f>IF(E51=M71,E53,"")</f>
        <v/>
      </c>
      <c r="T71" s="1979" t="str">
        <f>IF(E51=M71,E54,"")</f>
        <v/>
      </c>
    </row>
    <row r="72" spans="1:34" ht="17.850000000000001" customHeight="1" thickBot="1" x14ac:dyDescent="0.3">
      <c r="A72" s="2691" t="str">
        <f ca="1">IFERROR("B) Ergebnis unproduktive Zeiten (K3 Zeile 4) "&amp;TEXT(' K3 PP'!O22,"0,00€")&amp;" bzw in % ",KALKULATION!$M$286)</f>
        <v xml:space="preserve">B) Ergebnis unproduktive Zeiten (K3 Zeile 4) 2,00€ bzw in % </v>
      </c>
      <c r="B72" s="2692"/>
      <c r="C72" s="2692"/>
      <c r="D72" s="2692"/>
      <c r="E72" s="2692"/>
      <c r="F72" s="1886" t="s">
        <v>1109</v>
      </c>
      <c r="G72" s="165">
        <f ca="1">IFERROR(IF(G70=0,0,IF(F72=Q35,ROUNDUP(SUM(G70:G71),3),SUM(G70:G71))),"?")</f>
        <v>0.12</v>
      </c>
      <c r="H72" s="45"/>
      <c r="I72" s="438"/>
      <c r="J72" s="2471"/>
      <c r="K72" s="2471"/>
      <c r="L72" s="2472"/>
      <c r="M72" s="1342" t="s">
        <v>1022</v>
      </c>
      <c r="P72" s="1342" t="str">
        <f>P70&amp;"(Auswahl (2)) Anteil der Arbeitszeit der betroffenen Person. Hinweis: Eine Änderung der Anzahl in Pkt B1 ändert die Anzahl des unprod. Personals nicht (Auswahl 2 ist eine alternative Darstellung der Auswahl 1). "</f>
        <v xml:space="preserve">Die Festlegung des unprod. Personals erfolgt gem B2.a als (Auswahl (2)) Anteil der Arbeitszeit der betroffenen Person. Hinweis: Eine Änderung der Anzahl in Pkt B1 ändert die Anzahl des unprod. Personals nicht (Auswahl 2 ist eine alternative Darstellung der Auswahl 1). </v>
      </c>
      <c r="S72" s="1980">
        <f>IF(OR(E51=M73,E51=M72),D53,"")</f>
        <v>7.4999999999999997E-2</v>
      </c>
      <c r="T72" s="1980">
        <f>IF(OR(E51=M73,E51=M72),D54,"")</f>
        <v>2.5000000000000001E-2</v>
      </c>
    </row>
    <row r="73" spans="1:34" ht="17.850000000000001" customHeight="1" x14ac:dyDescent="0.25">
      <c r="A73" s="2142" t="str">
        <f ca="1">IFERROR("B) Ergebnis außerkollektivvertragliches Entgelt (K3 Zeile 6) ist "&amp;TEXT(' K3 PP'!O24,"0,00€")&amp;" bzw in % ",KALKULATION!$M$286)</f>
        <v xml:space="preserve">B) Ergebnis außerkollektivvertragliches Entgelt (K3 Zeile 6) ist 3,17€ bzw in % </v>
      </c>
      <c r="B73" s="2143"/>
      <c r="C73" s="2143"/>
      <c r="D73" s="2143"/>
      <c r="E73" s="2143"/>
      <c r="F73" s="2143"/>
      <c r="G73" s="1886" t="s">
        <v>1109</v>
      </c>
      <c r="H73" s="932">
        <f ca="1">IFERROR(IF(H70=0,0,IF(G73=Q35,ROUNDUP(SUM(H70:H71),3),SUM(H70:H71))),"?")</f>
        <v>0.14399999999999999</v>
      </c>
      <c r="I73" s="438"/>
      <c r="J73" s="2485" t="str">
        <f ca="1">IF(OR(AND(G70=0,G71&lt;&gt;0),AND(H70=0,H71&lt;&gt;0)),"Zu B3.b: Keine Anpassung ohne Grundkalkulation (bzw Wert =0)!","")</f>
        <v/>
      </c>
      <c r="K73" s="2485"/>
      <c r="L73" s="2264" t="str">
        <f ca="1">IFERROR(IF(H73&gt;0.25,"Höhe des AKV-Entelts mit "&amp;TEXT(H73,"0%")&amp;"  kann zu Nachfragen führen! ",""),"")</f>
        <v/>
      </c>
      <c r="M73" s="1981" t="s">
        <v>1023</v>
      </c>
      <c r="N73" s="1981"/>
      <c r="O73" s="1982"/>
      <c r="P73" s="1342" t="str">
        <f>P70&amp;"(Auswahl (3)) Anteil an der in B1 festgelegten Gesamtanzahl. Durch den relativen Bezug ändert sich die Anzahl des unprod. Personals bei Änderung der Anzahl in Pkt B1."</f>
        <v>Die Festlegung des unprod. Personals erfolgt gem B2.a als (Auswahl (3)) Anteil an der in B1 festgelegten Gesamtanzahl. Durch den relativen Bezug ändert sich die Anzahl des unprod. Personals bei Änderung der Anzahl in Pkt B1.</v>
      </c>
      <c r="S73" s="1983">
        <f>IF(SUM(S71:S72)=0,0,1)</f>
        <v>1</v>
      </c>
      <c r="T73" s="1983">
        <f>IF(SUM(T71:T72)=0,0,1)</f>
        <v>1</v>
      </c>
    </row>
    <row r="74" spans="1:34" ht="20.100000000000001" customHeight="1" x14ac:dyDescent="0.25">
      <c r="A74" s="2317" t="str">
        <f ca="1">"Info: KV &amp; up.Z: "&amp;IFERROR(TEXT(' K3 PP'!O$23,"0,00€"),"?")&amp;" | abgabepfl. Pers.ko: "&amp;IFERROR(TEXT(' K3 PP'!O$28,"0,00€"),"?")&amp;" | vor Uml: "&amp;IFERROR(TEXT(' K3 PP'!O$33,"0,00€"),"?")&amp;" | KOSTEN: "&amp;IFERROR(TEXT(' K3 PP'!U40,"0,00€"),"?")&amp;" | PREIS: "&amp;IFERROR(IF(E410=M287,"Pkt J3 prüfen!!",TEXT(' K3 PP'!U45,"0,00€")),"?")</f>
        <v>Info: KV &amp; up.Z: 22,00€ | abgabepfl. Pers.ko: 28,00€ | vor Uml: 60,00€ | KOSTEN: 66,88€ | PREIS: 86,28€</v>
      </c>
      <c r="B74" s="2318"/>
      <c r="C74" s="2318"/>
      <c r="D74" s="2318"/>
      <c r="E74" s="2318"/>
      <c r="F74" s="2318"/>
      <c r="G74" s="2318"/>
      <c r="H74" s="2318"/>
      <c r="I74" s="438"/>
      <c r="J74" s="2485"/>
      <c r="K74" s="2485"/>
      <c r="L74" s="2264"/>
      <c r="M74" s="1858" t="s">
        <v>1024</v>
      </c>
      <c r="N74" s="1858"/>
      <c r="O74" s="1858"/>
      <c r="P74" s="1342" t="s">
        <v>17</v>
      </c>
      <c r="S74" s="1950">
        <f>IF(LEN(A53)=0,0,1)</f>
        <v>1</v>
      </c>
      <c r="T74" s="1950">
        <f>IF(LEN(A54)=0,0,1)</f>
        <v>1</v>
      </c>
    </row>
    <row r="75" spans="1:34" ht="17.850000000000001" customHeight="1" x14ac:dyDescent="0.25">
      <c r="A75" s="2539"/>
      <c r="B75" s="2540"/>
      <c r="C75" s="2540"/>
      <c r="D75" s="2540"/>
      <c r="E75" s="2540"/>
      <c r="F75" s="2540"/>
      <c r="G75" s="2540"/>
      <c r="H75" s="2540"/>
      <c r="I75" s="2540"/>
      <c r="L75" s="2264"/>
      <c r="Q75" s="1141"/>
      <c r="R75" s="1141"/>
      <c r="S75" s="1950" t="str">
        <f>IF(SUM(S73:S74)=1,"f","")</f>
        <v/>
      </c>
      <c r="T75" s="1950" t="str">
        <f>IF(SUM(T73:T74)=1,"f","")</f>
        <v/>
      </c>
    </row>
    <row r="76" spans="1:34" ht="25.15" customHeight="1" x14ac:dyDescent="0.25">
      <c r="A76" s="2223" t="s">
        <v>487</v>
      </c>
      <c r="B76" s="2224"/>
      <c r="C76" s="2224"/>
      <c r="D76" s="2224"/>
      <c r="E76" s="2224"/>
      <c r="F76" s="2224"/>
      <c r="G76" s="2224"/>
      <c r="H76" s="2224"/>
      <c r="I76" s="438"/>
      <c r="L76" s="216"/>
      <c r="Q76" s="1141"/>
      <c r="R76" s="1141"/>
    </row>
    <row r="77" spans="1:34" ht="20.100000000000001" customHeight="1" thickBot="1" x14ac:dyDescent="0.3">
      <c r="A77" s="2430" t="s">
        <v>534</v>
      </c>
      <c r="B77" s="2431"/>
      <c r="C77" s="2431"/>
      <c r="D77" s="2431"/>
      <c r="E77" s="2431"/>
      <c r="F77" s="2431"/>
      <c r="G77" s="2636"/>
      <c r="H77" s="579" t="s">
        <v>192</v>
      </c>
      <c r="I77" s="438"/>
      <c r="L77" s="216"/>
      <c r="M77" s="1958" t="s">
        <v>571</v>
      </c>
      <c r="N77" s="1958" t="s">
        <v>570</v>
      </c>
      <c r="O77" s="1958"/>
      <c r="P77" s="1984"/>
      <c r="Q77" s="1985" t="s">
        <v>689</v>
      </c>
      <c r="R77" s="1986"/>
      <c r="S77" s="1987"/>
      <c r="T77" s="1959"/>
      <c r="U77" s="1960"/>
    </row>
    <row r="78" spans="1:34" ht="17.850000000000001" customHeight="1" thickBot="1" x14ac:dyDescent="0.3">
      <c r="A78" s="2475" t="s">
        <v>528</v>
      </c>
      <c r="B78" s="2475"/>
      <c r="C78" s="2475"/>
      <c r="D78" s="2475"/>
      <c r="E78" s="652" t="s">
        <v>59</v>
      </c>
      <c r="F78" s="652" t="s">
        <v>107</v>
      </c>
      <c r="G78" s="653" t="s">
        <v>137</v>
      </c>
      <c r="H78" s="1174" t="s">
        <v>138</v>
      </c>
      <c r="I78" s="438"/>
      <c r="L78" s="216"/>
      <c r="M78" s="1972" t="str">
        <f t="shared" ref="M78:M87" ca="1" si="5">IFERROR(INDIRECT("O"&amp;(SMALL(P$78:P$87,ROW(P78)-ROW(P$78)+1))),"")</f>
        <v>Zeitausgleichsstd. iVmF</v>
      </c>
      <c r="N78" s="1342">
        <f t="shared" ref="N78:N87" ca="1" si="6">IF(M78="","",ROW())</f>
        <v>78</v>
      </c>
      <c r="O78" s="1972" t="str">
        <f ca="1">IF(Stammdaten!A39=0,"",Stammdaten!A39)</f>
        <v>Zeitausgleichsstd. iVmF</v>
      </c>
      <c r="P78" s="1965">
        <f t="shared" ref="P78:P86" ca="1" si="7">IF(O78="","",1*ROW())</f>
        <v>78</v>
      </c>
      <c r="Q78" s="1988" t="s">
        <v>688</v>
      </c>
      <c r="S78" s="1965"/>
      <c r="U78" s="1965"/>
    </row>
    <row r="79" spans="1:34" ht="17.850000000000001" customHeight="1" thickBot="1" x14ac:dyDescent="0.3">
      <c r="A79" s="2635" t="s">
        <v>529</v>
      </c>
      <c r="B79" s="2635"/>
      <c r="C79" s="2635"/>
      <c r="D79" s="2635"/>
      <c r="E79" s="651">
        <f ca="1">F79</f>
        <v>22</v>
      </c>
      <c r="F79" s="654">
        <f ca="1">' K3 PP'!O23</f>
        <v>22</v>
      </c>
      <c r="G79" s="655">
        <f ca="1">E79/F79</f>
        <v>1</v>
      </c>
      <c r="H79" s="1095" t="s">
        <v>100</v>
      </c>
      <c r="I79" s="438"/>
      <c r="L79" s="216"/>
      <c r="M79" s="1972" t="str">
        <f t="shared" ca="1" si="5"/>
        <v>Überstunde 50%</v>
      </c>
      <c r="N79" s="1342">
        <f t="shared" ca="1" si="6"/>
        <v>79</v>
      </c>
      <c r="O79" s="1972" t="str">
        <f ca="1">IF(Stammdaten!A40=0,"",Stammdaten!A40)</f>
        <v>Überstunde 50%</v>
      </c>
      <c r="P79" s="1965">
        <f t="shared" ca="1" si="7"/>
        <v>79</v>
      </c>
      <c r="Q79" s="1988">
        <f>COLUMN()</f>
        <v>17</v>
      </c>
      <c r="S79" s="1965"/>
      <c r="T79" s="1989" t="s">
        <v>690</v>
      </c>
      <c r="U79" s="1989" t="s">
        <v>691</v>
      </c>
    </row>
    <row r="80" spans="1:34" ht="17.850000000000001" customHeight="1" thickBot="1" x14ac:dyDescent="0.3">
      <c r="A80" s="2475" t="s">
        <v>530</v>
      </c>
      <c r="B80" s="2475"/>
      <c r="C80" s="2475"/>
      <c r="D80" s="2475"/>
      <c r="E80" s="651">
        <f ca="1">' K3 PP'!O23+' K3 PP'!O24</f>
        <v>25.17</v>
      </c>
      <c r="F80" s="654">
        <f ca="1">F79</f>
        <v>22</v>
      </c>
      <c r="G80" s="655">
        <f ca="1">E80/F80</f>
        <v>1.1440999999999999</v>
      </c>
      <c r="H80" s="1095" t="s">
        <v>100</v>
      </c>
      <c r="I80" s="438"/>
      <c r="L80" s="216"/>
      <c r="M80" s="1972" t="str">
        <f t="shared" ca="1" si="5"/>
        <v>Überstunde 100%</v>
      </c>
      <c r="N80" s="1342">
        <f t="shared" ca="1" si="6"/>
        <v>80</v>
      </c>
      <c r="O80" s="1972" t="str">
        <f ca="1">IF(Stammdaten!A41=0,"",Stammdaten!A41)</f>
        <v>Überstunde 100%</v>
      </c>
      <c r="P80" s="1965">
        <f t="shared" ca="1" si="7"/>
        <v>80</v>
      </c>
      <c r="Q80" s="1990" t="str">
        <f>IF(A90="","",A90)</f>
        <v>Überstunde 50%</v>
      </c>
      <c r="R80" s="1951">
        <f>IF(Q80="","",ROW())</f>
        <v>80</v>
      </c>
      <c r="S80" s="1991" t="str">
        <f ca="1">IFERROR(INDIRECT("Q"&amp;(SMALL(R$80:R$84,ROW(Q80)-ROW(Q$80)+1))),"")</f>
        <v>Überstunde 50%</v>
      </c>
      <c r="T80" s="1992">
        <f ca="1">IFERROR(VLOOKUP($S80,$A$90:$D$94,3,FALSE),"")</f>
        <v>3</v>
      </c>
      <c r="U80" s="1993">
        <f ca="1">IFERROR(VLOOKUP($S80,$A$90:$D$94,4,FALSE),"")</f>
        <v>0.5</v>
      </c>
    </row>
    <row r="81" spans="1:21" ht="17.850000000000001" customHeight="1" thickBot="1" x14ac:dyDescent="0.3">
      <c r="A81" s="2475" t="s">
        <v>531</v>
      </c>
      <c r="B81" s="2475"/>
      <c r="C81" s="2475"/>
      <c r="D81" s="2475"/>
      <c r="E81" s="651">
        <f ca="1">E82</f>
        <v>25.83</v>
      </c>
      <c r="F81" s="654">
        <f ca="1">F82</f>
        <v>22</v>
      </c>
      <c r="G81" s="655">
        <f ca="1">E81/F81</f>
        <v>1.1740999999999999</v>
      </c>
      <c r="H81" s="1095" t="s">
        <v>100</v>
      </c>
      <c r="I81" s="438"/>
      <c r="L81" s="216"/>
      <c r="M81" s="1972" t="str">
        <f t="shared" ca="1" si="5"/>
        <v>Überstunde zw 5 - 20 Uhr</v>
      </c>
      <c r="N81" s="1342">
        <f t="shared" ca="1" si="6"/>
        <v>81</v>
      </c>
      <c r="O81" s="1972" t="str">
        <f ca="1">IF(Stammdaten!A42=0,"",Stammdaten!A42)</f>
        <v>Überstunde zw 5 - 20 Uhr</v>
      </c>
      <c r="P81" s="1965">
        <f t="shared" ca="1" si="7"/>
        <v>81</v>
      </c>
      <c r="Q81" s="1990" t="str">
        <f>IF(A91="","",A91)</f>
        <v/>
      </c>
      <c r="R81" s="1951" t="str">
        <f t="shared" ref="R81:R84" si="8">IF(Q81="","",ROW())</f>
        <v/>
      </c>
      <c r="S81" s="1991" t="str">
        <f ca="1">IFERROR(INDIRECT("Q"&amp;(SMALL(R$80:R$84,ROW(Q81)-ROW(Q$80)+1))),"")</f>
        <v/>
      </c>
      <c r="T81" s="1992" t="str">
        <f ca="1">IFERROR(VLOOKUP($S81,$A$90:$D$94,3,FALSE),"")</f>
        <v/>
      </c>
      <c r="U81" s="1993" t="str">
        <f ca="1">IFERROR(VLOOKUP($S81,$A$90:$D$94,4,FALSE),"")</f>
        <v/>
      </c>
    </row>
    <row r="82" spans="1:21" ht="17.850000000000001" customHeight="1" thickBot="1" x14ac:dyDescent="0.3">
      <c r="A82" s="2475" t="s">
        <v>532</v>
      </c>
      <c r="B82" s="2475"/>
      <c r="C82" s="2475"/>
      <c r="D82" s="2475"/>
      <c r="E82" s="651">
        <f ca="1">' K3 PP'!O23+' K3 PP'!O24+' K3 PP'!O25</f>
        <v>25.83</v>
      </c>
      <c r="F82" s="651">
        <f ca="1">F79</f>
        <v>22</v>
      </c>
      <c r="G82" s="655">
        <f ca="1">E82/F82</f>
        <v>1.1740999999999999</v>
      </c>
      <c r="H82" s="1175">
        <v>1</v>
      </c>
      <c r="I82" s="438"/>
      <c r="L82" s="216"/>
      <c r="M82" s="1972" t="str">
        <f t="shared" ca="1" si="5"/>
        <v>Überstunde zw 20 - 5 Uhr</v>
      </c>
      <c r="N82" s="1342">
        <f t="shared" ca="1" si="6"/>
        <v>82</v>
      </c>
      <c r="O82" s="1972" t="str">
        <f ca="1">IF(Stammdaten!A43=0,"",Stammdaten!A43)</f>
        <v>Überstunde zw 20 - 5 Uhr</v>
      </c>
      <c r="P82" s="1965">
        <f t="shared" ca="1" si="7"/>
        <v>82</v>
      </c>
      <c r="Q82" s="1990" t="str">
        <f>IF(A92="","",A92)</f>
        <v/>
      </c>
      <c r="R82" s="1951" t="str">
        <f t="shared" si="8"/>
        <v/>
      </c>
      <c r="S82" s="1991" t="str">
        <f ca="1">IFERROR(INDIRECT("Q"&amp;(SMALL(R$80:R$84,ROW(Q82)-ROW(Q$80)+1))),"")</f>
        <v/>
      </c>
      <c r="T82" s="1992" t="str">
        <f ca="1">IFERROR(VLOOKUP($S82,$A$90:$D$94,3,FALSE),"")</f>
        <v/>
      </c>
      <c r="U82" s="1993" t="str">
        <f ca="1">IFERROR(VLOOKUP($S82,$A$90:$D$94,4,FALSE),"")</f>
        <v/>
      </c>
    </row>
    <row r="83" spans="1:21" ht="17.850000000000001" customHeight="1" thickBot="1" x14ac:dyDescent="0.3">
      <c r="A83" s="2476"/>
      <c r="B83" s="2477"/>
      <c r="C83" s="2477"/>
      <c r="D83" s="2477"/>
      <c r="E83" s="2477"/>
      <c r="F83" s="2477"/>
      <c r="G83" s="2477"/>
      <c r="H83" s="2478"/>
      <c r="I83" s="438"/>
      <c r="L83" s="216"/>
      <c r="M83" s="1972" t="str">
        <f t="shared" ca="1" si="5"/>
        <v>Überstunde nach Nachtschicht (KV §3.2c)</v>
      </c>
      <c r="N83" s="1342">
        <f t="shared" ca="1" si="6"/>
        <v>83</v>
      </c>
      <c r="O83" s="1972" t="str">
        <f ca="1">IF(Stammdaten!A44=0,"",Stammdaten!A44)</f>
        <v>Überstunde nach Nachtschicht (KV §3.2c)</v>
      </c>
      <c r="P83" s="1965">
        <f t="shared" ca="1" si="7"/>
        <v>83</v>
      </c>
      <c r="Q83" s="1990" t="str">
        <f>IF(A93="","",A93)</f>
        <v/>
      </c>
      <c r="R83" s="1951" t="str">
        <f t="shared" si="8"/>
        <v/>
      </c>
      <c r="S83" s="1991" t="str">
        <f ca="1">IFERROR(INDIRECT("Q"&amp;(SMALL(R$80:R$84,ROW(Q83)-ROW(Q$80)+1))),"")</f>
        <v/>
      </c>
      <c r="T83" s="1992" t="str">
        <f ca="1">IFERROR(VLOOKUP($S83,$A$90:$D$94,3,FALSE),"")</f>
        <v/>
      </c>
      <c r="U83" s="1993" t="str">
        <f ca="1">IFERROR(VLOOKUP($S83,$A$90:$D$94,4,FALSE),"")</f>
        <v/>
      </c>
    </row>
    <row r="84" spans="1:21" ht="17.850000000000001" customHeight="1" thickBot="1" x14ac:dyDescent="0.3">
      <c r="A84" s="2543" t="s">
        <v>633</v>
      </c>
      <c r="B84" s="2543"/>
      <c r="C84" s="2543" t="s">
        <v>230</v>
      </c>
      <c r="D84" s="2543" t="s">
        <v>232</v>
      </c>
      <c r="E84" s="2704" t="s">
        <v>636</v>
      </c>
      <c r="F84" s="2457" t="s">
        <v>137</v>
      </c>
      <c r="G84" s="2543" t="s">
        <v>139</v>
      </c>
      <c r="H84" s="2502" t="s">
        <v>269</v>
      </c>
      <c r="I84" s="438"/>
      <c r="J84" s="2485" t="str">
        <f ca="1">IFERROR(IF(COUNTIF(G90:G94,0)&gt;0,"In C1 Spalte Faktor 2 Wert in Hv 0,00 vorhanden! Wahl von KZ bzw Eintrag in den Quell-/Stammdaten prüfen!",IF(U95&gt;0,"Zu C1: Wahl von KZ = 4 überschreibt einen Faktor 2 gem KollV der ≠ 1 ist! Wahl von KZ bzw Eintrag in den Quell-/Stammdaten prüfen!","")),"Ungültige Verweise auf die Stammdaten.")</f>
        <v/>
      </c>
      <c r="K84" s="2485"/>
      <c r="L84" s="2486"/>
      <c r="M84" s="1972" t="str">
        <f t="shared" ca="1" si="5"/>
        <v/>
      </c>
      <c r="N84" s="1342" t="str">
        <f t="shared" ca="1" si="6"/>
        <v/>
      </c>
      <c r="O84" s="1972" t="str">
        <f ca="1">IF(Stammdaten!A45=0,"",Stammdaten!A45)</f>
        <v/>
      </c>
      <c r="P84" s="1965" t="str">
        <f t="shared" ca="1" si="7"/>
        <v/>
      </c>
      <c r="Q84" s="1994" t="str">
        <f>IF(A94="","",A94)</f>
        <v/>
      </c>
      <c r="R84" s="1995" t="str">
        <f t="shared" si="8"/>
        <v/>
      </c>
      <c r="S84" s="1996" t="str">
        <f ca="1">IFERROR(INDIRECT("Q"&amp;(SMALL(R$80:R$84,ROW(Q84)-ROW(Q$80)+1))),"")</f>
        <v/>
      </c>
      <c r="T84" s="1997" t="str">
        <f ca="1">IFERROR(VLOOKUP($S84,$A$90:$D$94,3,FALSE),"")</f>
        <v/>
      </c>
      <c r="U84" s="1993" t="str">
        <f ca="1">IFERROR(VLOOKUP($S84,$A$90:$D$94,4,FALSE),"")</f>
        <v/>
      </c>
    </row>
    <row r="85" spans="1:21" ht="17.850000000000001" customHeight="1" thickBot="1" x14ac:dyDescent="0.3">
      <c r="A85" s="2543"/>
      <c r="B85" s="2543"/>
      <c r="C85" s="2543"/>
      <c r="D85" s="2543"/>
      <c r="E85" s="2704"/>
      <c r="F85" s="2457"/>
      <c r="G85" s="2543"/>
      <c r="H85" s="2502"/>
      <c r="I85" s="438"/>
      <c r="J85" s="2485"/>
      <c r="K85" s="2485"/>
      <c r="L85" s="2486"/>
      <c r="M85" s="1972" t="str">
        <f t="shared" ca="1" si="5"/>
        <v/>
      </c>
      <c r="N85" s="1342" t="str">
        <f t="shared" ca="1" si="6"/>
        <v/>
      </c>
      <c r="O85" s="1972" t="str">
        <f ca="1">IF(Stammdaten!A46=0,"",Stammdaten!A46)</f>
        <v/>
      </c>
      <c r="P85" s="1965" t="str">
        <f t="shared" ca="1" si="7"/>
        <v/>
      </c>
    </row>
    <row r="86" spans="1:21" ht="17.850000000000001" customHeight="1" thickBot="1" x14ac:dyDescent="0.3">
      <c r="A86" s="2543"/>
      <c r="B86" s="2543"/>
      <c r="C86" s="2543"/>
      <c r="D86" s="2543"/>
      <c r="E86" s="2704"/>
      <c r="F86" s="2457"/>
      <c r="G86" s="2543"/>
      <c r="H86" s="2502"/>
      <c r="I86" s="438"/>
      <c r="L86" s="216"/>
      <c r="M86" s="1972" t="str">
        <f t="shared" ca="1" si="5"/>
        <v/>
      </c>
      <c r="N86" s="1342" t="str">
        <f t="shared" ca="1" si="6"/>
        <v/>
      </c>
      <c r="O86" s="1972" t="str">
        <f ca="1">IF(Stammdaten!A47=0,"",Stammdaten!A47)</f>
        <v/>
      </c>
      <c r="P86" s="1965" t="str">
        <f t="shared" ca="1" si="7"/>
        <v/>
      </c>
    </row>
    <row r="87" spans="1:21" ht="17.850000000000001" customHeight="1" x14ac:dyDescent="0.25">
      <c r="A87" s="2876" t="s">
        <v>128</v>
      </c>
      <c r="B87" s="2876"/>
      <c r="C87" s="656">
        <f ca="1">IFERROR(Stammdaten!C37,"")</f>
        <v>39</v>
      </c>
      <c r="D87" s="657">
        <v>0</v>
      </c>
      <c r="E87" s="2704"/>
      <c r="F87" s="265"/>
      <c r="G87" s="265"/>
      <c r="H87" s="1176">
        <f ca="1">IFERROR(C87*D87,"")</f>
        <v>0</v>
      </c>
      <c r="I87" s="438"/>
      <c r="J87" s="2485" t="str">
        <f ca="1">IF(C87=0,"In den Stammdaten (Quelldatei) ist die KV-Arbeitszeit nicht eingetragen! Sie ist mit 0 Std übernommen! ÄNDERN!!","")</f>
        <v/>
      </c>
      <c r="K87" s="2485"/>
      <c r="L87" s="2486"/>
      <c r="M87" s="1972" t="str">
        <f t="shared" ca="1" si="5"/>
        <v/>
      </c>
      <c r="N87" s="1342" t="str">
        <f t="shared" ca="1" si="6"/>
        <v/>
      </c>
      <c r="O87" s="1972" t="str">
        <f>IF(Stammdaten!A48=0,"",Stammdaten!A48)</f>
        <v/>
      </c>
      <c r="P87" s="1342" t="str">
        <f t="shared" ref="P87" si="9">IF(O87="","",1*ROW())</f>
        <v/>
      </c>
    </row>
    <row r="88" spans="1:21" ht="17.850000000000001" customHeight="1" x14ac:dyDescent="0.25">
      <c r="A88" s="2536" t="s">
        <v>488</v>
      </c>
      <c r="B88" s="2536"/>
      <c r="C88" s="658"/>
      <c r="D88" s="658"/>
      <c r="E88" s="2704"/>
      <c r="F88" s="658"/>
      <c r="G88" s="658"/>
      <c r="H88" s="1177"/>
      <c r="I88" s="438"/>
      <c r="J88" s="2485"/>
      <c r="K88" s="2485"/>
      <c r="L88" s="2486"/>
      <c r="M88" s="1967" t="s">
        <v>568</v>
      </c>
      <c r="N88" s="1967">
        <f ca="1">MIN(N78:N87,ROW(M78))</f>
        <v>78</v>
      </c>
      <c r="O88" s="1967"/>
      <c r="P88" s="1967"/>
    </row>
    <row r="89" spans="1:21" ht="17.850000000000001" customHeight="1" x14ac:dyDescent="0.25">
      <c r="A89" s="2536"/>
      <c r="B89" s="2536"/>
      <c r="C89" s="1111"/>
      <c r="D89" s="658"/>
      <c r="E89" s="2704"/>
      <c r="F89" s="658"/>
      <c r="G89" s="658"/>
      <c r="H89" s="1177"/>
      <c r="I89" s="438"/>
      <c r="J89" s="2280" t="str">
        <f>IF(OR(E90&lt;&gt;E91,E91&lt;&gt;E92,E92&lt;&gt;E93,E93&lt;&gt;E94),"Hinweis: Unterschiedliche KZ vorhanden; prüfen ob korrekt!","")</f>
        <v/>
      </c>
      <c r="K89" s="2280"/>
      <c r="L89" s="2281"/>
      <c r="M89" s="1342" t="s">
        <v>569</v>
      </c>
      <c r="N89" s="1342">
        <f ca="1">MAX(N78:N87,ROW(M78))</f>
        <v>83</v>
      </c>
      <c r="T89" s="1342" t="s">
        <v>980</v>
      </c>
      <c r="U89" s="1342" t="s">
        <v>981</v>
      </c>
    </row>
    <row r="90" spans="1:21" ht="28.5" customHeight="1" x14ac:dyDescent="0.25">
      <c r="A90" s="2531" t="s">
        <v>935</v>
      </c>
      <c r="B90" s="2531"/>
      <c r="C90" s="335">
        <v>3</v>
      </c>
      <c r="D90" s="56">
        <f ca="1">IF(L$27="",IFERROR(IF(OR(ISBLANK(A90),A90=0),"",VLOOKUP(A90,Stammdaten!A$39:C$48,3,FALSE)),KALKULATION!$M$283),"ungültig")</f>
        <v>0.5</v>
      </c>
      <c r="E90" s="1123">
        <v>1</v>
      </c>
      <c r="F90" s="877">
        <f>IF(C90&gt;0,IF(E90=1,1,IF(E90=2,(E$80/F$80),IF(OR(E90=3,E90=4),(E$82/F$82),""))),"")</f>
        <v>1</v>
      </c>
      <c r="G90" s="877">
        <f ca="1">IF(C90&gt;0,IFERROR(IF(OR(E90=1,E90=2,E90=3),VLOOKUP(KALKULATION!A90,Stammdaten!A$39:C$48,2,FALSE),IF(E90=4,1,"")),""),"")</f>
        <v>1.2</v>
      </c>
      <c r="H90" s="1176">
        <f ca="1">IFERROR((C90*D90*F90*G90),"")</f>
        <v>1.8</v>
      </c>
      <c r="I90" s="438"/>
      <c r="J90" s="2178" t="str">
        <f ca="1">IF(OR(COUNTA(A90,C90,E90)=3,COUNTA(A90,C90,E90)=0,AND(COUNTA(A90,C90,E90)=1,E90&gt;0)),IF(D90=KALKULATION!M$283,"Auswahl erneut vornehmen (ungültiger Verweis)!",""),"Eingabe unvollständig (ergänzen oder löschen)!")</f>
        <v/>
      </c>
      <c r="K90" s="2178"/>
      <c r="L90" s="2179"/>
      <c r="T90" s="1979">
        <f ca="1">VLOOKUP(KALKULATION!A90,Stammdaten!A$39:C$48,2,FALSE)</f>
        <v>1.2</v>
      </c>
      <c r="U90" s="1950" t="str">
        <f ca="1">IF(AND(E90=4,T90&gt;1),1,"")</f>
        <v/>
      </c>
    </row>
    <row r="91" spans="1:21" ht="28.5" customHeight="1" x14ac:dyDescent="0.25">
      <c r="A91" s="2531"/>
      <c r="B91" s="2531"/>
      <c r="C91" s="335"/>
      <c r="D91" s="56" t="str">
        <f ca="1">IF(L$27="",IFERROR(IF(OR(ISBLANK(A91),A91=0),"",VLOOKUP(A91,Stammdaten!A$39:C$48,3,FALSE)),KALKULATION!$M$283),"ungültig")</f>
        <v/>
      </c>
      <c r="E91" s="352">
        <v>1</v>
      </c>
      <c r="F91" s="877" t="str">
        <f>IF(C91&gt;0,IF(E91=1,1,IF(E91=2,(E$80/F$80),IF(OR(E91=3,E91=4),(E$82/F$82),""))),"")</f>
        <v/>
      </c>
      <c r="G91" s="877" t="str">
        <f>IF(C91&gt;0,IFERROR(IF(OR(E91=1,E91=2,E91=3),VLOOKUP(KALKULATION!A91,Stammdaten!A$39:C$48,2,FALSE),IF(E91=4,1,"")),""),"")</f>
        <v/>
      </c>
      <c r="H91" s="1176" t="str">
        <f ca="1">IFERROR((C91*D91*F91*G91),"")</f>
        <v/>
      </c>
      <c r="I91" s="438"/>
      <c r="J91" s="2178" t="str">
        <f ca="1">IF(OR(COUNTA(A91,C91,E91)=3,COUNTA(A91,C91,E91)=0,AND(COUNTA(A91,C91,E91)=1,E91&gt;0)),IF(D91=KALKULATION!M$283,"Auswahl erneut vornehmen (ungültiger Verweis)!",""),"Eingabe unvollständig (ergänzen oder löschen)!")</f>
        <v/>
      </c>
      <c r="K91" s="2178"/>
      <c r="L91" s="2179"/>
      <c r="T91" s="1979">
        <f ca="1">VLOOKUP(KALKULATION!A91,Stammdaten!A$39:C$48,2,FALSE)</f>
        <v>0</v>
      </c>
      <c r="U91" s="1950" t="str">
        <f t="shared" ref="U91:U94" ca="1" si="10">IF(AND(E91=4,T91&gt;1),1,"")</f>
        <v/>
      </c>
    </row>
    <row r="92" spans="1:21" ht="28.5" customHeight="1" thickBot="1" x14ac:dyDescent="0.3">
      <c r="A92" s="2531"/>
      <c r="B92" s="2531"/>
      <c r="C92" s="335"/>
      <c r="D92" s="56" t="str">
        <f ca="1">IF(L$27="",IFERROR(IF(OR(ISBLANK(A92),A92=0),"",VLOOKUP(A92,Stammdaten!A$39:C$48,3,FALSE)),KALKULATION!$M$283),"ungültig")</f>
        <v/>
      </c>
      <c r="E92" s="352">
        <v>1</v>
      </c>
      <c r="F92" s="877" t="str">
        <f>IF(C92&gt;0,IF(E92=1,1,IF(E92=2,(E$80/F$80),IF(OR(E92=3,E92=4),(E$82/F$82),""))),"")</f>
        <v/>
      </c>
      <c r="G92" s="877" t="str">
        <f>IF(C92&gt;0,IFERROR(IF(OR(E92=1,E92=2,E92=3),VLOOKUP(KALKULATION!A92,Stammdaten!A$39:C$48,2,FALSE),IF(E92=4,1,"")),""),"")</f>
        <v/>
      </c>
      <c r="H92" s="1176" t="str">
        <f ca="1">IFERROR((C92*D92*F92*G92),"")</f>
        <v/>
      </c>
      <c r="I92" s="438"/>
      <c r="J92" s="2178" t="str">
        <f ca="1">IF(OR(COUNTA(A92,C92,E92)=3,COUNTA(A92,C92,E92)=0,AND(COUNTA(A92,C92,E92)=1,E92&gt;0)),IF(D92=KALKULATION!M$283,"Auswahl erneut vornehmen (ungültiger Verweis)!",""),"Eingabe unvollständig (ergänzen oder löschen)!")</f>
        <v/>
      </c>
      <c r="K92" s="2178"/>
      <c r="L92" s="2179"/>
      <c r="M92" s="1961" t="s">
        <v>573</v>
      </c>
      <c r="N92" s="1961" t="s">
        <v>570</v>
      </c>
      <c r="P92" s="1998" t="s">
        <v>1124</v>
      </c>
      <c r="T92" s="1979">
        <f ca="1">VLOOKUP(KALKULATION!A92,Stammdaten!A$39:C$48,2,FALSE)</f>
        <v>0</v>
      </c>
      <c r="U92" s="1950" t="str">
        <f t="shared" ca="1" si="10"/>
        <v/>
      </c>
    </row>
    <row r="93" spans="1:21" ht="28.5" customHeight="1" thickBot="1" x14ac:dyDescent="0.3">
      <c r="A93" s="2531"/>
      <c r="B93" s="2531"/>
      <c r="C93" s="335"/>
      <c r="D93" s="56" t="str">
        <f ca="1">IF(L$27="",IFERROR(IF(OR(ISBLANK(A93),A93=0),"",VLOOKUP(A93,Stammdaten!A$39:C$48,3,FALSE)),KALKULATION!$M$283),"ungültig")</f>
        <v/>
      </c>
      <c r="E93" s="352">
        <v>1</v>
      </c>
      <c r="F93" s="877" t="str">
        <f>IF(C93&gt;0,IF(E93=1,1,IF(E93=2,(E$80/F$80),IF(OR(E93=3,E93=4),(E$82/F$82),""))),"")</f>
        <v/>
      </c>
      <c r="G93" s="877" t="str">
        <f>IF(C93&gt;0,IFERROR(IF(OR(E93=1,E93=2,E93=3),VLOOKUP(KALKULATION!A93,Stammdaten!A$39:C$48,2,FALSE),IF(E93=4,1,"")),""),"")</f>
        <v/>
      </c>
      <c r="H93" s="1176" t="str">
        <f ca="1">IFERROR((C93*D93*F93*G93),"")</f>
        <v/>
      </c>
      <c r="I93" s="438"/>
      <c r="J93" s="2178" t="str">
        <f ca="1">IF(OR(COUNTA(A93,C93,E93)=3,COUNTA(A93,C93,E93)=0,AND(COUNTA(A93,C93,E93)=1,E93&gt;0)),IF(D93=KALKULATION!M$283,"Auswahl erneut vornehmen (ungültiger Verweis)!",""),"Eingabe unvollständig (ergänzen oder löschen)!")</f>
        <v/>
      </c>
      <c r="K93" s="2178"/>
      <c r="L93" s="2179"/>
      <c r="M93" s="1972" t="str">
        <f ca="1">IF(Stammdaten!A50=0,"",Stammdaten!A50)</f>
        <v>Schichtarbeit 22 bis 6 Uhr</v>
      </c>
      <c r="N93" s="1342">
        <f ca="1">IF(M93="","",1*ROW())</f>
        <v>93</v>
      </c>
      <c r="P93" s="1999">
        <f ca="1">IFERROR(SUMPRODUCT(C90:C94,D90:D94)/SUM(C90:C94),0)</f>
        <v>0.5</v>
      </c>
      <c r="Q93" s="1999">
        <f ca="1">IFERROR(H95/SUM(C90:C94),0)</f>
        <v>0.6</v>
      </c>
      <c r="T93" s="1979">
        <f ca="1">VLOOKUP(KALKULATION!A93,Stammdaten!A$39:C$48,2,FALSE)</f>
        <v>0</v>
      </c>
      <c r="U93" s="1950" t="str">
        <f t="shared" ca="1" si="10"/>
        <v/>
      </c>
    </row>
    <row r="94" spans="1:21" ht="28.5" customHeight="1" thickBot="1" x14ac:dyDescent="0.3">
      <c r="A94" s="2531"/>
      <c r="B94" s="2531"/>
      <c r="C94" s="335"/>
      <c r="D94" s="56" t="str">
        <f ca="1">IF(L$27="",IFERROR(IF(OR(ISBLANK(A94),A94=0),"",VLOOKUP(A94,Stammdaten!A$39:C$48,3,FALSE)),KALKULATION!$M$283),"ungültig")</f>
        <v/>
      </c>
      <c r="E94" s="352">
        <v>1</v>
      </c>
      <c r="F94" s="877" t="str">
        <f>IF(C94&gt;0,IF(E94=1,1,IF(E94=2,(E$80/F$80),IF(OR(E94=3,E94=4),(E$82/F$82),""))),"")</f>
        <v/>
      </c>
      <c r="G94" s="877" t="str">
        <f>IF(C94&gt;0,IFERROR(IF(OR(E94=1,E94=2,E94=3),VLOOKUP(KALKULATION!A94,Stammdaten!A$39:C$48,2,FALSE),IF(E94=4,1,"")),""),"")</f>
        <v/>
      </c>
      <c r="H94" s="1176" t="str">
        <f ca="1">IFERROR((C94*D94*F94*G94),"")</f>
        <v/>
      </c>
      <c r="I94" s="438"/>
      <c r="J94" s="2178" t="str">
        <f ca="1">IF(OR(COUNTA(A94,C94,E94)=3,COUNTA(A94,C94,E94)=0,AND(COUNTA(A94,C94,E94)=1,E94&gt;0)),IF(D94=KALKULATION!M$283,"Auswahl erneut vornehmen (ungültiger Verweis)!",""),"Eingabe unvollständig (ergänzen oder löschen)!")</f>
        <v/>
      </c>
      <c r="K94" s="2178"/>
      <c r="L94" s="2179"/>
      <c r="M94" s="1972" t="str">
        <f ca="1">IF(Stammdaten!A51=0,"",Stammdaten!A51)</f>
        <v>Arbeitsstd. 20 bis 5 Uhr</v>
      </c>
      <c r="N94" s="1342">
        <f ca="1">IF(M94="","",1*ROW())</f>
        <v>94</v>
      </c>
      <c r="P94" s="2000" t="s">
        <v>870</v>
      </c>
      <c r="Q94" s="2000" t="s">
        <v>869</v>
      </c>
      <c r="T94" s="1979">
        <f ca="1">VLOOKUP(KALKULATION!A94,Stammdaten!A$39:C$48,2,FALSE)</f>
        <v>0</v>
      </c>
      <c r="U94" s="1950" t="str">
        <f t="shared" ca="1" si="10"/>
        <v/>
      </c>
    </row>
    <row r="95" spans="1:21" ht="17.850000000000001" customHeight="1" thickBot="1" x14ac:dyDescent="0.3">
      <c r="A95" s="2637" t="s">
        <v>495</v>
      </c>
      <c r="B95" s="2638"/>
      <c r="C95" s="659">
        <f ca="1">IF(H77=_Nein,C87,IF(L$27="",C87+SUM(C90:C94),""))</f>
        <v>42</v>
      </c>
      <c r="D95" s="660" t="str">
        <f ca="1">"Ø "&amp;TEXT(P93,"0,00%")</f>
        <v>Ø 50,00%</v>
      </c>
      <c r="E95" s="658"/>
      <c r="F95" s="658"/>
      <c r="G95" s="660" t="s">
        <v>489</v>
      </c>
      <c r="H95" s="1176">
        <f ca="1">IF(H77="Nein",0,SUM(H90:H94))</f>
        <v>1.8</v>
      </c>
      <c r="I95" s="438"/>
      <c r="J95" s="2319" t="str">
        <f ca="1">IF(OR(C95&gt;Report!F9,C95&lt;Report!G9),"Hinweis: Wochenarbeitszeit (C1) liegt über bzw unter den Richtwerten gem Blatt REPORT! ","")</f>
        <v/>
      </c>
      <c r="K95" s="2319"/>
      <c r="L95" s="2320"/>
      <c r="M95" s="1972" t="str">
        <f ca="1">IF(Stammdaten!A52=0,"",Stammdaten!A52)</f>
        <v>Sonntagsarbeit</v>
      </c>
      <c r="N95" s="1342">
        <f ca="1">IF(M95="","",1*ROW())</f>
        <v>95</v>
      </c>
      <c r="P95" s="2001"/>
      <c r="T95" s="1342" t="s">
        <v>56</v>
      </c>
      <c r="U95" s="2002">
        <f ca="1">SUM(U90:U94)</f>
        <v>0</v>
      </c>
    </row>
    <row r="96" spans="1:21" ht="17.850000000000001" customHeight="1" thickBot="1" x14ac:dyDescent="0.3">
      <c r="A96" s="2541"/>
      <c r="B96" s="2542"/>
      <c r="C96" s="2542"/>
      <c r="D96" s="2542"/>
      <c r="E96" s="2542"/>
      <c r="F96" s="2542"/>
      <c r="G96" s="2542"/>
      <c r="H96" s="2542"/>
      <c r="I96" s="438"/>
      <c r="J96" s="2319"/>
      <c r="K96" s="2319"/>
      <c r="L96" s="2320"/>
      <c r="M96" s="1972" t="str">
        <f ca="1">IF(Stammdaten!A53=0,"",Stammdaten!A53)</f>
        <v>Feiertagsarbeit (KV §3.2.f.aa)</v>
      </c>
      <c r="N96" s="1342">
        <f ca="1">IF(M96="","",1*ROW())</f>
        <v>96</v>
      </c>
    </row>
    <row r="97" spans="1:21" ht="20.100000000000001" customHeight="1" thickBot="1" x14ac:dyDescent="0.3">
      <c r="A97" s="2169" t="s">
        <v>807</v>
      </c>
      <c r="B97" s="2170"/>
      <c r="C97" s="2170"/>
      <c r="D97" s="2170"/>
      <c r="E97" s="2170"/>
      <c r="F97" s="2170"/>
      <c r="G97" s="2171"/>
      <c r="H97" s="579" t="s">
        <v>193</v>
      </c>
      <c r="I97" s="438"/>
      <c r="J97" s="2293" t="str">
        <f>IF(COUNTIF((C90:C94),0)&lt;&gt;0,"Hinweis zu C1: Eintragung von 0,00 Std vorhanden.","")</f>
        <v/>
      </c>
      <c r="K97" s="2293"/>
      <c r="L97" s="2294"/>
      <c r="M97" s="1972" t="str">
        <f ca="1">IF(Stammdaten!A54=0,"",Stammdaten!A54)</f>
        <v>Feiertagsarbeit (KV §3.2.f.bb)</v>
      </c>
      <c r="N97" s="1342">
        <f ca="1">IF(M97="","",1*ROW())</f>
        <v>97</v>
      </c>
    </row>
    <row r="98" spans="1:21" ht="17.850000000000001" customHeight="1" x14ac:dyDescent="0.25">
      <c r="A98" s="2532" t="s">
        <v>490</v>
      </c>
      <c r="B98" s="2533"/>
      <c r="C98" s="2300" t="s">
        <v>494</v>
      </c>
      <c r="D98" s="2300" t="s">
        <v>232</v>
      </c>
      <c r="E98" s="2300" t="s">
        <v>683</v>
      </c>
      <c r="F98" s="2640" t="s">
        <v>137</v>
      </c>
      <c r="G98" s="2300" t="s">
        <v>139</v>
      </c>
      <c r="H98" s="1178"/>
      <c r="I98" s="438"/>
      <c r="J98" s="2485" t="str">
        <f ca="1">IFERROR(IF(COUNTIF(G101:G103,0)&gt;0,"In C2.a Spalte Faktor 2 Wert in Hv 0,00 vorhanden! Wahl von KZ bzw Eintrag in den Quell-/Stammdaten prüfen!",IF(U104&gt;0,"Zu C2.a: Wahl von KZ = 4 überschreibt einen Faktor 2 gem KollV der ≠ 1 ist! Wahl von KZ bzw Eintrag in den Quell-/Stammdaten prüfen!","")),"")</f>
        <v/>
      </c>
      <c r="K98" s="2485"/>
      <c r="L98" s="2486"/>
      <c r="M98" s="1972" t="str">
        <f>IF(Stammdaten!A55=0,"",Stammdaten!A55)</f>
        <v/>
      </c>
      <c r="N98" s="1342" t="str">
        <f t="shared" ref="N98" si="11">IF(M98="","",1*ROW())</f>
        <v/>
      </c>
    </row>
    <row r="99" spans="1:21" ht="17.850000000000001" customHeight="1" x14ac:dyDescent="0.25">
      <c r="A99" s="2534"/>
      <c r="B99" s="2535"/>
      <c r="C99" s="2482"/>
      <c r="D99" s="2482"/>
      <c r="E99" s="2482"/>
      <c r="F99" s="2641"/>
      <c r="G99" s="2482"/>
      <c r="H99" s="1179"/>
      <c r="I99" s="438"/>
      <c r="J99" s="2485"/>
      <c r="K99" s="2485"/>
      <c r="L99" s="2486"/>
      <c r="M99" s="1342" t="s">
        <v>568</v>
      </c>
      <c r="N99" s="1342">
        <f ca="1">MIN(N93:N98,ROW(M93))</f>
        <v>93</v>
      </c>
    </row>
    <row r="100" spans="1:21" ht="17.850000000000001" customHeight="1" thickBot="1" x14ac:dyDescent="0.3">
      <c r="A100" s="2483" t="s">
        <v>283</v>
      </c>
      <c r="B100" s="2484"/>
      <c r="C100" s="2301"/>
      <c r="D100" s="2301"/>
      <c r="E100" s="2301"/>
      <c r="F100" s="2642"/>
      <c r="G100" s="2301"/>
      <c r="H100" s="1180"/>
      <c r="I100" s="438"/>
      <c r="L100" s="216"/>
      <c r="M100" s="1342" t="s">
        <v>569</v>
      </c>
      <c r="N100" s="1342">
        <f ca="1">MAX(N93:N98,ROW(M93))</f>
        <v>97</v>
      </c>
    </row>
    <row r="101" spans="1:21" ht="28.5" customHeight="1" thickTop="1" x14ac:dyDescent="0.25">
      <c r="A101" s="2492"/>
      <c r="B101" s="2708"/>
      <c r="C101" s="334"/>
      <c r="D101" s="473" t="str">
        <f ca="1">IF(L$27="",IFERROR(IF(OR(ISBLANK(A101),A101=0),"",VLOOKUP(A101,Stammdaten!A$50:C$55,3,FALSE)),KALKULATION!$M$283),"ungültig")</f>
        <v/>
      </c>
      <c r="E101" s="559">
        <v>1</v>
      </c>
      <c r="F101" s="878" t="str">
        <f>IFERROR(IF(OR(C101&gt;0,C101&lt;0),IF(E101=1,1,IF(E101=2,(E$80/F$80),IF(OR(E101=3,E101=4),(E$82/F$82),""))),""),"")</f>
        <v/>
      </c>
      <c r="G101" s="879" t="str">
        <f>IF(OR(C101&gt;0,C101&lt;0),IFERROR(IF(OR(E101=1,E101=2,E101=3),VLOOKUP(KALKULATION!A101,Stammdaten!A$50:C$55,2,FALSE),IF(E101=4,1,"")),""),"")</f>
        <v/>
      </c>
      <c r="H101" s="1181" t="str">
        <f ca="1">IFERROR((C101*D101*F101*G101),"")</f>
        <v/>
      </c>
      <c r="I101" s="438"/>
      <c r="J101" s="2178" t="str">
        <f ca="1">IF(OR(COUNTA(A101,C101,E101)=3,COUNTA(A101,C101,E101)=0,AND(COUNTA(A101,C101,E101)=1,E101&gt;0)),IF(D101=KALKULATION!$M$283,"Auswahl erneut vornehmen (ungültiger Verweis)!",""),"Eingabe unvollständig (ergänzen oder löschen)!")</f>
        <v/>
      </c>
      <c r="K101" s="2178"/>
      <c r="L101" s="2179"/>
      <c r="T101" s="1950" t="e">
        <f ca="1">VLOOKUP(KALKULATION!A101,Stammdaten!A$50:C$55,2,FALSE)</f>
        <v>#N/A</v>
      </c>
      <c r="U101" s="1950" t="e">
        <f t="shared" ref="U101" ca="1" si="12">IF(AND(E101=4,T101&gt;1),1,"")</f>
        <v>#N/A</v>
      </c>
    </row>
    <row r="102" spans="1:21" ht="28.5" customHeight="1" x14ac:dyDescent="0.25">
      <c r="A102" s="2368"/>
      <c r="B102" s="2369"/>
      <c r="C102" s="335"/>
      <c r="D102" s="473" t="str">
        <f ca="1">IF(L$27="",IFERROR(IF(OR(ISBLANK(A102),A102=0),"",VLOOKUP(A102,Stammdaten!A$50:C$55,3,FALSE)),KALKULATION!$M$283),"ungültig")</f>
        <v/>
      </c>
      <c r="E102" s="351">
        <v>1</v>
      </c>
      <c r="F102" s="878" t="str">
        <f>IFERROR(IF(OR(C102&gt;0,C102&lt;0),IF(E102=1,1,IF(E102=2,(E$80/F$80),IF(OR(E102=3,E102=4),(E$82/F$82),""))),""),"")</f>
        <v/>
      </c>
      <c r="G102" s="879" t="str">
        <f>IF(OR(C102&gt;0,C102&lt;0),IFERROR(IF(OR(E102=1,E102=2,E102=3),VLOOKUP(KALKULATION!A102,Stammdaten!A$50:C$55,2,FALSE),IF(E102=4,1,"")),""),"")</f>
        <v/>
      </c>
      <c r="H102" s="1176" t="str">
        <f ca="1">IFERROR((C102*D102*F102*G102),"")</f>
        <v/>
      </c>
      <c r="I102" s="438"/>
      <c r="J102" s="2178" t="str">
        <f ca="1">IF(OR(COUNTA(A102,C102,E102)=3,COUNTA(A102,C102,E102)=0,AND(COUNTA(A102,C102,E102)=1,E102&gt;0)),IF(D102=KALKULATION!$M$283,"Auswahl erneut vornehmen (ungültiger Verweis)!",""),"Eingabe unvollständig (ergänzen oder löschen)!")</f>
        <v/>
      </c>
      <c r="K102" s="2178"/>
      <c r="L102" s="2179"/>
      <c r="T102" s="1950" t="e">
        <f ca="1">VLOOKUP(KALKULATION!A102,Stammdaten!A$50:C$55,2,FALSE)</f>
        <v>#N/A</v>
      </c>
      <c r="U102" s="1950" t="e">
        <f t="shared" ref="U102:U103" ca="1" si="13">IF(AND(E102=4,T102&gt;1),1,"")</f>
        <v>#N/A</v>
      </c>
    </row>
    <row r="103" spans="1:21" ht="28.5" customHeight="1" thickBot="1" x14ac:dyDescent="0.3">
      <c r="A103" s="2368"/>
      <c r="B103" s="2467"/>
      <c r="C103" s="335"/>
      <c r="D103" s="473" t="str">
        <f ca="1">IF(L$27="",IFERROR(IF(OR(ISBLANK(A103),A103=0),"",VLOOKUP(A103,Stammdaten!A$50:C$55,3,FALSE)),KALKULATION!$M$283),"ungültig")</f>
        <v/>
      </c>
      <c r="E103" s="352">
        <v>1</v>
      </c>
      <c r="F103" s="878" t="str">
        <f>IFERROR(IF(OR(C103&gt;0,C103&lt;0),IF(E103=1,1,IF(E103=2,(E$80/F$80),IF(OR(E103=3,E103=4),(E$82/F$82),""))),""),"")</f>
        <v/>
      </c>
      <c r="G103" s="879" t="str">
        <f>IF(OR(C103&gt;0,C103&lt;0),IFERROR(IF(OR(E103=1,E103=2,E103=3),VLOOKUP(KALKULATION!A103,Stammdaten!A$50:C$55,2,FALSE),IF(E103=4,1,"")),""),"")</f>
        <v/>
      </c>
      <c r="H103" s="1176" t="str">
        <f ca="1">IFERROR((C103*D103*F103*G103),"")</f>
        <v/>
      </c>
      <c r="I103" s="438"/>
      <c r="J103" s="2178" t="str">
        <f ca="1">IF(OR(COUNTA(A103,C103,E103)=3,COUNTA(A103,C103,E103)=0,AND(COUNTA(A103,C103,E103)=1,E103&gt;0)),IF(D103=KALKULATION!$M$283,"Auswahl erneut vornehmen (ungültiger Verweis)!",""),"Eingabe unvollständig (ergänzen oder löschen)!")</f>
        <v/>
      </c>
      <c r="K103" s="2178"/>
      <c r="L103" s="2179"/>
      <c r="M103" s="1961" t="s">
        <v>572</v>
      </c>
      <c r="N103" s="1961" t="s">
        <v>570</v>
      </c>
      <c r="T103" s="1950" t="e">
        <f ca="1">VLOOKUP(KALKULATION!A103,Stammdaten!A$50:C$55,2,FALSE)</f>
        <v>#N/A</v>
      </c>
      <c r="U103" s="1950" t="e">
        <f t="shared" ca="1" si="13"/>
        <v>#N/A</v>
      </c>
    </row>
    <row r="104" spans="1:21" ht="17.850000000000001" customHeight="1" thickBot="1" x14ac:dyDescent="0.3">
      <c r="A104" s="2532" t="s">
        <v>491</v>
      </c>
      <c r="B104" s="2533"/>
      <c r="C104" s="2436" t="s">
        <v>493</v>
      </c>
      <c r="D104" s="2436" t="s">
        <v>231</v>
      </c>
      <c r="E104" s="142"/>
      <c r="F104" s="2436" t="s">
        <v>253</v>
      </c>
      <c r="G104" s="2436" t="s">
        <v>254</v>
      </c>
      <c r="H104" s="2697"/>
      <c r="I104" s="438"/>
      <c r="L104" s="216"/>
      <c r="M104" s="1972" t="str">
        <f ca="1">IF(Stammdaten!A57=0,"",Stammdaten!A57)</f>
        <v/>
      </c>
      <c r="N104" s="1342" t="str">
        <f ca="1">IF(M104="","",1*ROW())</f>
        <v/>
      </c>
      <c r="U104" s="1342" t="e">
        <f ca="1">SUM(U101:U103)</f>
        <v>#N/A</v>
      </c>
    </row>
    <row r="105" spans="1:21" ht="17.850000000000001" customHeight="1" thickBot="1" x14ac:dyDescent="0.3">
      <c r="A105" s="2534"/>
      <c r="B105" s="2535"/>
      <c r="C105" s="2437"/>
      <c r="D105" s="2437"/>
      <c r="E105" s="143"/>
      <c r="F105" s="2437"/>
      <c r="G105" s="2437"/>
      <c r="H105" s="2698"/>
      <c r="I105" s="438"/>
      <c r="L105" s="216"/>
      <c r="M105" s="1972" t="str">
        <f ca="1">IF(Stammdaten!A58=0,"",Stammdaten!A58)</f>
        <v/>
      </c>
      <c r="N105" s="1342" t="str">
        <f ca="1">IF(M105="","",1*ROW())</f>
        <v/>
      </c>
    </row>
    <row r="106" spans="1:21" ht="17.850000000000001" customHeight="1" thickBot="1" x14ac:dyDescent="0.3">
      <c r="A106" s="2483" t="s">
        <v>283</v>
      </c>
      <c r="B106" s="2484"/>
      <c r="C106" s="2438"/>
      <c r="D106" s="2438"/>
      <c r="E106" s="662"/>
      <c r="F106" s="2438"/>
      <c r="G106" s="2438"/>
      <c r="H106" s="2699"/>
      <c r="I106" s="438"/>
      <c r="L106" s="216"/>
      <c r="M106" s="1972" t="str">
        <f ca="1">IF(Stammdaten!A59=0,"",Stammdaten!A59)</f>
        <v/>
      </c>
      <c r="N106" s="1342" t="str">
        <f ca="1">IF(M106="","",1*ROW())</f>
        <v/>
      </c>
    </row>
    <row r="107" spans="1:21" ht="28.5" customHeight="1" thickTop="1" thickBot="1" x14ac:dyDescent="0.3">
      <c r="A107" s="2492"/>
      <c r="B107" s="2493"/>
      <c r="C107" s="334"/>
      <c r="D107" s="661" t="str">
        <f ca="1">IF(L$27="",IFERROR(IF(ISBLANK(A107),"",(VLOOKUP(A107,Stammdaten!A$57:B$62,2,FALSE))),KALKULATION!$M$283),"ungültig")</f>
        <v/>
      </c>
      <c r="E107" s="141"/>
      <c r="F107" s="208" t="str">
        <f>IFERROR(IF(OR(A107="",A107=0),"",' K3 PP'!O$21),"")</f>
        <v/>
      </c>
      <c r="G107" s="209" t="str">
        <f ca="1">IFERROR(D107/F107,"")</f>
        <v/>
      </c>
      <c r="H107" s="713" t="str">
        <f ca="1">IFERROR(C107*G107,"")</f>
        <v/>
      </c>
      <c r="I107" s="438"/>
      <c r="J107" s="271" t="str">
        <f ca="1">IF(OR(COUNTA(A107,C107)=2,COUNTA(A107,C107)=0),IF(D107=KALKULATION!$M$283,"Auswahl erneut vornehmen (ungültiger Verweis)!",""),"Eingabe unvollständig (ergänzen oder löschen)!")</f>
        <v/>
      </c>
      <c r="K107" s="271"/>
      <c r="L107" s="216"/>
      <c r="M107" s="1972" t="str">
        <f ca="1">IF(Stammdaten!A60=0,"",Stammdaten!A60)</f>
        <v/>
      </c>
      <c r="N107" s="1342" t="str">
        <f ca="1">IF(M107="","",1*ROW())</f>
        <v/>
      </c>
    </row>
    <row r="108" spans="1:21" ht="28.5" customHeight="1" thickBot="1" x14ac:dyDescent="0.3">
      <c r="A108" s="2368"/>
      <c r="B108" s="2467"/>
      <c r="C108" s="335"/>
      <c r="D108" s="474" t="str">
        <f ca="1">IF(L$27="",IFERROR(IF(ISBLANK(A108),"",(VLOOKUP(A108,Stammdaten!A$57:B$62,2,FALSE))),KALKULATION!$M$283),"ungültig")</f>
        <v/>
      </c>
      <c r="E108" s="91"/>
      <c r="F108" s="208" t="str">
        <f>IFERROR(IF(OR(A108="",A108=0),"",' K3 PP'!O$21),"")</f>
        <v/>
      </c>
      <c r="G108" s="210" t="str">
        <f ca="1">IFERROR(D108/F108,"")</f>
        <v/>
      </c>
      <c r="H108" s="1182" t="str">
        <f ca="1">IFERROR(C108*G108,"")</f>
        <v/>
      </c>
      <c r="I108" s="438"/>
      <c r="J108" s="271" t="str">
        <f ca="1">IF(OR(COUNTA(A108,C108)=2,COUNTA(A108,C108)=0),IF(D108=KALKULATION!$M$283,"Auswahl erneut vornehmen (ungültiger Verweis)!",""),"Eingabe unvollständig (ergänzen oder löschen)!")</f>
        <v/>
      </c>
      <c r="K108" s="271"/>
      <c r="L108" s="216"/>
      <c r="M108" s="1972" t="str">
        <f ca="1">IF(Stammdaten!A61=0,"",Stammdaten!A61)</f>
        <v/>
      </c>
      <c r="N108" s="1342" t="str">
        <f ca="1">IF(M108="","",1*ROW())</f>
        <v/>
      </c>
      <c r="O108" s="1977"/>
      <c r="P108" s="2003" t="s">
        <v>875</v>
      </c>
      <c r="Q108" s="1977"/>
    </row>
    <row r="109" spans="1:21" ht="28.5" customHeight="1" thickBot="1" x14ac:dyDescent="0.3">
      <c r="A109" s="2461"/>
      <c r="B109" s="2462"/>
      <c r="C109" s="336"/>
      <c r="D109" s="494" t="str">
        <f ca="1">IF(L$27="",IFERROR(IF(ISBLANK(A109),"",(VLOOKUP(A109,Stammdaten!A$57:B$62,2,FALSE))),KALKULATION!$M$283),"ungültig")</f>
        <v/>
      </c>
      <c r="E109" s="495"/>
      <c r="F109" s="496" t="str">
        <f>IFERROR(IF(OR(A109="",A109=0),"",' K3 PP'!O$21),"")</f>
        <v/>
      </c>
      <c r="G109" s="497" t="str">
        <f ca="1">IFERROR(D109/F109,"")</f>
        <v/>
      </c>
      <c r="H109" s="1183" t="str">
        <f ca="1">IFERROR(C109*G109,"")</f>
        <v/>
      </c>
      <c r="I109" s="438"/>
      <c r="J109" s="271" t="str">
        <f ca="1">IF(OR(COUNTA(A109,C109)=2,COUNTA(A109,C109)=0),IF(D109=KALKULATION!$M$283,"Auswahl erneut vornehmen (ungültiger Verweis)!",""),"Eingabe unvollständig (ergänzen oder löschen)!")</f>
        <v/>
      </c>
      <c r="K109" s="271"/>
      <c r="L109" s="216"/>
      <c r="M109" s="1972" t="str">
        <f>IF(Stammdaten!A62=0,"",Stammdaten!A62)</f>
        <v/>
      </c>
      <c r="N109" s="1342" t="str">
        <f t="shared" ref="N109" si="14">IF(M109="","",1*ROW())</f>
        <v/>
      </c>
      <c r="O109" s="2004" t="s">
        <v>873</v>
      </c>
      <c r="P109" s="2005">
        <f ca="1">P93</f>
        <v>0.5</v>
      </c>
      <c r="Q109" s="2005">
        <f ca="1">Q93</f>
        <v>0.6</v>
      </c>
    </row>
    <row r="110" spans="1:21" ht="17.850000000000001" customHeight="1" x14ac:dyDescent="0.25">
      <c r="A110" s="2243" t="s">
        <v>862</v>
      </c>
      <c r="B110" s="2244"/>
      <c r="C110" s="2244"/>
      <c r="D110" s="1091" t="str">
        <f ca="1">"Ø "&amp;TEXT(P112,"0,00%")</f>
        <v>Ø 0,00%</v>
      </c>
      <c r="E110" s="2244" t="s">
        <v>492</v>
      </c>
      <c r="F110" s="2244"/>
      <c r="G110" s="2244"/>
      <c r="H110" s="933">
        <f>IF(H97="Nein",0,SUM(H101:H109))</f>
        <v>0</v>
      </c>
      <c r="I110" s="438"/>
      <c r="J110" s="2229" t="str">
        <f>IF(COUNTIF((C101:C109),0)&lt;&gt;0,"Hinweis: Eintragung von 0,00 bei Anzahl gefunden.","")</f>
        <v/>
      </c>
      <c r="K110" s="2229"/>
      <c r="L110" s="2230"/>
      <c r="M110" s="1342" t="s">
        <v>568</v>
      </c>
      <c r="N110" s="1342">
        <f ca="1">MIN(N104:N109,ROW(M104))</f>
        <v>104</v>
      </c>
      <c r="O110" s="2006" t="s">
        <v>880</v>
      </c>
      <c r="P110" s="2007">
        <f ca="1">IFERROR(SUMPRODUCT(C101:C103,D101:D103)/SUM(C101:C103),0)</f>
        <v>0</v>
      </c>
      <c r="Q110" s="2007">
        <f ca="1">IFERROR(SUM(H101:H103)/SUM(C101:C103),0)</f>
        <v>0</v>
      </c>
    </row>
    <row r="111" spans="1:21" ht="20.100000000000001" customHeight="1" x14ac:dyDescent="0.25">
      <c r="A111" s="2430" t="s">
        <v>741</v>
      </c>
      <c r="B111" s="2431"/>
      <c r="C111" s="2431"/>
      <c r="D111" s="2431"/>
      <c r="E111" s="2431"/>
      <c r="F111" s="2431"/>
      <c r="G111" s="2431"/>
      <c r="H111" s="2431"/>
      <c r="I111" s="438"/>
      <c r="L111" s="216"/>
      <c r="M111" s="1342" t="s">
        <v>569</v>
      </c>
      <c r="N111" s="1342">
        <f ca="1">MAX(N104:N109,ROW(M104))</f>
        <v>104</v>
      </c>
      <c r="O111" s="2006" t="s">
        <v>872</v>
      </c>
      <c r="P111" s="2008">
        <f ca="1">IFERROR(SUMPRODUCT(C107:C109,G107:G109)/SUM(C107:C109),0)</f>
        <v>0</v>
      </c>
      <c r="Q111" s="2008">
        <f ca="1">P111</f>
        <v>0</v>
      </c>
    </row>
    <row r="112" spans="1:21" ht="17.850000000000001" customHeight="1" x14ac:dyDescent="0.25">
      <c r="A112" s="2489" t="s">
        <v>535</v>
      </c>
      <c r="B112" s="2172"/>
      <c r="C112" s="2172"/>
      <c r="D112" s="2172"/>
      <c r="E112" s="2172"/>
      <c r="F112" s="2172"/>
      <c r="G112" s="2172"/>
      <c r="H112" s="935">
        <f ca="1">SUM(H87,H95,H110)</f>
        <v>1.8</v>
      </c>
      <c r="I112" s="438"/>
      <c r="L112" s="216"/>
      <c r="O112" s="2004" t="s">
        <v>874</v>
      </c>
      <c r="P112" s="2009">
        <f ca="1">SUM(P110:P111)</f>
        <v>0</v>
      </c>
      <c r="Q112" s="2009">
        <f ca="1">SUM(Q110:Q111)</f>
        <v>0</v>
      </c>
    </row>
    <row r="113" spans="1:17" ht="17.850000000000001" customHeight="1" x14ac:dyDescent="0.25">
      <c r="A113" s="2490" t="str">
        <f ca="1">"Zwischenergebnis als Aufzahlungsprozentsatz pro Std bei "&amp;TEXT(C95,"0,00")&amp;" Std/Wo"</f>
        <v>Zwischenergebnis als Aufzahlungsprozentsatz pro Std bei 42,00 Std/Wo</v>
      </c>
      <c r="B113" s="2491"/>
      <c r="C113" s="2491"/>
      <c r="D113" s="2491"/>
      <c r="E113" s="2491"/>
      <c r="F113" s="2491"/>
      <c r="G113" s="2491"/>
      <c r="H113" s="932">
        <f ca="1">H112/C95</f>
        <v>4.2900000000000001E-2</v>
      </c>
      <c r="I113" s="438"/>
      <c r="L113" s="216"/>
      <c r="O113" s="2010" t="s">
        <v>871</v>
      </c>
      <c r="P113" s="2011">
        <f ca="1">SUM(P109,P112)</f>
        <v>0.5</v>
      </c>
      <c r="Q113" s="2011">
        <f ca="1">SUM(Q109,Q112)</f>
        <v>0.6</v>
      </c>
    </row>
    <row r="114" spans="1:17" ht="17.850000000000001" customHeight="1" thickBot="1" x14ac:dyDescent="0.3">
      <c r="A114" s="2421" t="s">
        <v>739</v>
      </c>
      <c r="B114" s="2432"/>
      <c r="C114" s="2432"/>
      <c r="D114" s="2432"/>
      <c r="E114" s="2432"/>
      <c r="F114" s="2432"/>
      <c r="G114" s="2432"/>
      <c r="H114" s="936"/>
      <c r="I114" s="578" t="str">
        <f>IF(H114&lt;&gt;0,"X","")</f>
        <v/>
      </c>
      <c r="J114" s="2433" t="str">
        <f>IF(AND(H114&lt;&gt;0,H97="Nein",H77="Nein"),"Hinweis: Ohne Kalkulation sollte keine Eingabe erfolgen! Im REPORT kann diese Eingabe nicht erfasst werden.","")</f>
        <v/>
      </c>
      <c r="K114" s="2433"/>
      <c r="L114" s="2434"/>
      <c r="P114" s="2012" t="s">
        <v>870</v>
      </c>
      <c r="Q114" s="2012" t="s">
        <v>869</v>
      </c>
    </row>
    <row r="115" spans="1:17" ht="17.850000000000001" customHeight="1" x14ac:dyDescent="0.25">
      <c r="A115" s="65" t="str">
        <f ca="1">IFERROR("C) Ergebnis Arbeitszeitzuschläge (K3 Zeile 8: € "&amp;TEXT(' K3 PP'!O26,"0,00")&amp;" pro Std) bzw in %",KALKULATION!$M$286)</f>
        <v>C) Ergebnis Arbeitszeitzuschläge (K3 Zeile 8: € 0,95 pro Std) bzw in %</v>
      </c>
      <c r="B115" s="72"/>
      <c r="C115" s="72"/>
      <c r="D115" s="47"/>
      <c r="E115" s="72"/>
      <c r="F115" s="72"/>
      <c r="G115" s="1886" t="s">
        <v>1109</v>
      </c>
      <c r="H115" s="934">
        <f ca="1">IF(H113=0,0,IF(G115=Q35,ROUNDUP(SUM(H113:H114),3),SUM(H113:H114)))</f>
        <v>4.2999999999999997E-2</v>
      </c>
      <c r="I115" s="438"/>
      <c r="J115" s="2433"/>
      <c r="K115" s="2433"/>
      <c r="L115" s="2434"/>
    </row>
    <row r="116" spans="1:17" ht="20.100000000000001" customHeight="1" x14ac:dyDescent="0.25">
      <c r="A116" s="2317" t="str">
        <f ca="1">A74</f>
        <v>Info: KV &amp; up.Z: 22,00€ | abgabepfl. Pers.ko: 28,00€ | vor Uml: 60,00€ | KOSTEN: 66,88€ | PREIS: 86,28€</v>
      </c>
      <c r="B116" s="2318"/>
      <c r="C116" s="2318"/>
      <c r="D116" s="2318"/>
      <c r="E116" s="2318"/>
      <c r="F116" s="2318"/>
      <c r="G116" s="2318"/>
      <c r="H116" s="2318"/>
      <c r="I116" s="438"/>
      <c r="J116" s="2884" t="str">
        <f ca="1">IF(AND(H113=0,H114&lt;&gt;0),"Zu C3.a: Keine Anpassung ohne Grundkalkulation (bzw Wert =0)!","")</f>
        <v/>
      </c>
      <c r="K116" s="2884"/>
      <c r="L116" s="2885"/>
    </row>
    <row r="117" spans="1:17" ht="17.25" customHeight="1" x14ac:dyDescent="0.25">
      <c r="A117" s="2351"/>
      <c r="B117" s="2352"/>
      <c r="C117" s="2352"/>
      <c r="D117" s="2352"/>
      <c r="E117" s="2352"/>
      <c r="F117" s="2352"/>
      <c r="G117" s="2352"/>
      <c r="H117" s="2352"/>
      <c r="I117" s="2352"/>
      <c r="L117" s="216"/>
    </row>
    <row r="118" spans="1:17" ht="25.15" customHeight="1" thickBot="1" x14ac:dyDescent="0.3">
      <c r="A118" s="2223" t="s">
        <v>496</v>
      </c>
      <c r="B118" s="2224"/>
      <c r="C118" s="2224"/>
      <c r="D118" s="2224"/>
      <c r="E118" s="2224"/>
      <c r="F118" s="2224"/>
      <c r="G118" s="2224"/>
      <c r="H118" s="2224"/>
      <c r="I118" s="438"/>
      <c r="L118" s="216"/>
      <c r="M118" s="1961" t="s">
        <v>574</v>
      </c>
      <c r="N118" s="1961" t="s">
        <v>570</v>
      </c>
      <c r="O118" s="1961"/>
      <c r="P118" s="1961"/>
    </row>
    <row r="119" spans="1:17" ht="20.100000000000001" customHeight="1" thickBot="1" x14ac:dyDescent="0.3">
      <c r="A119" s="2511" t="s">
        <v>497</v>
      </c>
      <c r="B119" s="2512"/>
      <c r="C119" s="2512"/>
      <c r="D119" s="2512"/>
      <c r="E119" s="2512"/>
      <c r="F119" s="2512"/>
      <c r="G119" s="2512"/>
      <c r="H119" s="2512"/>
      <c r="I119" s="438"/>
      <c r="L119" s="216"/>
      <c r="M119" s="1972" t="str">
        <f t="shared" ref="M119:M145" ca="1" si="15">IFERROR(INDIRECT("O"&amp;(SMALL(P$119:P$145,ROW(P119)-ROW(P$119)+1))),"")</f>
        <v>Aufsicht</v>
      </c>
      <c r="N119" s="1342">
        <f t="shared" ref="N119:N145" ca="1" si="16">IF(M119="","",ROW())</f>
        <v>119</v>
      </c>
      <c r="O119" s="1972" t="str">
        <f ca="1">IF(Stammdaten!A70=0,"",Stammdaten!A70)</f>
        <v>Aufsicht</v>
      </c>
      <c r="P119" s="1342">
        <f t="shared" ref="P119:P144" ca="1" si="17">IF(O119="","",1*ROW())</f>
        <v>119</v>
      </c>
    </row>
    <row r="120" spans="1:17" ht="16.5" thickBot="1" x14ac:dyDescent="0.3">
      <c r="A120" s="2802" t="s">
        <v>604</v>
      </c>
      <c r="B120" s="2803"/>
      <c r="C120" s="2300" t="s">
        <v>599</v>
      </c>
      <c r="D120" s="2300" t="s">
        <v>600</v>
      </c>
      <c r="E120" s="2798" t="s">
        <v>601</v>
      </c>
      <c r="F120" s="2799"/>
      <c r="G120" s="2798" t="s">
        <v>602</v>
      </c>
      <c r="H120" s="2799"/>
      <c r="I120" s="438"/>
      <c r="L120" s="216"/>
      <c r="M120" s="1972" t="str">
        <f t="shared" ca="1" si="15"/>
        <v>Schmutzzulage Aborte u Kanäle</v>
      </c>
      <c r="N120" s="1342">
        <f t="shared" ca="1" si="16"/>
        <v>120</v>
      </c>
      <c r="O120" s="1972" t="str">
        <f ca="1">IF(Stammdaten!A71=0,"",Stammdaten!A71)</f>
        <v>Schmutzzulage Aborte u Kanäle</v>
      </c>
      <c r="P120" s="1342">
        <f t="shared" ca="1" si="17"/>
        <v>120</v>
      </c>
    </row>
    <row r="121" spans="1:17" ht="16.149999999999999" customHeight="1" thickBot="1" x14ac:dyDescent="0.3">
      <c r="A121" s="2804"/>
      <c r="B121" s="2805"/>
      <c r="C121" s="2482"/>
      <c r="D121" s="2482"/>
      <c r="E121" s="2800" t="s">
        <v>100</v>
      </c>
      <c r="F121" s="2196" t="s">
        <v>603</v>
      </c>
      <c r="G121" s="2800" t="s">
        <v>100</v>
      </c>
      <c r="H121" s="2125" t="s">
        <v>603</v>
      </c>
      <c r="I121" s="438"/>
      <c r="L121" s="216"/>
      <c r="M121" s="1972" t="str">
        <f t="shared" ca="1" si="15"/>
        <v>Schmutzzulage Altlasten</v>
      </c>
      <c r="N121" s="1342">
        <f t="shared" ca="1" si="16"/>
        <v>121</v>
      </c>
      <c r="O121" s="1972" t="str">
        <f ca="1">IF(Stammdaten!A72=0,"",Stammdaten!A72)</f>
        <v>Schmutzzulage Altlasten</v>
      </c>
      <c r="P121" s="1342">
        <f t="shared" ca="1" si="17"/>
        <v>121</v>
      </c>
    </row>
    <row r="122" spans="1:17" ht="16.5" thickBot="1" x14ac:dyDescent="0.3">
      <c r="A122" s="2718" t="s">
        <v>318</v>
      </c>
      <c r="B122" s="2719"/>
      <c r="C122" s="2301"/>
      <c r="D122" s="2301"/>
      <c r="E122" s="2801"/>
      <c r="F122" s="2198"/>
      <c r="G122" s="2801"/>
      <c r="H122" s="2127"/>
      <c r="I122" s="438"/>
      <c r="L122" s="216"/>
      <c r="M122" s="1972" t="str">
        <f t="shared" ca="1" si="15"/>
        <v>Asphaltierng in Tiefgarage o Lüftung</v>
      </c>
      <c r="N122" s="1342">
        <f t="shared" ca="1" si="16"/>
        <v>122</v>
      </c>
      <c r="O122" s="1972" t="str">
        <f ca="1">IF(Stammdaten!A73=0,"",Stammdaten!A73)</f>
        <v>Asphaltierng in Tiefgarage o Lüftung</v>
      </c>
      <c r="P122" s="1342">
        <f t="shared" ca="1" si="17"/>
        <v>122</v>
      </c>
    </row>
    <row r="123" spans="1:17" ht="28.5" customHeight="1" thickTop="1" thickBot="1" x14ac:dyDescent="0.3">
      <c r="A123" s="2492" t="s">
        <v>1137</v>
      </c>
      <c r="B123" s="2708"/>
      <c r="C123" s="329">
        <v>1</v>
      </c>
      <c r="D123" s="329">
        <v>0.15</v>
      </c>
      <c r="E123" s="136">
        <f ca="1">IF(L$27="",IF(ISBLANK(A123),"",IFERROR(VLOOKUP(A123,Stammdaten!$A$70:$C$96,3,FALSE),KALKULATION!$M$283)),"ungültig")</f>
        <v>0</v>
      </c>
      <c r="F123" s="137">
        <f t="shared" ref="F123:F129" ca="1" si="18">IFERROR(C123*D123*E123,"")</f>
        <v>0</v>
      </c>
      <c r="G123" s="138">
        <f ca="1">IFERROR(VLOOKUP(A123,Stammdaten!$A$70:$C$96,2,FALSE),"")</f>
        <v>0.15</v>
      </c>
      <c r="H123" s="937">
        <f t="shared" ref="H123:H129" ca="1" si="19">IFERROR(C123*D123*G123,"")</f>
        <v>2.2499999999999999E-2</v>
      </c>
      <c r="I123" s="438"/>
      <c r="J123" s="1329" t="str">
        <f ca="1">IF(C123&lt;&gt;0,"Info (A): Betriff "&amp;TEXT(C123*E$61,"0,0")&amp;" von "&amp;TEXT(E$61,"0,0")&amp;" prod. Personen.","")</f>
        <v>Info (A): Betriff 6,3 von 6,3 prod. Personen.</v>
      </c>
      <c r="K123" s="2178" t="str">
        <f ca="1">IF(OR(COUNTA(A123,C123,D123)=3,COUNTA(A123,C123,D123)=0),IF(E123=KALKULATION!$M$283,"Auswahl erneut vornehmen (ungültiger Verweis)!",IF(AND(A123&lt;&gt;"",SUM(F123,H123)=0),"Wert in Spalte A oder B ist (nahe) 0; kein Ergebnis!","")),"Eingabe unvollständig (ergänzen oder löschen)!")</f>
        <v/>
      </c>
      <c r="L123" s="2179"/>
      <c r="M123" s="1972" t="str">
        <f t="shared" ca="1" si="15"/>
        <v>Abbrucharb. / Staubentwicklung</v>
      </c>
      <c r="N123" s="1342">
        <f t="shared" ca="1" si="16"/>
        <v>123</v>
      </c>
      <c r="O123" s="1972" t="str">
        <f ca="1">IF(Stammdaten!A74=0,"",Stammdaten!A74)</f>
        <v>Abbrucharb. / Staubentwicklung</v>
      </c>
      <c r="P123" s="1342">
        <f t="shared" ca="1" si="17"/>
        <v>123</v>
      </c>
    </row>
    <row r="124" spans="1:17" ht="28.5" customHeight="1" thickBot="1" x14ac:dyDescent="0.3">
      <c r="A124" s="2368"/>
      <c r="B124" s="2467"/>
      <c r="C124" s="330"/>
      <c r="D124" s="330"/>
      <c r="E124" s="136" t="str">
        <f ca="1">IF(L$27="",IF(ISBLANK(A124),"",IFERROR(VLOOKUP(A124,Stammdaten!$A$70:$C$96,3,FALSE),KALKULATION!$M$283)),"ungültig")</f>
        <v/>
      </c>
      <c r="F124" s="55" t="str">
        <f t="shared" ca="1" si="18"/>
        <v/>
      </c>
      <c r="G124" s="138">
        <f ca="1">IFERROR(VLOOKUP(A124,Stammdaten!$A$70:$C$96,2,FALSE),"")</f>
        <v>0</v>
      </c>
      <c r="H124" s="938">
        <f t="shared" ca="1" si="19"/>
        <v>0</v>
      </c>
      <c r="I124" s="438"/>
      <c r="J124" s="1330" t="str">
        <f t="shared" ref="J124:J129" si="20">IF(C124&lt;&gt;0,"Info (A): Betriff "&amp;TEXT(C124*E$61,"0,0")&amp;" von "&amp;TEXT(E$61,"0,0")&amp;" prod. Personen.","")</f>
        <v/>
      </c>
      <c r="K124" s="2178" t="str">
        <f ca="1">IF(OR(COUNTA(A124,C124,D124)=3,COUNTA(A124,C124,D124)=0),IF(E124=KALKULATION!$M$283,"Auswahl erneut vornehmen (ungültiger Verweis)!",IF(AND(A124&lt;&gt;"",SUM(F124,H124)=0),"Wert in Spalte A oder B ist (nahe) 0; kein Ergebnis!","")),"Eingabe unvollständig (ergänzen oder löschen)!")</f>
        <v/>
      </c>
      <c r="L124" s="2179"/>
      <c r="M124" s="1972" t="str">
        <f t="shared" ca="1" si="15"/>
        <v>Trockenbohrungen</v>
      </c>
      <c r="N124" s="1342">
        <f t="shared" ca="1" si="16"/>
        <v>124</v>
      </c>
      <c r="O124" s="1972" t="str">
        <f ca="1">IF(Stammdaten!A75=0,"",Stammdaten!A75)</f>
        <v>Trockenbohrungen</v>
      </c>
      <c r="P124" s="1342">
        <f t="shared" ca="1" si="17"/>
        <v>124</v>
      </c>
    </row>
    <row r="125" spans="1:17" ht="28.5" customHeight="1" thickBot="1" x14ac:dyDescent="0.3">
      <c r="A125" s="2368"/>
      <c r="B125" s="2467"/>
      <c r="C125" s="330"/>
      <c r="D125" s="330"/>
      <c r="E125" s="136" t="str">
        <f ca="1">IF(L$27="",IF(ISBLANK(A125),"",IFERROR(VLOOKUP(A125,Stammdaten!$A$70:$C$96,3,FALSE),KALKULATION!$M$283)),"ungültig")</f>
        <v/>
      </c>
      <c r="F125" s="55" t="str">
        <f t="shared" ca="1" si="18"/>
        <v/>
      </c>
      <c r="G125" s="138">
        <f ca="1">IFERROR(VLOOKUP(A125,Stammdaten!$A$70:$C$96,2,FALSE),"")</f>
        <v>0</v>
      </c>
      <c r="H125" s="938">
        <f t="shared" ca="1" si="19"/>
        <v>0</v>
      </c>
      <c r="I125" s="438"/>
      <c r="J125" s="1330" t="str">
        <f t="shared" si="20"/>
        <v/>
      </c>
      <c r="K125" s="2178" t="str">
        <f ca="1">IF(OR(COUNTA(A125,C125,D125)=3,COUNTA(A125,C125,D125)=0),IF(E125=KALKULATION!$M$283,"Auswahl erneut vornehmen (ungültiger Verweis)!",IF(AND(A125&lt;&gt;"",SUM(F125,H125)=0),"Wert in Spalte A oder B ist (nahe) 0; kein Ergebnis!","")),"Eingabe unvollständig (ergänzen oder löschen)!")</f>
        <v/>
      </c>
      <c r="L125" s="2179"/>
      <c r="M125" s="1972" t="str">
        <f t="shared" ca="1" si="15"/>
        <v>Erschütterung - Bohrhämmer &gt;6,5kg</v>
      </c>
      <c r="N125" s="1342">
        <f t="shared" ca="1" si="16"/>
        <v>125</v>
      </c>
      <c r="O125" s="1972" t="str">
        <f ca="1">IF(Stammdaten!A76=0,"",Stammdaten!A76)</f>
        <v>Erschütterung - Bohrhämmer &gt;6,5kg</v>
      </c>
      <c r="P125" s="1342">
        <f t="shared" ca="1" si="17"/>
        <v>125</v>
      </c>
    </row>
    <row r="126" spans="1:17" ht="28.5" customHeight="1" thickBot="1" x14ac:dyDescent="0.3">
      <c r="A126" s="2368"/>
      <c r="B126" s="2467"/>
      <c r="C126" s="330"/>
      <c r="D126" s="330"/>
      <c r="E126" s="136" t="str">
        <f ca="1">IF(L$27="",IF(ISBLANK(A126),"",IFERROR(VLOOKUP(A126,Stammdaten!$A$70:$C$96,3,FALSE),KALKULATION!$M$283)),"ungültig")</f>
        <v/>
      </c>
      <c r="F126" s="55" t="str">
        <f t="shared" ca="1" si="18"/>
        <v/>
      </c>
      <c r="G126" s="138">
        <f ca="1">IFERROR(VLOOKUP(A126,Stammdaten!$A$70:$C$96,2,FALSE),"")</f>
        <v>0</v>
      </c>
      <c r="H126" s="938">
        <f t="shared" ca="1" si="19"/>
        <v>0</v>
      </c>
      <c r="I126" s="438"/>
      <c r="J126" s="1330" t="str">
        <f t="shared" si="20"/>
        <v/>
      </c>
      <c r="K126" s="2178" t="str">
        <f ca="1">IF(OR(COUNTA(A126,C126,D126)=3,COUNTA(A126,C126,D126)=0),IF(E126=KALKULATION!$M$283,"Auswahl erneut vornehmen (ungültiger Verweis)!",IF(AND(A126&lt;&gt;"",SUM(F126,H126)=0),"Wert in Spalte A oder B ist (nahe) 0; kein Ergebnis!","")),"Eingabe unvollständig (ergänzen oder löschen)!")</f>
        <v/>
      </c>
      <c r="L126" s="2179"/>
      <c r="M126" s="1972" t="str">
        <f t="shared" ca="1" si="15"/>
        <v>Erschütterung - Bohrhämmer &gt;10kg</v>
      </c>
      <c r="N126" s="1342">
        <f t="shared" ca="1" si="16"/>
        <v>126</v>
      </c>
      <c r="O126" s="1972" t="str">
        <f ca="1">IF(Stammdaten!A77=0,"",Stammdaten!A77)</f>
        <v>Erschütterung - Bohrhämmer &gt;10kg</v>
      </c>
      <c r="P126" s="1342">
        <f t="shared" ca="1" si="17"/>
        <v>126</v>
      </c>
    </row>
    <row r="127" spans="1:17" ht="28.5" customHeight="1" thickBot="1" x14ac:dyDescent="0.3">
      <c r="A127" s="2368"/>
      <c r="B127" s="2467"/>
      <c r="C127" s="330"/>
      <c r="D127" s="330"/>
      <c r="E127" s="136" t="str">
        <f ca="1">IF(L$27="",IF(ISBLANK(A127),"",IFERROR(VLOOKUP(A127,Stammdaten!$A$70:$C$96,3,FALSE),KALKULATION!$M$283)),"ungültig")</f>
        <v/>
      </c>
      <c r="F127" s="55" t="str">
        <f t="shared" ca="1" si="18"/>
        <v/>
      </c>
      <c r="G127" s="138">
        <f ca="1">IFERROR(VLOOKUP(A127,Stammdaten!$A$70:$C$96,2,FALSE),"")</f>
        <v>0</v>
      </c>
      <c r="H127" s="938">
        <f t="shared" ca="1" si="19"/>
        <v>0</v>
      </c>
      <c r="I127" s="438"/>
      <c r="J127" s="1330" t="str">
        <f t="shared" si="20"/>
        <v/>
      </c>
      <c r="K127" s="2178" t="str">
        <f ca="1">IF(OR(COUNTA(A127,C127,D127)=3,COUNTA(A127,C127,D127)=0),IF(E127=KALKULATION!$M$283,"Auswahl erneut vornehmen (ungültiger Verweis)!",IF(AND(A127&lt;&gt;"",SUM(F127,H127)=0),"Wert in Spalte A oder B ist (nahe) 0; kein Ergebnis!","")),"Eingabe unvollständig (ergänzen oder löschen)!")</f>
        <v/>
      </c>
      <c r="L127" s="2179"/>
      <c r="M127" s="1972" t="str">
        <f t="shared" ca="1" si="15"/>
        <v>Gerüstarbeiten</v>
      </c>
      <c r="N127" s="1342">
        <f t="shared" ca="1" si="16"/>
        <v>127</v>
      </c>
      <c r="O127" s="1972" t="str">
        <f ca="1">IF(Stammdaten!A78=0,"",Stammdaten!A78)</f>
        <v>Gerüstarbeiten</v>
      </c>
      <c r="P127" s="1342">
        <f t="shared" ca="1" si="17"/>
        <v>127</v>
      </c>
    </row>
    <row r="128" spans="1:17" ht="28.5" customHeight="1" thickBot="1" x14ac:dyDescent="0.3">
      <c r="A128" s="2368"/>
      <c r="B128" s="2467"/>
      <c r="C128" s="330"/>
      <c r="D128" s="330"/>
      <c r="E128" s="136" t="str">
        <f ca="1">IF(L$27="",IF(ISBLANK(A128),"",IFERROR(VLOOKUP(A128,Stammdaten!$A$70:$C$96,3,FALSE),KALKULATION!$M$283)),"ungültig")</f>
        <v/>
      </c>
      <c r="F128" s="55" t="str">
        <f t="shared" ca="1" si="18"/>
        <v/>
      </c>
      <c r="G128" s="138">
        <f ca="1">IFERROR(VLOOKUP(A128,Stammdaten!$A$70:$C$96,2,FALSE),"")</f>
        <v>0</v>
      </c>
      <c r="H128" s="938">
        <f t="shared" ca="1" si="19"/>
        <v>0</v>
      </c>
      <c r="I128" s="438"/>
      <c r="J128" s="1330" t="str">
        <f t="shared" si="20"/>
        <v/>
      </c>
      <c r="K128" s="2178" t="str">
        <f ca="1">IF(OR(COUNTA(A128,C128,D128)=3,COUNTA(A128,C128,D128)=0),IF(E128=KALKULATION!$M$283,"Auswahl erneut vornehmen (ungültiger Verweis)!",IF(AND(A128&lt;&gt;"",SUM(F128,H128)=0),"Wert in Spalte A oder B ist (nahe) 0; kein Ergebnis!","")),"Eingabe unvollständig (ergänzen oder löschen)!")</f>
        <v/>
      </c>
      <c r="L128" s="2179"/>
      <c r="M128" s="1972" t="str">
        <f t="shared" ca="1" si="15"/>
        <v>Arbeiten Gebirge 1200-1600m</v>
      </c>
      <c r="N128" s="1342">
        <f t="shared" ca="1" si="16"/>
        <v>128</v>
      </c>
      <c r="O128" s="1972" t="str">
        <f ca="1">IF(Stammdaten!A79=0,"",Stammdaten!A79)</f>
        <v>Arbeiten Gebirge 1200-1600m</v>
      </c>
      <c r="P128" s="1342">
        <f t="shared" ca="1" si="17"/>
        <v>128</v>
      </c>
    </row>
    <row r="129" spans="1:16" ht="28.5" customHeight="1" thickBot="1" x14ac:dyDescent="0.3">
      <c r="A129" s="2461"/>
      <c r="B129" s="2462"/>
      <c r="C129" s="331"/>
      <c r="D129" s="331"/>
      <c r="E129" s="136" t="str">
        <f ca="1">IF(L$27="",IF(ISBLANK(A129),"",IFERROR(VLOOKUP(A129,Stammdaten!$A$70:$C$96,3,FALSE),KALKULATION!$M$283)),"ungültig")</f>
        <v/>
      </c>
      <c r="F129" s="214" t="str">
        <f t="shared" ca="1" si="18"/>
        <v/>
      </c>
      <c r="G129" s="215">
        <f ca="1">IFERROR(VLOOKUP(A129,Stammdaten!$A$70:$C$96,2,FALSE),"")</f>
        <v>0</v>
      </c>
      <c r="H129" s="939">
        <f t="shared" ca="1" si="19"/>
        <v>0</v>
      </c>
      <c r="I129" s="438"/>
      <c r="J129" s="1330" t="str">
        <f t="shared" si="20"/>
        <v/>
      </c>
      <c r="K129" s="2178" t="str">
        <f ca="1">IF(OR(COUNTA(A129,C129,D129)=3,COUNTA(A129,C129,D129)=0),IF(E129=KALKULATION!$M$283,"Auswahl erneut vornehmen (ungültiger Verweis)!",IF(AND(A129&lt;&gt;"",SUM(F129,H129)=0),"Wert in Spalte A oder B ist (nahe) 0; kein Ergebnis!","")),"Eingabe unvollständig (ergänzen oder löschen)!")</f>
        <v/>
      </c>
      <c r="L129" s="2179"/>
      <c r="M129" s="1972" t="str">
        <f t="shared" ca="1" si="15"/>
        <v>Künettenarbeiten -4m Tiefe</v>
      </c>
      <c r="N129" s="1342">
        <f t="shared" ca="1" si="16"/>
        <v>129</v>
      </c>
      <c r="O129" s="1972" t="str">
        <f ca="1">IF(Stammdaten!A80=0,"",Stammdaten!A80)</f>
        <v>Künettenarbeiten -4m Tiefe</v>
      </c>
      <c r="P129" s="1342">
        <f t="shared" ca="1" si="17"/>
        <v>129</v>
      </c>
    </row>
    <row r="130" spans="1:16" ht="17.850000000000001" customHeight="1" thickBot="1" x14ac:dyDescent="0.3">
      <c r="A130" s="2361" t="s">
        <v>919</v>
      </c>
      <c r="B130" s="2362"/>
      <c r="C130" s="2362"/>
      <c r="D130" s="2363"/>
      <c r="E130" s="344"/>
      <c r="F130" s="214">
        <f ca="1">SUM(F123:F129)</f>
        <v>0</v>
      </c>
      <c r="G130" s="344"/>
      <c r="H130" s="940">
        <f ca="1">SUM(H123:H129)</f>
        <v>2.2499999999999999E-2</v>
      </c>
      <c r="I130" s="438"/>
      <c r="J130" s="267"/>
      <c r="L130" s="216"/>
      <c r="M130" s="1972" t="str">
        <f t="shared" ca="1" si="15"/>
        <v>Künettenarbeiten &gt;4m Tiefe</v>
      </c>
      <c r="N130" s="1342">
        <f t="shared" ca="1" si="16"/>
        <v>130</v>
      </c>
      <c r="O130" s="1972" t="str">
        <f ca="1">IF(Stammdaten!A81=0,"",Stammdaten!A81)</f>
        <v>Künettenarbeiten &gt;4m Tiefe</v>
      </c>
      <c r="P130" s="1342">
        <f t="shared" ca="1" si="17"/>
        <v>130</v>
      </c>
    </row>
    <row r="131" spans="1:16" ht="17.850000000000001" customHeight="1" thickBot="1" x14ac:dyDescent="0.3">
      <c r="A131" s="2548" t="s">
        <v>984</v>
      </c>
      <c r="B131" s="2549"/>
      <c r="C131" s="2549"/>
      <c r="D131" s="2440"/>
      <c r="E131" s="2441"/>
      <c r="F131" s="559" t="s">
        <v>107</v>
      </c>
      <c r="G131" s="869">
        <f>IFERROR(IF(F131=_KV_AKV_Entg.,G$80,1),"")</f>
        <v>1</v>
      </c>
      <c r="H131" s="937">
        <f ca="1">IFERROR(G131*H130,"")</f>
        <v>2.2499999999999999E-2</v>
      </c>
      <c r="I131" s="577"/>
      <c r="J131" s="2176" t="str">
        <f>IF(ISBLANK(F131),"Auswahl vornehmen!","")</f>
        <v/>
      </c>
      <c r="K131" s="2176"/>
      <c r="L131" s="216"/>
      <c r="M131" s="1972" t="str">
        <f t="shared" ca="1" si="15"/>
        <v>Fließverkehrzulage</v>
      </c>
      <c r="N131" s="1342">
        <f t="shared" ca="1" si="16"/>
        <v>131</v>
      </c>
      <c r="O131" s="1972" t="str">
        <f ca="1">IF(Stammdaten!A82=0,"",Stammdaten!A82)</f>
        <v>Fließverkehrzulage</v>
      </c>
      <c r="P131" s="1342">
        <f t="shared" ca="1" si="17"/>
        <v>131</v>
      </c>
    </row>
    <row r="132" spans="1:16" ht="17.850000000000001" customHeight="1" thickBot="1" x14ac:dyDescent="0.3">
      <c r="A132" s="70"/>
      <c r="B132" s="71"/>
      <c r="C132" s="71"/>
      <c r="D132" s="2507" t="s">
        <v>132</v>
      </c>
      <c r="E132" s="2508"/>
      <c r="F132" s="198">
        <f ca="1">SUM(F123:F129)</f>
        <v>0</v>
      </c>
      <c r="G132" s="2749"/>
      <c r="H132" s="2527">
        <f ca="1">IFERROR(F132/F133,"")</f>
        <v>0</v>
      </c>
      <c r="I132" s="438"/>
      <c r="L132" s="216"/>
      <c r="M132" s="1972" t="str">
        <f t="shared" ca="1" si="15"/>
        <v>Zulagenpauschale KV §6 III Z 1 lit a</v>
      </c>
      <c r="N132" s="1342">
        <f t="shared" ca="1" si="16"/>
        <v>132</v>
      </c>
      <c r="O132" s="1972" t="str">
        <f ca="1">IF(Stammdaten!A83=0,"",Stammdaten!A83)</f>
        <v>Zulagenpauschale KV §6 III Z 1 lit a</v>
      </c>
      <c r="P132" s="1342">
        <f t="shared" ca="1" si="17"/>
        <v>132</v>
      </c>
    </row>
    <row r="133" spans="1:16" ht="17.850000000000001" customHeight="1" thickBot="1" x14ac:dyDescent="0.3">
      <c r="A133" s="68"/>
      <c r="B133" s="69"/>
      <c r="C133" s="69"/>
      <c r="D133" s="2548" t="s">
        <v>120</v>
      </c>
      <c r="E133" s="2549"/>
      <c r="F133" s="197">
        <f ca="1">G45</f>
        <v>20</v>
      </c>
      <c r="G133" s="2530"/>
      <c r="H133" s="2528"/>
      <c r="I133" s="438"/>
      <c r="L133" s="216"/>
      <c r="M133" s="1972" t="str">
        <f t="shared" ca="1" si="15"/>
        <v>Zulagenpauschale KV §6 III Z 1 lit b</v>
      </c>
      <c r="N133" s="1342">
        <f t="shared" ca="1" si="16"/>
        <v>133</v>
      </c>
      <c r="O133" s="1972" t="str">
        <f ca="1">IF(Stammdaten!A84=0,"",Stammdaten!A84)</f>
        <v>Zulagenpauschale KV §6 III Z 1 lit b</v>
      </c>
      <c r="P133" s="1342">
        <f t="shared" ca="1" si="17"/>
        <v>133</v>
      </c>
    </row>
    <row r="134" spans="1:16" ht="17.850000000000001" customHeight="1" thickBot="1" x14ac:dyDescent="0.3">
      <c r="A134" s="2496" t="s">
        <v>755</v>
      </c>
      <c r="B134" s="2497"/>
      <c r="C134" s="2497"/>
      <c r="D134" s="2497"/>
      <c r="E134" s="2497"/>
      <c r="F134" s="2362" t="str">
        <f ca="1">IF(H138=0,"","(inkl "&amp;TEXT(H138,"0,00%")&amp;" aus D1.b1)")</f>
        <v>(inkl 0,14% aus D1.b1)</v>
      </c>
      <c r="G134" s="2362"/>
      <c r="H134" s="1036">
        <f ca="1">IF(_OK?="OK!",SUM(H131:H133,H138),ROUND(SUM(H131:H133,H138,0.01),2))</f>
        <v>0.03</v>
      </c>
      <c r="I134" s="438"/>
      <c r="J134" s="271" t="str">
        <f ca="1">IF(_OK?&lt;&gt;"OK!","Wegen fehlender Lizenz aufgerundet!","")</f>
        <v>Wegen fehlender Lizenz aufgerundet!</v>
      </c>
      <c r="L134" s="216"/>
      <c r="M134" s="1972" t="str">
        <f t="shared" ca="1" si="15"/>
        <v>Zulage Feuerungst. (§5 Abs 1 1d)</v>
      </c>
      <c r="N134" s="1342">
        <f t="shared" ca="1" si="16"/>
        <v>134</v>
      </c>
      <c r="O134" s="1972" t="str">
        <f ca="1">IF(Stammdaten!A85=0,"",Stammdaten!A85)</f>
        <v/>
      </c>
      <c r="P134" s="1342" t="str">
        <f t="shared" ca="1" si="17"/>
        <v/>
      </c>
    </row>
    <row r="135" spans="1:16" ht="17.850000000000001" customHeight="1" thickBot="1" x14ac:dyDescent="0.3">
      <c r="A135" s="439" t="s">
        <v>920</v>
      </c>
      <c r="B135" s="323"/>
      <c r="C135" s="322"/>
      <c r="D135" s="322"/>
      <c r="E135" s="322"/>
      <c r="F135" s="322"/>
      <c r="G135" s="322"/>
      <c r="H135" s="645"/>
      <c r="I135" s="438"/>
      <c r="K135" s="2167" t="str">
        <f ca="1">IF(AND(H130=0,F137&lt;&gt;0),"Hinweis zu D1.b: Da in D1.a keine Zulage in % gewählt ist, bitte prüfen, ob die Einstellung für die Basis mit ["&amp;F131&amp;"] in D1.a1 korrekt ist. Sie wird für D1.b übernommen.","")</f>
        <v/>
      </c>
      <c r="L135" s="2168"/>
      <c r="M135" s="1972" t="str">
        <f t="shared" ca="1" si="15"/>
        <v xml:space="preserve"># mit den weiteren relevanten Zulagen </v>
      </c>
      <c r="N135" s="1342">
        <f t="shared" ca="1" si="16"/>
        <v>135</v>
      </c>
      <c r="O135" s="1972" t="str">
        <f ca="1">IF(Stammdaten!A86=0,"",Stammdaten!A86)</f>
        <v/>
      </c>
      <c r="P135" s="1342" t="str">
        <f t="shared" ca="1" si="17"/>
        <v/>
      </c>
    </row>
    <row r="136" spans="1:16" ht="17.850000000000001" customHeight="1" thickBot="1" x14ac:dyDescent="0.3">
      <c r="A136" s="2509" t="s">
        <v>318</v>
      </c>
      <c r="B136" s="2510"/>
      <c r="C136" s="343" t="s">
        <v>6</v>
      </c>
      <c r="D136" s="343" t="s">
        <v>7</v>
      </c>
      <c r="E136" s="942" t="s">
        <v>914</v>
      </c>
      <c r="F136" s="942" t="s">
        <v>915</v>
      </c>
      <c r="G136" s="2428" t="s">
        <v>916</v>
      </c>
      <c r="H136" s="2429"/>
      <c r="I136" s="438"/>
      <c r="K136" s="2167"/>
      <c r="L136" s="2168"/>
      <c r="M136" s="1972" t="str">
        <f t="shared" ca="1" si="15"/>
        <v># gem KollV ergänzen</v>
      </c>
      <c r="N136" s="1342">
        <f t="shared" ca="1" si="16"/>
        <v>136</v>
      </c>
      <c r="O136" s="1972" t="str">
        <f ca="1">IF(Stammdaten!A87=0,"",Stammdaten!A87)</f>
        <v/>
      </c>
      <c r="P136" s="1342" t="str">
        <f t="shared" ca="1" si="17"/>
        <v/>
      </c>
    </row>
    <row r="137" spans="1:16" ht="28.5" customHeight="1" thickTop="1" thickBot="1" x14ac:dyDescent="0.3">
      <c r="A137" s="2185" t="s">
        <v>1138</v>
      </c>
      <c r="B137" s="2186"/>
      <c r="C137" s="1124">
        <v>0.3</v>
      </c>
      <c r="D137" s="1124">
        <v>0.15</v>
      </c>
      <c r="E137" s="1125">
        <f ca="1">IF(A137="","",IF(L$27="",IFERROR(VLOOKUP(A137,Stammdaten!$A$70:$C$96,3,FALSE),M283),"ungültig"))</f>
        <v>0</v>
      </c>
      <c r="F137" s="1126">
        <f ca="1">IFERROR(VLOOKUP(A137,Stammdaten!$A$70:$C$96,2,FALSE),"")</f>
        <v>0.1</v>
      </c>
      <c r="G137" s="1125">
        <f ca="1">(C137*D137*IFERROR(SUM(E137,F137*F133*G131),0))</f>
        <v>0.09</v>
      </c>
      <c r="H137" s="1127">
        <f ca="1">(C137*D137*IFERROR(SUM(E137/F133,F137*G131),0))</f>
        <v>4.4999999999999997E-3</v>
      </c>
      <c r="I137" s="438"/>
      <c r="J137" s="1206" t="str">
        <f ca="1">IF(C137&lt;&gt;0,"Info (A): Betriff "&amp;TEXT(C137*E$61,"0,0")&amp;" von "&amp;TEXT(E$61,"0,0")&amp;" prod. Personen.","")</f>
        <v>Info (A): Betriff 1,9 von 6,3 prod. Personen.</v>
      </c>
      <c r="K137" s="2167"/>
      <c r="L137" s="2168"/>
      <c r="M137" s="1972" t="str">
        <f t="shared" ca="1" si="15"/>
        <v># Zusatz KV bei A5.c erfassen!</v>
      </c>
      <c r="N137" s="1342">
        <f t="shared" ca="1" si="16"/>
        <v>137</v>
      </c>
      <c r="O137" s="1972" t="str">
        <f ca="1">IF(Stammdaten!A88=0,"",Stammdaten!A88)</f>
        <v/>
      </c>
      <c r="P137" s="1342" t="str">
        <f t="shared" ca="1" si="17"/>
        <v/>
      </c>
    </row>
    <row r="138" spans="1:16" ht="17.850000000000001" customHeight="1" thickBot="1" x14ac:dyDescent="0.3">
      <c r="A138" s="390" t="s">
        <v>970</v>
      </c>
      <c r="B138" s="1001"/>
      <c r="C138" s="1001"/>
      <c r="D138" s="67"/>
      <c r="E138" s="865" t="s">
        <v>917</v>
      </c>
      <c r="F138" s="337">
        <v>0.3</v>
      </c>
      <c r="G138" s="67" t="s">
        <v>918</v>
      </c>
      <c r="H138" s="1128">
        <f ca="1">IFERROR(F138*H137,"")</f>
        <v>1.3500000000000001E-3</v>
      </c>
      <c r="I138" s="438"/>
      <c r="J138" s="2178" t="str">
        <f ca="1">IF(OR(COUNTA(A137,C137,D137)=3,COUNTA(A137,C137,D137)=0),IF(E137=KALKULATION!$M$283,"Auswahl oben erneut vornehmen (ungültiger Verweis)!",IF(AND(A137&lt;&gt;"",SUM(H137)=0),"Wert in Spalte A oder B ist (nahe) 0; kein Ergebnis!","")),"Eingabe oben unvollständig (ergänzen oder löschen)!")</f>
        <v/>
      </c>
      <c r="K138" s="2178"/>
      <c r="L138" s="2179"/>
      <c r="M138" s="1972" t="str">
        <f t="shared" ca="1" si="15"/>
        <v/>
      </c>
      <c r="N138" s="1342" t="str">
        <f t="shared" ca="1" si="16"/>
        <v/>
      </c>
      <c r="O138" s="1972" t="str">
        <f ca="1">IF(Stammdaten!A89=0,"",Stammdaten!A89)</f>
        <v>Zulage Feuerungst. (§5 Abs 1 1d)</v>
      </c>
      <c r="P138" s="1342">
        <f t="shared" ca="1" si="17"/>
        <v>138</v>
      </c>
    </row>
    <row r="139" spans="1:16" ht="17.850000000000001" customHeight="1" thickBot="1" x14ac:dyDescent="0.3">
      <c r="A139" s="1308" t="s">
        <v>1086</v>
      </c>
      <c r="B139" s="1309"/>
      <c r="C139" s="1309"/>
      <c r="D139" s="1309"/>
      <c r="E139" s="1309"/>
      <c r="F139" s="1331"/>
      <c r="G139" s="1129">
        <f ca="1">IFERROR(G137*(1-F138),"")</f>
        <v>6.3E-2</v>
      </c>
      <c r="I139" s="438"/>
      <c r="L139" s="216"/>
      <c r="M139" s="1972" t="str">
        <f t="shared" ca="1" si="15"/>
        <v/>
      </c>
      <c r="N139" s="1342" t="str">
        <f t="shared" ca="1" si="16"/>
        <v/>
      </c>
      <c r="O139" s="1972" t="str">
        <f ca="1">IF(Stammdaten!A90=0,"",Stammdaten!A90)</f>
        <v/>
      </c>
      <c r="P139" s="1342" t="str">
        <f t="shared" ca="1" si="17"/>
        <v/>
      </c>
    </row>
    <row r="140" spans="1:16" ht="17.850000000000001" customHeight="1" thickBot="1" x14ac:dyDescent="0.3">
      <c r="A140" s="2503"/>
      <c r="B140" s="2504"/>
      <c r="C140" s="2504"/>
      <c r="D140" s="2504"/>
      <c r="E140" s="2504"/>
      <c r="F140" s="2504"/>
      <c r="G140" s="2504"/>
      <c r="H140" s="2504"/>
      <c r="I140" s="438"/>
      <c r="J140" s="2646" t="str">
        <f ca="1">IF(AND(H142="",SUM(E55)&gt;0),"Auswahl für die Kalkulation der Zulagen treffen!","")</f>
        <v/>
      </c>
      <c r="K140" s="2646"/>
      <c r="L140" s="2647"/>
      <c r="M140" s="1972" t="str">
        <f t="shared" ca="1" si="15"/>
        <v/>
      </c>
      <c r="N140" s="1342" t="str">
        <f t="shared" ca="1" si="16"/>
        <v/>
      </c>
      <c r="O140" s="1972" t="str">
        <f ca="1">IF(Stammdaten!A91=0,"",Stammdaten!A91)</f>
        <v xml:space="preserve"># mit den weiteren relevanten Zulagen </v>
      </c>
      <c r="P140" s="1342">
        <f t="shared" ca="1" si="17"/>
        <v>140</v>
      </c>
    </row>
    <row r="141" spans="1:16" ht="20.100000000000001" customHeight="1" thickBot="1" x14ac:dyDescent="0.3">
      <c r="A141" s="2515" t="s">
        <v>498</v>
      </c>
      <c r="B141" s="2516"/>
      <c r="C141" s="2516"/>
      <c r="D141" s="2516"/>
      <c r="E141" s="2514" t="str">
        <f ca="1">(IF(SUM($E$55)=0,"Info: In B2.a kein unproduktives Personal angesetzt.",""))</f>
        <v/>
      </c>
      <c r="F141" s="2514"/>
      <c r="G141" s="2514"/>
      <c r="H141" s="2514"/>
      <c r="I141" s="2514"/>
      <c r="J141" s="2646"/>
      <c r="K141" s="2646"/>
      <c r="L141" s="2647"/>
      <c r="M141" s="1972" t="str">
        <f t="shared" ca="1" si="15"/>
        <v/>
      </c>
      <c r="N141" s="1342" t="str">
        <f t="shared" ca="1" si="16"/>
        <v/>
      </c>
      <c r="O141" s="1972" t="str">
        <f ca="1">IF(Stammdaten!A92=0,"",Stammdaten!A92)</f>
        <v># gem KollV ergänzen</v>
      </c>
      <c r="P141" s="1342">
        <f t="shared" ca="1" si="17"/>
        <v>141</v>
      </c>
    </row>
    <row r="142" spans="1:16" ht="17.649999999999999" customHeight="1" thickBot="1" x14ac:dyDescent="0.3">
      <c r="A142" s="2451" t="s">
        <v>605</v>
      </c>
      <c r="B142" s="2452"/>
      <c r="C142" s="2452"/>
      <c r="D142" s="2452"/>
      <c r="E142" s="2453"/>
      <c r="F142" s="2453"/>
      <c r="G142" s="2454"/>
      <c r="H142" s="1215" t="s">
        <v>331</v>
      </c>
      <c r="I142" s="438"/>
      <c r="J142" s="2319" t="str">
        <f ca="1">IF(E55&lt;&gt;0,IF(AND(H142&lt;&gt;M149,H56=0),"Hinweis zu D2.a: Es ist in B2.a unproduktives Personal aus dem Kreis des prod. Pers. kalkuliert. Übernahme des Wertes wie für produktives Pers. (siehe D1) wird daher empfohlen (Wahl von 'PROD'). "&amp;" Eigene Kalkulation ('NDIV') oder Ansatz von 0% ('KEINE') nur bei erheblich abweichenden Zulagen wählen.",IF(AND(H142=M149,H56=1,E141=""),"Hinweis: Unproduktives Personal ist nicht dem kalkulierten prod. Pers. entnommen (KZ bei B2 auf 1), daher erscheint es sinnvoller, die Zulagen des unprod. Pers. gesondert zu erfassen. Wenn Sie das wollen, INDIV wählen.",IF(AND(E55&lt;&gt;0,H142=M151),"Hinweis: Es ist prod. Pers. in B2 angesetzt. Durch die Auswahl von KZ = KEINE, erfolgt keine Hinzurechnung von Zulagen für das unproduktive Personal!",""))),"")</f>
        <v/>
      </c>
      <c r="K142" s="2319"/>
      <c r="L142" s="2320"/>
      <c r="M142" s="1972" t="str">
        <f t="shared" ca="1" si="15"/>
        <v/>
      </c>
      <c r="N142" s="1342" t="str">
        <f t="shared" ca="1" si="16"/>
        <v/>
      </c>
      <c r="O142" s="1972" t="str">
        <f ca="1">IF(Stammdaten!A93=0,"",Stammdaten!A93)</f>
        <v># Zusatz KV bei A5.c erfassen!</v>
      </c>
      <c r="P142" s="1342">
        <f t="shared" ca="1" si="17"/>
        <v>142</v>
      </c>
    </row>
    <row r="143" spans="1:16" ht="17.45" customHeight="1" thickBot="1" x14ac:dyDescent="0.3">
      <c r="A143" s="2519" t="str">
        <f>IF(H142="INDIV","D2.b) Zulagen für unproduktiv (dispositiv) tätiges Personal.
Zulagen wählen: ↓","D2.b) Keine individuelle Berücksichtigung der Zulagen; ggf Auswahl ändern.")</f>
        <v>D2.b) Keine individuelle Berücksichtigung der Zulagen; ggf Auswahl ändern.</v>
      </c>
      <c r="B143" s="2520"/>
      <c r="C143" s="2543" t="s">
        <v>971</v>
      </c>
      <c r="D143" s="2543" t="s">
        <v>600</v>
      </c>
      <c r="E143" s="2465" t="s">
        <v>601</v>
      </c>
      <c r="F143" s="2465"/>
      <c r="G143" s="2465" t="s">
        <v>602</v>
      </c>
      <c r="H143" s="2466"/>
      <c r="I143" s="438"/>
      <c r="J143" s="2319"/>
      <c r="K143" s="2319"/>
      <c r="L143" s="2320"/>
      <c r="M143" s="1972" t="str">
        <f t="shared" ca="1" si="15"/>
        <v/>
      </c>
      <c r="N143" s="1342" t="str">
        <f t="shared" ca="1" si="16"/>
        <v/>
      </c>
      <c r="O143" s="1972" t="str">
        <f ca="1">IF(Stammdaten!A94=0,"",Stammdaten!A94)</f>
        <v/>
      </c>
      <c r="P143" s="1342" t="str">
        <f t="shared" ca="1" si="17"/>
        <v/>
      </c>
    </row>
    <row r="144" spans="1:16" ht="18" customHeight="1" thickBot="1" x14ac:dyDescent="0.3">
      <c r="A144" s="2521"/>
      <c r="B144" s="2522"/>
      <c r="C144" s="2543"/>
      <c r="D144" s="2543"/>
      <c r="E144" s="2455" t="s">
        <v>100</v>
      </c>
      <c r="F144" s="2457" t="s">
        <v>603</v>
      </c>
      <c r="G144" s="2455" t="s">
        <v>100</v>
      </c>
      <c r="H144" s="2498" t="s">
        <v>603</v>
      </c>
      <c r="I144" s="438"/>
      <c r="J144" s="2319"/>
      <c r="K144" s="2319"/>
      <c r="L144" s="2320"/>
      <c r="M144" s="1972" t="str">
        <f t="shared" ca="1" si="15"/>
        <v/>
      </c>
      <c r="N144" s="1342" t="str">
        <f t="shared" ca="1" si="16"/>
        <v/>
      </c>
      <c r="O144" s="1972" t="str">
        <f ca="1">IF(Stammdaten!A95=0,"",Stammdaten!A95)</f>
        <v/>
      </c>
      <c r="P144" s="1342" t="str">
        <f t="shared" ca="1" si="17"/>
        <v/>
      </c>
    </row>
    <row r="145" spans="1:16" ht="18" customHeight="1" x14ac:dyDescent="0.25">
      <c r="A145" s="2521"/>
      <c r="B145" s="2522"/>
      <c r="C145" s="2543"/>
      <c r="D145" s="2543"/>
      <c r="E145" s="2455"/>
      <c r="F145" s="2457"/>
      <c r="G145" s="2455"/>
      <c r="H145" s="2498"/>
      <c r="I145" s="438"/>
      <c r="J145" s="2319"/>
      <c r="K145" s="2319"/>
      <c r="L145" s="2320"/>
      <c r="M145" s="1972" t="str">
        <f t="shared" ca="1" si="15"/>
        <v/>
      </c>
      <c r="N145" s="1342" t="str">
        <f t="shared" ca="1" si="16"/>
        <v/>
      </c>
      <c r="O145" s="1972" t="str">
        <f>IF(Stammdaten!A96=0,"",Stammdaten!A96)</f>
        <v/>
      </c>
      <c r="P145" s="1342" t="str">
        <f t="shared" ref="P145" si="21">IF(O145="","",1*ROW())</f>
        <v/>
      </c>
    </row>
    <row r="146" spans="1:16" ht="17.850000000000001" customHeight="1" thickBot="1" x14ac:dyDescent="0.3">
      <c r="A146" s="2523"/>
      <c r="B146" s="2524"/>
      <c r="C146" s="2806"/>
      <c r="D146" s="2806"/>
      <c r="E146" s="2456"/>
      <c r="F146" s="2458"/>
      <c r="G146" s="2456"/>
      <c r="H146" s="2499"/>
      <c r="I146" s="438"/>
      <c r="J146" s="2319"/>
      <c r="K146" s="2319"/>
      <c r="L146" s="2320"/>
      <c r="M146" s="1342" t="s">
        <v>568</v>
      </c>
      <c r="N146" s="1342">
        <f ca="1">MIN(N119:N145,ROW(O119))</f>
        <v>119</v>
      </c>
    </row>
    <row r="147" spans="1:16" ht="28.5" customHeight="1" thickTop="1" thickBot="1" x14ac:dyDescent="0.3">
      <c r="A147" s="2492"/>
      <c r="B147" s="2493"/>
      <c r="C147" s="329"/>
      <c r="D147" s="329"/>
      <c r="E147" s="213" t="str">
        <f ca="1">IF(L$27="",IF(ISBLANK(A147),"",IFERROR(VLOOKUP(A147,Stammdaten!$A$70:$C$96,3,FALSE),KALKULATION!$M$283)),"ungültig")</f>
        <v/>
      </c>
      <c r="F147" s="136" t="str">
        <f ca="1">IFERROR(C147*D147*E147,"")</f>
        <v/>
      </c>
      <c r="G147" s="138">
        <f ca="1">IFERROR(VLOOKUP(A147,Stammdaten!$A$70:$C$96,2,FALSE),"")</f>
        <v>0</v>
      </c>
      <c r="H147" s="937">
        <f ca="1">IFERROR(C147*D147*G147,"")</f>
        <v>0</v>
      </c>
      <c r="I147" s="577"/>
      <c r="J147" s="66" t="str">
        <f>IF(C147&lt;&gt;0,"Info (A): Betriff "&amp;TEXT(C147*E$55,"0,0")&amp;" von "&amp;TEXT(E$55,"0,0")&amp;" unprod. Personen.","")</f>
        <v/>
      </c>
      <c r="K147" s="2178" t="str">
        <f ca="1">IF(OR(COUNTA(A147,C147,D147)=3,COUNTA(A147,C147,D147)=0),IF(E147=KALKULATION!$M$283,"Auswahl erneut vornehmen (ungültiger Verweis)!",IF(AND(A147&lt;&gt;"",SUM(F147,H147)=0),"Wert in Spalte A oder B ist (nahe) 0; kein Ergebnis!","")),"Eingabe unvollständig (ergänzen oder löschen)!")</f>
        <v/>
      </c>
      <c r="L147" s="2179"/>
      <c r="M147" s="1342" t="s">
        <v>569</v>
      </c>
      <c r="N147" s="1342">
        <f ca="1">MAX(N119:N145,ROW(O119))</f>
        <v>137</v>
      </c>
    </row>
    <row r="148" spans="1:16" ht="28.5" customHeight="1" thickBot="1" x14ac:dyDescent="0.3">
      <c r="A148" s="2368"/>
      <c r="B148" s="2467"/>
      <c r="C148" s="330"/>
      <c r="D148" s="330"/>
      <c r="E148" s="213" t="str">
        <f ca="1">IF(L$27="",IF(ISBLANK(A148),"",IFERROR(VLOOKUP(A148,Stammdaten!$A$70:$C$96,3,FALSE),KALKULATION!$M$283)),"ungültig")</f>
        <v/>
      </c>
      <c r="F148" s="54" t="str">
        <f ca="1">IFERROR(C148*D148*E148,"")</f>
        <v/>
      </c>
      <c r="G148" s="138">
        <f ca="1">IFERROR(VLOOKUP(A148,Stammdaten!$A$70:$C$96,2,FALSE),"")</f>
        <v>0</v>
      </c>
      <c r="H148" s="938">
        <f ca="1">IFERROR(C148*D148*G148,"")</f>
        <v>0</v>
      </c>
      <c r="I148" s="577"/>
      <c r="J148" s="66" t="str">
        <f t="shared" ref="J148:J149" si="22">IF(C148&lt;&gt;0,"Info (A): Betriff "&amp;TEXT(C148*E$55,"0,0")&amp;" von "&amp;TEXT(E$55,"0,0")&amp;" unprod. Personen.","")</f>
        <v/>
      </c>
      <c r="K148" s="2178" t="str">
        <f ca="1">IF(OR(COUNTA(A148,C148,D148)=3,COUNTA(A148,C148,D148)=0),IF(E148=KALKULATION!$M$283,"Auswahl erneut vornehmen (ungültiger Verweis)!",IF(AND(A148&lt;&gt;"",SUM(F148,H148)=0),"Wert in Spalte A oder B ist (nahe) 0; kein Ergebnis!","")),"Eingabe unvollständig (ergänzen oder löschen)!")</f>
        <v/>
      </c>
      <c r="L148" s="2179"/>
      <c r="M148" s="2013" t="s">
        <v>679</v>
      </c>
    </row>
    <row r="149" spans="1:16" ht="28.5" customHeight="1" thickBot="1" x14ac:dyDescent="0.3">
      <c r="A149" s="2461"/>
      <c r="B149" s="2462"/>
      <c r="C149" s="331"/>
      <c r="D149" s="331"/>
      <c r="E149" s="213" t="str">
        <f ca="1">IF(L$27="",IF(ISBLANK(A149),"",IFERROR(VLOOKUP(A149,Stammdaten!$A$70:$C$96,3,FALSE),KALKULATION!$M$283)),"ungültig")</f>
        <v/>
      </c>
      <c r="F149" s="213" t="str">
        <f ca="1">IFERROR(C149*D149*E149,"")</f>
        <v/>
      </c>
      <c r="G149" s="215">
        <f ca="1">IFERROR(VLOOKUP(A149,Stammdaten!$A$70:$C$96,2,FALSE),"")</f>
        <v>0</v>
      </c>
      <c r="H149" s="939">
        <f ca="1">IFERROR(C149*D149*G149,"")</f>
        <v>0</v>
      </c>
      <c r="I149" s="577"/>
      <c r="J149" s="66" t="str">
        <f t="shared" si="22"/>
        <v/>
      </c>
      <c r="K149" s="2178" t="str">
        <f ca="1">IF(OR(COUNTA(A149,C149,D149)=3,COUNTA(A149,C149,D149)=0),IF(E149=KALKULATION!$M$283,"Auswahl erneut vornehmen (ungültiger Verweis)!",IF(AND(A149&lt;&gt;"",SUM(F149,H149)=0),"Wert in Spalte A oder B ist (nahe) 0; kein Ergebnis!","")),"Eingabe unvollständig (ergänzen oder löschen)!")</f>
        <v/>
      </c>
      <c r="L149" s="2179"/>
      <c r="M149" s="2014" t="s">
        <v>331</v>
      </c>
    </row>
    <row r="150" spans="1:16" ht="17.850000000000001" customHeight="1" x14ac:dyDescent="0.25">
      <c r="A150" s="2439" t="s">
        <v>84</v>
      </c>
      <c r="B150" s="2440"/>
      <c r="C150" s="2440"/>
      <c r="D150" s="2441"/>
      <c r="E150" s="1110"/>
      <c r="F150" s="1110"/>
      <c r="G150" s="1110"/>
      <c r="H150" s="941">
        <f ca="1">SUM(H146:H149)</f>
        <v>0</v>
      </c>
      <c r="I150" s="438"/>
      <c r="J150" s="267"/>
      <c r="L150" s="216"/>
      <c r="M150" s="2014" t="s">
        <v>333</v>
      </c>
    </row>
    <row r="151" spans="1:16" ht="17.850000000000001" customHeight="1" thickBot="1" x14ac:dyDescent="0.3">
      <c r="A151" s="2861" t="str">
        <f>"Basis für %-Zulagen analog D1.a1 ist ["&amp;F131&amp;"], daher Faktor in Hv"</f>
        <v>Basis für %-Zulagen analog D1.a1 ist [KV-Entgelt], daher Faktor in Hv</v>
      </c>
      <c r="B151" s="2862"/>
      <c r="C151" s="2862"/>
      <c r="D151" s="2862"/>
      <c r="E151" s="2862"/>
      <c r="F151" s="2862"/>
      <c r="G151" s="1012">
        <f>G131</f>
        <v>1</v>
      </c>
      <c r="H151" s="970">
        <f ca="1">IFERROR(G151*H150,"")</f>
        <v>0</v>
      </c>
      <c r="I151" s="577"/>
      <c r="J151" s="2176"/>
      <c r="K151" s="2176"/>
      <c r="L151" s="2435" t="str">
        <f>IF(AND(F131&lt;&gt;F151,H142="Nein"),"KZ bei B2 sollte mit KZ oben (B1) zusammenpassen!","")</f>
        <v/>
      </c>
      <c r="M151" s="2014" t="s">
        <v>332</v>
      </c>
    </row>
    <row r="152" spans="1:16" ht="17.850000000000001" customHeight="1" x14ac:dyDescent="0.25">
      <c r="A152" s="2445"/>
      <c r="B152" s="2446"/>
      <c r="C152" s="2447"/>
      <c r="D152" s="2620" t="s">
        <v>132</v>
      </c>
      <c r="E152" s="2621"/>
      <c r="F152" s="51">
        <f ca="1">SUM(F147:F149)</f>
        <v>0</v>
      </c>
      <c r="G152" s="2529"/>
      <c r="H152" s="2527">
        <f ca="1">IFERROR(F152/F153,"")</f>
        <v>0</v>
      </c>
      <c r="I152" s="438"/>
      <c r="L152" s="2435"/>
    </row>
    <row r="153" spans="1:16" ht="17.850000000000001" customHeight="1" thickBot="1" x14ac:dyDescent="0.3">
      <c r="A153" s="2448"/>
      <c r="B153" s="2449"/>
      <c r="C153" s="2450"/>
      <c r="D153" s="2622" t="s">
        <v>119</v>
      </c>
      <c r="E153" s="2623"/>
      <c r="F153" s="57">
        <f ca="1">G55</f>
        <v>21.47</v>
      </c>
      <c r="G153" s="2530"/>
      <c r="H153" s="2528"/>
      <c r="I153" s="438"/>
      <c r="L153" s="2435"/>
    </row>
    <row r="154" spans="1:16" ht="17.850000000000001" customHeight="1" x14ac:dyDescent="0.25">
      <c r="A154" s="2494" t="s">
        <v>675</v>
      </c>
      <c r="B154" s="2495"/>
      <c r="C154" s="2495"/>
      <c r="D154" s="2495"/>
      <c r="E154" s="2495"/>
      <c r="F154" s="2495"/>
      <c r="G154" s="1037" t="str">
        <f>IF(H142="Ja","(Wie B1!)","")</f>
        <v/>
      </c>
      <c r="H154" s="1036">
        <f ca="1">IFERROR(IF(H142=M149,H134,IF(H142=M150,SUM(H151:H153),0)),"?")</f>
        <v>0.03</v>
      </c>
      <c r="I154" s="438"/>
      <c r="L154" s="216"/>
    </row>
    <row r="155" spans="1:16" ht="17.850000000000001" customHeight="1" x14ac:dyDescent="0.25">
      <c r="A155" s="2863"/>
      <c r="B155" s="2864"/>
      <c r="C155" s="2864"/>
      <c r="D155" s="2864"/>
      <c r="E155" s="2864"/>
      <c r="F155" s="2864"/>
      <c r="G155" s="2864"/>
      <c r="H155" s="2864"/>
      <c r="I155" s="438"/>
      <c r="L155" s="216"/>
    </row>
    <row r="156" spans="1:16" ht="20.100000000000001" customHeight="1" x14ac:dyDescent="0.25">
      <c r="A156" s="2517" t="s">
        <v>844</v>
      </c>
      <c r="B156" s="2518"/>
      <c r="C156" s="2518"/>
      <c r="D156" s="2518"/>
      <c r="E156" s="2514" t="str">
        <f>(IF(G61=0,"Info: In B2.b keine sonstige unprod. Zeit angesetzt.",""))</f>
        <v>Info: In B2.b keine sonstige unprod. Zeit angesetzt.</v>
      </c>
      <c r="F156" s="2514"/>
      <c r="G156" s="2514"/>
      <c r="H156" s="2514"/>
      <c r="I156" s="2514"/>
      <c r="L156" s="216"/>
    </row>
    <row r="157" spans="1:16" ht="17.850000000000001" customHeight="1" x14ac:dyDescent="0.25">
      <c r="A157" s="2451" t="s">
        <v>1087</v>
      </c>
      <c r="B157" s="2452"/>
      <c r="C157" s="2452"/>
      <c r="D157" s="2452"/>
      <c r="E157" s="2720"/>
      <c r="F157" s="350" t="s">
        <v>192</v>
      </c>
      <c r="G157" s="324" t="s">
        <v>192</v>
      </c>
      <c r="H157" s="347" t="s">
        <v>193</v>
      </c>
      <c r="I157" s="438"/>
      <c r="J157" s="2485" t="str">
        <f>IF(AND(F61&lt;&gt;0,F157=""),"Bitte wählen (Ja/Nein)! Es sind unproduktive Zeiten in A3 angesetzt.","")</f>
        <v/>
      </c>
      <c r="K157" s="2485"/>
      <c r="L157" s="2486"/>
    </row>
    <row r="158" spans="1:16" ht="17.850000000000001" customHeight="1" x14ac:dyDescent="0.25">
      <c r="A158" s="263"/>
      <c r="B158" s="264"/>
      <c r="C158" s="264"/>
      <c r="D158" s="264"/>
      <c r="E158" s="264"/>
      <c r="F158" s="326"/>
      <c r="G158" s="348"/>
      <c r="H158" s="348"/>
      <c r="I158" s="438"/>
      <c r="J158" s="2485"/>
      <c r="K158" s="2485"/>
      <c r="L158" s="2486"/>
    </row>
    <row r="159" spans="1:16" ht="20.100000000000001" customHeight="1" x14ac:dyDescent="0.25">
      <c r="A159" s="2430" t="s">
        <v>738</v>
      </c>
      <c r="B159" s="2431"/>
      <c r="C159" s="2431"/>
      <c r="D159" s="2431"/>
      <c r="E159" s="2431"/>
      <c r="F159" s="2431"/>
      <c r="G159" s="2431"/>
      <c r="H159" s="2431"/>
      <c r="I159" s="438"/>
      <c r="J159" s="2485"/>
      <c r="K159" s="2485"/>
      <c r="L159" s="2486"/>
    </row>
    <row r="160" spans="1:16" ht="17.850000000000001" customHeight="1" x14ac:dyDescent="0.25">
      <c r="A160" s="905" t="s">
        <v>521</v>
      </c>
      <c r="B160" s="905"/>
      <c r="C160" s="906"/>
      <c r="D160" s="2487" t="s">
        <v>781</v>
      </c>
      <c r="E160" s="2488"/>
      <c r="F160" s="903" t="s">
        <v>676</v>
      </c>
      <c r="G160" s="903" t="s">
        <v>59</v>
      </c>
      <c r="H160" s="1093" t="s">
        <v>77</v>
      </c>
      <c r="I160" s="438"/>
      <c r="L160" s="216"/>
    </row>
    <row r="161" spans="1:15" ht="17.850000000000001" customHeight="1" x14ac:dyDescent="0.25">
      <c r="A161" s="2334" t="s">
        <v>499</v>
      </c>
      <c r="B161" s="2335"/>
      <c r="C161" s="2335"/>
      <c r="D161" s="2335"/>
      <c r="E161" s="2336"/>
      <c r="F161" s="761">
        <f ca="1">H134</f>
        <v>0.03</v>
      </c>
      <c r="G161" s="464">
        <f ca="1">D67</f>
        <v>126</v>
      </c>
      <c r="H161" s="943">
        <f ca="1">F161*G161</f>
        <v>3.78</v>
      </c>
      <c r="I161" s="438"/>
      <c r="L161" s="216"/>
    </row>
    <row r="162" spans="1:15" ht="17.850000000000001" customHeight="1" x14ac:dyDescent="0.25">
      <c r="A162" s="462" t="s">
        <v>500</v>
      </c>
      <c r="B162" s="463"/>
      <c r="C162" s="463"/>
      <c r="D162" s="463"/>
      <c r="E162" s="463"/>
      <c r="F162" s="761">
        <f ca="1">IF(F157=G157,F161,0)</f>
        <v>0.03</v>
      </c>
      <c r="G162" s="464">
        <f ca="1">D68</f>
        <v>0</v>
      </c>
      <c r="H162" s="943">
        <f ca="1">F162*G162</f>
        <v>0</v>
      </c>
      <c r="I162" s="438"/>
      <c r="J162" s="271" t="str">
        <f>IFERROR(IF(AND(ISBLANK(F157),F61&gt;0),"Berechnung kann nicht fortgesetzt werden; B3: Ja/Nein?",""),"")</f>
        <v/>
      </c>
      <c r="K162" s="271"/>
      <c r="L162" s="216"/>
    </row>
    <row r="163" spans="1:15" ht="17.850000000000001" customHeight="1" x14ac:dyDescent="0.25">
      <c r="A163" s="2334" t="s">
        <v>501</v>
      </c>
      <c r="B163" s="2335"/>
      <c r="C163" s="2335"/>
      <c r="D163" s="2335"/>
      <c r="E163" s="2336"/>
      <c r="F163" s="761">
        <f ca="1">H154</f>
        <v>0.03</v>
      </c>
      <c r="G163" s="464">
        <f ca="1">D69</f>
        <v>15.03</v>
      </c>
      <c r="H163" s="943">
        <f ca="1">F163*G163</f>
        <v>0.45100000000000001</v>
      </c>
      <c r="I163" s="438"/>
      <c r="L163" s="216"/>
    </row>
    <row r="164" spans="1:15" ht="17.850000000000001" customHeight="1" x14ac:dyDescent="0.25">
      <c r="A164" s="2525"/>
      <c r="B164" s="2526"/>
      <c r="C164" s="2526"/>
      <c r="D164" s="2886" t="s">
        <v>677</v>
      </c>
      <c r="E164" s="2886"/>
      <c r="F164" s="2887"/>
      <c r="G164" s="499">
        <f ca="1">SUM(G161:G163)</f>
        <v>141.03</v>
      </c>
      <c r="H164" s="944">
        <f ca="1">SUM(H161:H163)</f>
        <v>4.2309999999999999</v>
      </c>
      <c r="I164" s="438"/>
      <c r="L164" s="216"/>
    </row>
    <row r="165" spans="1:15" ht="17.850000000000001" customHeight="1" x14ac:dyDescent="0.25">
      <c r="A165" s="2142" t="s">
        <v>756</v>
      </c>
      <c r="B165" s="2143"/>
      <c r="C165" s="2143"/>
      <c r="D165" s="2143"/>
      <c r="E165" s="2143"/>
      <c r="F165" s="2143"/>
      <c r="G165" s="2143"/>
      <c r="H165" s="932">
        <f ca="1">IFERROR(H164/G164,"")</f>
        <v>0.03</v>
      </c>
      <c r="I165" s="438"/>
      <c r="L165" s="216" t="str">
        <f>IFERROR(IF(ABS(H166)/G166&gt;0.1,"Individuelle Anpassung bei A4) AKV-Entgelt auffällig hoch. ",""),"")</f>
        <v/>
      </c>
    </row>
    <row r="166" spans="1:15" ht="17.850000000000001" customHeight="1" x14ac:dyDescent="0.25">
      <c r="A166" s="2459" t="s">
        <v>814</v>
      </c>
      <c r="B166" s="2460"/>
      <c r="C166" s="2460"/>
      <c r="D166" s="2460"/>
      <c r="E166" s="2460"/>
      <c r="F166" s="2460"/>
      <c r="G166" s="2460"/>
      <c r="H166" s="945"/>
      <c r="I166" s="578" t="str">
        <f>IF(H166&lt;&gt;0,"X","")</f>
        <v/>
      </c>
      <c r="L166" s="216"/>
    </row>
    <row r="167" spans="1:15" ht="17.850000000000001" customHeight="1" x14ac:dyDescent="0.25">
      <c r="A167" s="390" t="str">
        <f ca="1">IFERROR("D) Ergebnis Zulagen (K3 Zeile 7) "&amp;TEXT(' K3 PP'!O25,"0,00€")&amp;" bzw in % ",KALKULATION!$M$286)</f>
        <v xml:space="preserve">D) Ergebnis Zulagen (K3 Zeile 7) 0,66€ bzw in % </v>
      </c>
      <c r="B167" s="391"/>
      <c r="C167" s="391"/>
      <c r="D167" s="391"/>
      <c r="E167" s="391"/>
      <c r="F167" s="391"/>
      <c r="G167" s="1886" t="s">
        <v>1109</v>
      </c>
      <c r="H167" s="932">
        <f ca="1">IF(H165=0,0,IF(G167=Q35,ROUNDUP(SUM(H165:H166),3),SUM(H165:H166)))</f>
        <v>0.03</v>
      </c>
      <c r="I167" s="438"/>
      <c r="J167" s="859" t="str">
        <f ca="1">IFERROR(IF(H167=0,"Hinweis: Keine Zulagen erfasst! Prüfen ob korrekt!",""),"")</f>
        <v/>
      </c>
    </row>
    <row r="168" spans="1:15" ht="20.100000000000001" customHeight="1" x14ac:dyDescent="0.25">
      <c r="A168" s="2317" t="str">
        <f ca="1">A74</f>
        <v>Info: KV &amp; up.Z: 22,00€ | abgabepfl. Pers.ko: 28,00€ | vor Uml: 60,00€ | KOSTEN: 66,88€ | PREIS: 86,28€</v>
      </c>
      <c r="B168" s="2318"/>
      <c r="C168" s="2318"/>
      <c r="D168" s="2318"/>
      <c r="E168" s="2318"/>
      <c r="F168" s="2318"/>
      <c r="G168" s="2318"/>
      <c r="H168" s="2318"/>
      <c r="I168" s="438"/>
      <c r="J168" s="2485" t="str">
        <f ca="1">IF(AND(H165=0,H166&lt;&gt;0),"Zu D4.b: Keine Anpassung ohne Grundkalkulation (bzw Wert =0)!","")</f>
        <v/>
      </c>
      <c r="K168" s="2485"/>
      <c r="L168" s="2486"/>
    </row>
    <row r="169" spans="1:15" ht="17.850000000000001" customHeight="1" x14ac:dyDescent="0.25">
      <c r="A169" s="2353"/>
      <c r="B169" s="2354"/>
      <c r="C169" s="2354"/>
      <c r="D169" s="2354"/>
      <c r="E169" s="2354"/>
      <c r="F169" s="2354"/>
      <c r="G169" s="2354"/>
      <c r="H169" s="2354"/>
      <c r="I169" s="2354"/>
      <c r="J169" s="2485"/>
      <c r="K169" s="2485"/>
      <c r="L169" s="2486"/>
    </row>
    <row r="170" spans="1:15" ht="25.15" customHeight="1" x14ac:dyDescent="0.25">
      <c r="A170" s="2223" t="s">
        <v>502</v>
      </c>
      <c r="B170" s="2224"/>
      <c r="C170" s="2224"/>
      <c r="D170" s="2224"/>
      <c r="E170" s="2224"/>
      <c r="F170" s="2224"/>
      <c r="G170" s="2224"/>
      <c r="H170" s="2224"/>
      <c r="I170" s="438"/>
      <c r="L170" s="216"/>
      <c r="M170" s="1961" t="s">
        <v>579</v>
      </c>
      <c r="N170" s="1961" t="s">
        <v>570</v>
      </c>
    </row>
    <row r="171" spans="1:15" ht="20.100000000000001" customHeight="1" x14ac:dyDescent="0.25">
      <c r="A171" s="2511" t="s">
        <v>782</v>
      </c>
      <c r="B171" s="2512"/>
      <c r="C171" s="2512"/>
      <c r="D171" s="2513" t="str">
        <f ca="1">IF(SUM(Stammdaten!D116:D119)=0,"Keine Stammdaten dafür vorhanden.","")</f>
        <v/>
      </c>
      <c r="E171" s="2513"/>
      <c r="F171" s="2513"/>
      <c r="G171" s="2513"/>
      <c r="H171" s="2513"/>
      <c r="I171" s="997"/>
      <c r="L171" s="216"/>
      <c r="M171" s="2015" t="str">
        <f ca="1">IF(Stammdaten!A116=0,"",Stammdaten!A116)</f>
        <v># wenn erforderlich Zusatz-KV eintragen</v>
      </c>
      <c r="N171" s="1342">
        <f ca="1">IF(M171="","",1*ROW())</f>
        <v>171</v>
      </c>
    </row>
    <row r="172" spans="1:15" ht="17.850000000000001" customHeight="1" x14ac:dyDescent="0.25">
      <c r="A172" s="2249" t="s">
        <v>283</v>
      </c>
      <c r="B172" s="2250"/>
      <c r="C172" s="2251"/>
      <c r="D172" s="2300" t="s">
        <v>784</v>
      </c>
      <c r="E172" s="2300" t="s">
        <v>125</v>
      </c>
      <c r="F172" s="2300" t="s">
        <v>783</v>
      </c>
      <c r="G172" s="2300" t="s">
        <v>785</v>
      </c>
      <c r="H172" s="2249" t="s">
        <v>786</v>
      </c>
      <c r="I172" s="438"/>
      <c r="L172" s="216"/>
      <c r="M172" s="2015" t="str">
        <f ca="1">IF(Stammdaten!A117=0,"",Stammdaten!A117)</f>
        <v>Z-KV Großwasserkraftbauten Zul. § 3</v>
      </c>
      <c r="N172" s="1342">
        <f ca="1">IF(M172="","",1*ROW())</f>
        <v>172</v>
      </c>
    </row>
    <row r="173" spans="1:15" ht="17.850000000000001" customHeight="1" thickBot="1" x14ac:dyDescent="0.3">
      <c r="A173" s="2252"/>
      <c r="B173" s="2253"/>
      <c r="C173" s="2254"/>
      <c r="D173" s="2301"/>
      <c r="E173" s="2301"/>
      <c r="F173" s="2301"/>
      <c r="G173" s="2301"/>
      <c r="H173" s="2252"/>
      <c r="I173" s="438"/>
      <c r="L173" s="216"/>
      <c r="M173" s="2015" t="str">
        <f ca="1">IF(Stammdaten!A118=0,"",Stammdaten!A118)</f>
        <v># usw ...</v>
      </c>
      <c r="N173" s="1342">
        <f ca="1">IF(M173="","",1*ROW())</f>
        <v>173</v>
      </c>
    </row>
    <row r="174" spans="1:15" ht="17.850000000000001" customHeight="1" thickTop="1" x14ac:dyDescent="0.25">
      <c r="A174" s="2696"/>
      <c r="B174" s="2696"/>
      <c r="C174" s="2696"/>
      <c r="D174" s="329"/>
      <c r="E174" s="136" t="str">
        <f ca="1">IF(L$27="",IFERROR(IF(ISBLANK(A174),"",(VLOOKUP(A174,Stammdaten!A$116:D$119,4,FALSE))),KALKULATION!$M$283),"ungültig")</f>
        <v/>
      </c>
      <c r="F174" s="953" t="str">
        <f>IF(D174&gt;0,C$95,"")</f>
        <v/>
      </c>
      <c r="G174" s="51" t="str">
        <f ca="1">IFERROR(VLOOKUP(A174,Stammdaten!A$116:D$119,2,FALSE)*D174*F174,"")</f>
        <v/>
      </c>
      <c r="H174" s="84" t="str">
        <f ca="1">IFERROR(VLOOKUP(A174,Stammdaten!A$116:D$119,3,FALSE)*D174*F174,"")</f>
        <v/>
      </c>
      <c r="I174" s="438"/>
      <c r="J174" s="1332" t="str">
        <f>IF(D174&lt;&gt;0,"I: Für "&amp;TEXT(D174*E$61,"0,0")&amp;" von "&amp;TEXT(E$61,"0,0")&amp;" Pers.","")</f>
        <v/>
      </c>
      <c r="K174" s="271" t="str">
        <f ca="1">IF(OR(COUNTA(A174,D174)=2,COUNTA(A174,D174)=0),IF(E174=KALKULATION!$M$283,"Auswahl erneut vornehmen (ungültiger Verweis)!",""),"Eingabe unvollständig (ergänzen oder löschen)!")</f>
        <v/>
      </c>
      <c r="L174" s="325"/>
      <c r="M174" s="2015" t="str">
        <f>IF(Stammdaten!A119=0,"",Stammdaten!A119)</f>
        <v/>
      </c>
      <c r="N174" s="1342" t="str">
        <f>IF(M174="","",1*ROW())</f>
        <v/>
      </c>
      <c r="O174" s="1342">
        <f>ROW()</f>
        <v>174</v>
      </c>
    </row>
    <row r="175" spans="1:15" ht="17.850000000000001" customHeight="1" x14ac:dyDescent="0.25">
      <c r="A175" s="2468"/>
      <c r="B175" s="2468"/>
      <c r="C175" s="2468"/>
      <c r="D175" s="330"/>
      <c r="E175" s="136" t="str">
        <f ca="1">IF(L$27="",IFERROR(IF(ISBLANK(A175),"",(VLOOKUP(A175,Stammdaten!A$116:D$119,4,FALSE))),KALKULATION!$M$283),"ungültig")</f>
        <v/>
      </c>
      <c r="F175" s="954" t="str">
        <f>IF(D175&gt;0,C$95,"")</f>
        <v/>
      </c>
      <c r="G175" s="48" t="str">
        <f ca="1">IFERROR(VLOOKUP(A175,Stammdaten!A$116:D$119,2,FALSE)*D175*F175,"")</f>
        <v/>
      </c>
      <c r="H175" s="570" t="str">
        <f ca="1">IFERROR(VLOOKUP(A175,Stammdaten!A$116:D$119,3,FALSE)*D175*F175,"")</f>
        <v/>
      </c>
      <c r="I175" s="438"/>
      <c r="J175" s="1332" t="str">
        <f t="shared" ref="J175:J176" si="23">IF(D175&lt;&gt;0,"I: Für "&amp;TEXT(D175*E$61,"0,0")&amp;" von "&amp;TEXT(E$61,"0,0")&amp;" Pers.","")</f>
        <v/>
      </c>
      <c r="K175" s="271" t="str">
        <f ca="1">IF(OR(COUNTA(A175,D175)=2,COUNTA(A175,D175)=0),IF(E175=KALKULATION!$M$283,"Auswahl erneut vornehmen (ungültiger Verweis)!",""),"Eingabe unvollständig (ergänzen oder löschen)!")</f>
        <v/>
      </c>
      <c r="L175" s="325"/>
      <c r="M175" s="1342" t="s">
        <v>568</v>
      </c>
      <c r="N175" s="1342">
        <f ca="1">MIN(N171:N174,ROW(N171))</f>
        <v>171</v>
      </c>
    </row>
    <row r="176" spans="1:15" ht="17.850000000000001" customHeight="1" x14ac:dyDescent="0.25">
      <c r="A176" s="2879"/>
      <c r="B176" s="2879"/>
      <c r="C176" s="2879"/>
      <c r="D176" s="388"/>
      <c r="E176" s="136" t="str">
        <f ca="1">IF(L$27="",IFERROR(IF(ISBLANK(A176),"",(VLOOKUP(A176,Stammdaten!A$116:D$119,4,FALSE))),KALKULATION!$M$283),"ungültig")</f>
        <v/>
      </c>
      <c r="F176" s="955" t="str">
        <f>IF(D176&gt;0,C$95,"")</f>
        <v/>
      </c>
      <c r="G176" s="389" t="str">
        <f ca="1">IFERROR(VLOOKUP(A176,Stammdaten!A$116:D$119,2,FALSE)*D176*F176,"")</f>
        <v/>
      </c>
      <c r="H176" s="960" t="str">
        <f ca="1">IFERROR(VLOOKUP(A176,Stammdaten!A$116:D$119,3,FALSE)*D176*F176,"")</f>
        <v/>
      </c>
      <c r="I176" s="438"/>
      <c r="J176" s="1332" t="str">
        <f t="shared" si="23"/>
        <v/>
      </c>
      <c r="K176" s="271" t="str">
        <f ca="1">IF(OR(COUNTA(A176,D176)=2,COUNTA(A176,D176)=0),IF(E176=KALKULATION!$M$283,"Auswahl erneut vornehmen (ungültiger Verweis)!",""),"Eingabe unvollständig (ergänzen oder löschen)!")</f>
        <v/>
      </c>
      <c r="L176" s="325"/>
      <c r="M176" s="1342" t="s">
        <v>569</v>
      </c>
      <c r="N176" s="1342">
        <f ca="1">MAX(N171:N174,ROW(N171))</f>
        <v>173</v>
      </c>
    </row>
    <row r="177" spans="1:25" ht="17.850000000000001" customHeight="1" thickBot="1" x14ac:dyDescent="0.3">
      <c r="A177" s="2505" t="s">
        <v>536</v>
      </c>
      <c r="B177" s="2506"/>
      <c r="C177" s="2506"/>
      <c r="D177" s="2506"/>
      <c r="E177" s="213">
        <f ca="1">SUM(G139)</f>
        <v>6.3E-2</v>
      </c>
      <c r="F177" s="956">
        <f ca="1">IF(E177&lt;&gt;0,C$95,"")</f>
        <v>42</v>
      </c>
      <c r="G177" s="60">
        <f ca="1">PRODUCT(E177,F177)</f>
        <v>2.65</v>
      </c>
      <c r="H177" s="571"/>
      <c r="I177" s="438"/>
      <c r="J177" s="271"/>
      <c r="K177" s="271"/>
      <c r="L177" s="325"/>
      <c r="M177" s="1961" t="s">
        <v>580</v>
      </c>
      <c r="N177" s="1961" t="s">
        <v>570</v>
      </c>
    </row>
    <row r="178" spans="1:25" ht="17.850000000000001" customHeight="1" thickBot="1" x14ac:dyDescent="0.3">
      <c r="A178" s="2361" t="s">
        <v>787</v>
      </c>
      <c r="B178" s="2362"/>
      <c r="C178" s="2362"/>
      <c r="D178" s="2362"/>
      <c r="E178" s="2362"/>
      <c r="F178" s="2363"/>
      <c r="G178" s="950">
        <f ca="1">SUM(G171:G177)</f>
        <v>2.65</v>
      </c>
      <c r="H178" s="961">
        <f ca="1">SUM(H171:H176)</f>
        <v>0</v>
      </c>
      <c r="I178" s="438"/>
      <c r="J178" s="2319" t="str">
        <f>IF(SUM(D174:D176)&gt;1,"Hinweis: Entschädigungen C1 sind für mehr als 100% des Personals kalkuliert.","")</f>
        <v/>
      </c>
      <c r="K178" s="2319"/>
      <c r="L178" s="2320"/>
      <c r="M178" s="1972" t="str">
        <f t="shared" ref="M178:M189" ca="1" si="24">IFERROR(INDIRECT("O"&amp;(SMALL(P$178:P$189,ROW(P178)-ROW(P$178)+1))),"")</f>
        <v>Taggeld; 3 - 9 Std (§ 9, Z 4, lit a)</v>
      </c>
      <c r="N178" s="1342">
        <f t="shared" ref="N178:N189" ca="1" si="25">IF(M178="","",ROW())</f>
        <v>178</v>
      </c>
      <c r="O178" s="2015" t="str">
        <f ca="1">IF(Stammdaten!A102=0,"",Stammdaten!A102)</f>
        <v>Taggeld; 3 - 9 Std (§ 9, Z 4, lit a)</v>
      </c>
      <c r="P178" s="1342">
        <f t="shared" ref="P178:P188" ca="1" si="26">IF(O178="","",1*ROW())</f>
        <v>178</v>
      </c>
    </row>
    <row r="179" spans="1:25" ht="17.850000000000001" customHeight="1" thickBot="1" x14ac:dyDescent="0.3">
      <c r="A179" s="2255" t="str">
        <f ca="1">"Die abgabepflichtigen Entgelte in Hv "&amp;TEXT(H178,"0,00€")&amp;" unterliegen zu "</f>
        <v xml:space="preserve">Die abgabepflichtigen Entgelte in Hv 0,00€ unterliegen zu </v>
      </c>
      <c r="B179" s="2256"/>
      <c r="C179" s="2256"/>
      <c r="D179" s="2256"/>
      <c r="E179" s="2256"/>
      <c r="F179" s="762">
        <v>1</v>
      </c>
      <c r="G179" s="2453" t="s">
        <v>678</v>
      </c>
      <c r="H179" s="2453"/>
      <c r="I179" s="438"/>
      <c r="J179" s="2319"/>
      <c r="K179" s="2319"/>
      <c r="L179" s="2320"/>
      <c r="M179" s="1972" t="str">
        <f t="shared" ca="1" si="24"/>
        <v>Taggeld; &gt; 9 Std (§ 9, Z 4, lit b)</v>
      </c>
      <c r="N179" s="1342">
        <f t="shared" ca="1" si="25"/>
        <v>179</v>
      </c>
      <c r="O179" s="2015" t="str">
        <f ca="1">IF(Stammdaten!A103=0,"",Stammdaten!A103)</f>
        <v>Taggeld; &gt; 9 Std (§ 9, Z 4, lit b)</v>
      </c>
      <c r="P179" s="1342">
        <f t="shared" ca="1" si="26"/>
        <v>179</v>
      </c>
    </row>
    <row r="180" spans="1:25" ht="17.850000000000001" customHeight="1" thickBot="1" x14ac:dyDescent="0.3">
      <c r="A180" s="2863"/>
      <c r="B180" s="2864"/>
      <c r="C180" s="2864"/>
      <c r="D180" s="2864"/>
      <c r="E180" s="2864"/>
      <c r="F180" s="2864"/>
      <c r="G180" s="2864"/>
      <c r="H180" s="2864"/>
      <c r="I180" s="438"/>
      <c r="J180" s="2319"/>
      <c r="K180" s="2319"/>
      <c r="L180" s="2320"/>
      <c r="M180" s="1972" t="str">
        <f t="shared" ca="1" si="24"/>
        <v>Taggeld; bei Nächtigung (§ 9, Z 5, Z5a und 6)</v>
      </c>
      <c r="N180" s="1342">
        <f t="shared" ca="1" si="25"/>
        <v>180</v>
      </c>
      <c r="O180" s="2015" t="str">
        <f ca="1">IF(Stammdaten!A104=0,"",Stammdaten!A104)</f>
        <v>Taggeld; bei Nächtigung (§ 9, Z 5, Z5a und 6)</v>
      </c>
      <c r="P180" s="1342">
        <f t="shared" ca="1" si="26"/>
        <v>180</v>
      </c>
    </row>
    <row r="181" spans="1:25" ht="20.100000000000001" customHeight="1" thickBot="1" x14ac:dyDescent="0.3">
      <c r="A181" s="2332" t="s">
        <v>789</v>
      </c>
      <c r="B181" s="2333"/>
      <c r="C181" s="2333"/>
      <c r="D181" s="2333"/>
      <c r="E181" s="2333"/>
      <c r="F181" s="2333"/>
      <c r="G181" s="2333"/>
      <c r="H181" s="2333"/>
      <c r="I181" s="438"/>
      <c r="L181" s="216"/>
      <c r="M181" s="1972" t="str">
        <f t="shared" ca="1" si="24"/>
        <v>Übernachtungsgeld</v>
      </c>
      <c r="N181" s="1342">
        <f t="shared" ca="1" si="25"/>
        <v>181</v>
      </c>
      <c r="O181" s="2015" t="str">
        <f ca="1">IF(Stammdaten!A105=0,"",Stammdaten!A105)</f>
        <v/>
      </c>
      <c r="P181" s="1342" t="str">
        <f t="shared" ca="1" si="26"/>
        <v/>
      </c>
    </row>
    <row r="182" spans="1:25" ht="17.850000000000001" customHeight="1" thickBot="1" x14ac:dyDescent="0.3">
      <c r="A182" s="2249" t="str">
        <f>A172</f>
        <v>Auswählen: ↓</v>
      </c>
      <c r="B182" s="2250"/>
      <c r="C182" s="2251"/>
      <c r="D182" s="2300" t="str">
        <f>D172</f>
        <v>… % des prod. Pers.:</v>
      </c>
      <c r="E182" s="2300" t="s">
        <v>78</v>
      </c>
      <c r="F182" s="2300" t="s">
        <v>790</v>
      </c>
      <c r="G182" s="2300" t="str">
        <f t="shared" ref="G182:H182" si="27">G172</f>
        <v>abgabefrei (€/Wo)</v>
      </c>
      <c r="H182" s="2249" t="str">
        <f t="shared" si="27"/>
        <v>abg.-pflichtig (€/Wo)</v>
      </c>
      <c r="I182" s="438"/>
      <c r="L182" s="216"/>
      <c r="M182" s="1972" t="str">
        <f t="shared" ca="1" si="24"/>
        <v># allfällige Fahrtkostenvergütungen</v>
      </c>
      <c r="N182" s="1342">
        <f t="shared" ca="1" si="25"/>
        <v>182</v>
      </c>
      <c r="O182" s="2015" t="str">
        <f ca="1">IF(Stammdaten!A106=0,"",Stammdaten!A106)</f>
        <v>Übernachtungsgeld</v>
      </c>
      <c r="P182" s="1342">
        <f t="shared" ca="1" si="26"/>
        <v>182</v>
      </c>
    </row>
    <row r="183" spans="1:25" ht="17.850000000000001" customHeight="1" thickBot="1" x14ac:dyDescent="0.3">
      <c r="A183" s="2252"/>
      <c r="B183" s="2253"/>
      <c r="C183" s="2254"/>
      <c r="D183" s="2301"/>
      <c r="E183" s="2301"/>
      <c r="F183" s="2301"/>
      <c r="G183" s="2301"/>
      <c r="H183" s="2252"/>
      <c r="I183" s="438"/>
      <c r="L183" s="216"/>
      <c r="M183" s="1972" t="str">
        <f t="shared" ca="1" si="24"/>
        <v># mit betrieblichen Werten füllen</v>
      </c>
      <c r="N183" s="1342">
        <f t="shared" ca="1" si="25"/>
        <v>183</v>
      </c>
      <c r="O183" s="2015" t="str">
        <f ca="1">IF(Stammdaten!A107=0,"",Stammdaten!A107)</f>
        <v># allfällige Fahrtkostenvergütungen</v>
      </c>
      <c r="P183" s="1342">
        <f t="shared" ca="1" si="26"/>
        <v>183</v>
      </c>
    </row>
    <row r="184" spans="1:25" ht="17.850000000000001" customHeight="1" thickTop="1" thickBot="1" x14ac:dyDescent="0.3">
      <c r="A184" s="2355" t="s">
        <v>1139</v>
      </c>
      <c r="B184" s="2356"/>
      <c r="C184" s="2357"/>
      <c r="D184" s="329">
        <v>1</v>
      </c>
      <c r="E184" s="48">
        <f ca="1">IF(L$27="",IFERROR(VLOOKUP(A184,Stammdaten!A$102:D$113,4,FALSE),KALKULATION!$M$283),"ungültig")</f>
        <v>12.85</v>
      </c>
      <c r="F184" s="332">
        <v>5</v>
      </c>
      <c r="G184" s="51">
        <f ca="1">IFERROR(VLOOKUP(A184,Stammdaten!A$102:C$113,2,FALSE)*D184*F184,"")</f>
        <v>64.25</v>
      </c>
      <c r="H184" s="84">
        <f ca="1">IFERROR(VLOOKUP(A184,Stammdaten!A$102:C$113,3,FALSE)*D184*F184,"")</f>
        <v>0</v>
      </c>
      <c r="I184" s="438"/>
      <c r="J184" s="1332" t="str">
        <f t="shared" ref="J184:J188" ca="1" si="28">IF(D184&lt;&gt;0,"I: Für "&amp;TEXT(D184*E$61,"0,0")&amp;" von "&amp;TEXT(E$61,"0,0")&amp;" Pers.","")</f>
        <v>I: Für 6,3 von 6,3 Pers.</v>
      </c>
      <c r="K184" s="271" t="str">
        <f ca="1">IF(OR(COUNTA(A184,D184,F184)=3,COUNTA(A184,D184,F184)=0),IF(E184=KALKULATION!$M$283,"Auswahl erneut vornehmen (ungültiger Verweis)!",""),"Eingabe unvollständig (ergänzen oder löschen)!")</f>
        <v/>
      </c>
      <c r="L184" s="325"/>
      <c r="M184" s="1972" t="str">
        <f t="shared" ca="1" si="24"/>
        <v/>
      </c>
      <c r="N184" s="1342" t="str">
        <f t="shared" ca="1" si="25"/>
        <v/>
      </c>
      <c r="O184" s="2015" t="str">
        <f ca="1">IF(Stammdaten!A108=0,"",Stammdaten!A108)</f>
        <v># mit betrieblichen Werten füllen</v>
      </c>
      <c r="P184" s="1342">
        <f t="shared" ca="1" si="26"/>
        <v>184</v>
      </c>
    </row>
    <row r="185" spans="1:25" ht="17.850000000000001" customHeight="1" thickBot="1" x14ac:dyDescent="0.3">
      <c r="A185" s="2358"/>
      <c r="B185" s="2359"/>
      <c r="C185" s="2360"/>
      <c r="D185" s="330"/>
      <c r="E185" s="48">
        <f ca="1">IF(L$27="",IFERROR(VLOOKUP(A185,Stammdaten!A$102:D$113,4,FALSE),KALKULATION!$M$283),"ungültig")</f>
        <v>0</v>
      </c>
      <c r="F185" s="333"/>
      <c r="G185" s="48">
        <f ca="1">IFERROR(VLOOKUP(A185,Stammdaten!A$102:C$113,2,FALSE)*D185*F185,"")</f>
        <v>0</v>
      </c>
      <c r="H185" s="570">
        <f ca="1">IFERROR(VLOOKUP(A185,Stammdaten!A$102:C$113,3,FALSE)*D185*F185,"")</f>
        <v>0</v>
      </c>
      <c r="I185" s="438"/>
      <c r="J185" s="1332" t="str">
        <f t="shared" si="28"/>
        <v/>
      </c>
      <c r="K185" s="271" t="str">
        <f ca="1">IF(OR(COUNTA(A185,D185,F185)=3,COUNTA(A185,D185,F185)=0),IF(E185=KALKULATION!$M$283,"Auswahl erneut vornehmen (ungültiger Verweis)!",""),"Eingabe unvollständig (ergänzen oder löschen)!")</f>
        <v/>
      </c>
      <c r="L185" s="216"/>
      <c r="M185" s="1972" t="str">
        <f t="shared" ca="1" si="24"/>
        <v/>
      </c>
      <c r="N185" s="1342" t="str">
        <f t="shared" ca="1" si="25"/>
        <v/>
      </c>
      <c r="O185" s="2015" t="str">
        <f ca="1">IF(Stammdaten!A109=0,"",Stammdaten!A109)</f>
        <v/>
      </c>
      <c r="P185" s="1342" t="str">
        <f t="shared" ca="1" si="26"/>
        <v/>
      </c>
    </row>
    <row r="186" spans="1:25" ht="17.850000000000001" customHeight="1" thickBot="1" x14ac:dyDescent="0.3">
      <c r="A186" s="2358"/>
      <c r="B186" s="2359"/>
      <c r="C186" s="2360"/>
      <c r="D186" s="330"/>
      <c r="E186" s="48">
        <f ca="1">IF(L$27="",IFERROR(VLOOKUP(A186,Stammdaten!A$102:D$113,4,FALSE),KALKULATION!$M$283),"ungültig")</f>
        <v>0</v>
      </c>
      <c r="F186" s="333"/>
      <c r="G186" s="48">
        <f ca="1">IFERROR(VLOOKUP(A186,Stammdaten!A$102:C$113,2,FALSE)*D186*F186,"")</f>
        <v>0</v>
      </c>
      <c r="H186" s="570">
        <f ca="1">IFERROR(VLOOKUP(A186,Stammdaten!A$102:C$113,3,FALSE)*D186*F186,"")</f>
        <v>0</v>
      </c>
      <c r="I186" s="438"/>
      <c r="J186" s="1332" t="str">
        <f t="shared" si="28"/>
        <v/>
      </c>
      <c r="K186" s="271" t="str">
        <f ca="1">IF(OR(COUNTA(A186,D186,F186)=3,COUNTA(A186,D186,F186)=0),IF(E186=KALKULATION!$M$283,"Auswahl erneut vornehmen (ungültiger Verweis)!",""),"Eingabe unvollständig (ergänzen oder löschen)!")</f>
        <v/>
      </c>
      <c r="L186" s="216"/>
      <c r="M186" s="1972" t="str">
        <f t="shared" ca="1" si="24"/>
        <v/>
      </c>
      <c r="N186" s="1342" t="str">
        <f t="shared" ca="1" si="25"/>
        <v/>
      </c>
      <c r="O186" s="2015" t="str">
        <f ca="1">IF(Stammdaten!A110=0,"",Stammdaten!A110)</f>
        <v/>
      </c>
      <c r="P186" s="1342" t="str">
        <f t="shared" ca="1" si="26"/>
        <v/>
      </c>
    </row>
    <row r="187" spans="1:25" ht="17.850000000000001" customHeight="1" thickBot="1" x14ac:dyDescent="0.3">
      <c r="A187" s="2358"/>
      <c r="B187" s="2359"/>
      <c r="C187" s="2360"/>
      <c r="D187" s="330"/>
      <c r="E187" s="48">
        <f ca="1">IF(L$27="",IFERROR(VLOOKUP(A187,Stammdaten!A$102:D$113,4,FALSE),KALKULATION!$M$283),"ungültig")</f>
        <v>0</v>
      </c>
      <c r="F187" s="333"/>
      <c r="G187" s="48">
        <f ca="1">IFERROR(VLOOKUP(A187,Stammdaten!A$102:C$113,2,FALSE)*D187*F187,"")</f>
        <v>0</v>
      </c>
      <c r="H187" s="570">
        <f ca="1">IFERROR(VLOOKUP(A187,Stammdaten!A$102:C$113,3,FALSE)*D187*F187,"")</f>
        <v>0</v>
      </c>
      <c r="I187" s="438"/>
      <c r="J187" s="1332" t="str">
        <f t="shared" si="28"/>
        <v/>
      </c>
      <c r="K187" s="271" t="str">
        <f ca="1">IF(OR(COUNTA(A187,D187,F187)=3,COUNTA(A187,D187,F187)=0),IF(E187=KALKULATION!$M$283,"Auswahl erneut vornehmen (ungültiger Verweis)!",""),"Eingabe unvollständig (ergänzen oder löschen)!")</f>
        <v/>
      </c>
      <c r="L187" s="216"/>
      <c r="M187" s="1972" t="str">
        <f t="shared" ca="1" si="24"/>
        <v/>
      </c>
      <c r="N187" s="1342" t="str">
        <f t="shared" ca="1" si="25"/>
        <v/>
      </c>
      <c r="O187" s="2015" t="str">
        <f ca="1">IF(Stammdaten!A111=0,"",Stammdaten!A111)</f>
        <v/>
      </c>
      <c r="P187" s="1342" t="str">
        <f t="shared" ca="1" si="26"/>
        <v/>
      </c>
    </row>
    <row r="188" spans="1:25" ht="17.850000000000001" customHeight="1" thickBot="1" x14ac:dyDescent="0.3">
      <c r="A188" s="2693"/>
      <c r="B188" s="2694"/>
      <c r="C188" s="2695"/>
      <c r="D188" s="331"/>
      <c r="E188" s="60">
        <f ca="1">IF(L$27="",IFERROR(VLOOKUP(A188,Stammdaten!A$102:D$113,4,FALSE),KALKULATION!$M$283),"ungültig")</f>
        <v>0</v>
      </c>
      <c r="F188" s="947"/>
      <c r="G188" s="60">
        <f ca="1">IFERROR(VLOOKUP(A188,Stammdaten!A$102:C$113,2,FALSE)*D188*F188,"")</f>
        <v>0</v>
      </c>
      <c r="H188" s="571">
        <f ca="1">IFERROR(VLOOKUP(A188,Stammdaten!A$102:C$113,3,FALSE)*D188*F188,"")</f>
        <v>0</v>
      </c>
      <c r="I188" s="438"/>
      <c r="J188" s="1332" t="str">
        <f t="shared" si="28"/>
        <v/>
      </c>
      <c r="K188" s="271" t="str">
        <f ca="1">IF(OR(COUNTA(A188,D188,F188)=3,COUNTA(A188,D188,F188)=0),IF(E188=KALKULATION!$M$283,"Auswahl erneut vornehmen (ungültiger Verweis)!",""),"Eingabe unvollständig (ergänzen oder löschen)!")</f>
        <v/>
      </c>
      <c r="L188" s="216"/>
      <c r="M188" s="1972" t="str">
        <f t="shared" ca="1" si="24"/>
        <v/>
      </c>
      <c r="N188" s="1342" t="str">
        <f t="shared" ca="1" si="25"/>
        <v/>
      </c>
      <c r="O188" s="2015" t="str">
        <f ca="1">IF(Stammdaten!A112=0,"",Stammdaten!A112)</f>
        <v/>
      </c>
      <c r="P188" s="1342" t="str">
        <f t="shared" ca="1" si="26"/>
        <v/>
      </c>
    </row>
    <row r="189" spans="1:25" ht="17.850000000000001" customHeight="1" thickBot="1" x14ac:dyDescent="0.3">
      <c r="A189" s="2361" t="s">
        <v>788</v>
      </c>
      <c r="B189" s="2362"/>
      <c r="C189" s="2362"/>
      <c r="D189" s="2362"/>
      <c r="E189" s="2362"/>
      <c r="F189" s="2363"/>
      <c r="G189" s="1013">
        <f ca="1">SUM(G184:G188)</f>
        <v>64.25</v>
      </c>
      <c r="H189" s="951">
        <f ca="1">SUM(H184:H188)</f>
        <v>0</v>
      </c>
      <c r="I189" s="438"/>
      <c r="J189" s="2319" t="str">
        <f>IF(SUM(D184:D188)&gt;1,"Hinweis: Entschädigungen sind in E2 für mehr als 100% des Personals angesetzt.","")</f>
        <v/>
      </c>
      <c r="K189" s="2319"/>
      <c r="L189" s="2320"/>
      <c r="M189" s="1972" t="str">
        <f t="shared" ca="1" si="24"/>
        <v/>
      </c>
      <c r="N189" s="1342" t="str">
        <f t="shared" ca="1" si="25"/>
        <v/>
      </c>
      <c r="O189" s="2015" t="str">
        <f>IF(Stammdaten!A113=0,"",Stammdaten!A113)</f>
        <v/>
      </c>
      <c r="P189" s="1342" t="str">
        <f t="shared" ref="P189" si="29">IF(O189="","",1*ROW())</f>
        <v/>
      </c>
    </row>
    <row r="190" spans="1:25" ht="17.850000000000001" customHeight="1" thickBot="1" x14ac:dyDescent="0.3">
      <c r="A190" s="2259" t="str">
        <f ca="1">"Die abgabepflichtigen Entgelte in Hv "&amp;TEXT(H189,"0,00€")&amp;" unterliegen zu "</f>
        <v xml:space="preserve">Die abgabepflichtigen Entgelte in Hv 0,00€ unterliegen zu </v>
      </c>
      <c r="B190" s="2260"/>
      <c r="C190" s="2260"/>
      <c r="D190" s="2260"/>
      <c r="E190" s="2260"/>
      <c r="F190" s="1014">
        <v>0</v>
      </c>
      <c r="G190" s="2549" t="s">
        <v>678</v>
      </c>
      <c r="H190" s="2549"/>
      <c r="I190" s="438"/>
      <c r="J190" s="2319"/>
      <c r="K190" s="2319"/>
      <c r="L190" s="2320"/>
      <c r="M190" s="1342" t="s">
        <v>568</v>
      </c>
      <c r="N190" s="1342">
        <f ca="1">MIN(N178:N189,ROW(P178))</f>
        <v>178</v>
      </c>
    </row>
    <row r="191" spans="1:25" ht="17.850000000000001" customHeight="1" x14ac:dyDescent="0.25">
      <c r="A191" s="2463"/>
      <c r="B191" s="2464"/>
      <c r="C191" s="2464"/>
      <c r="D191" s="2464"/>
      <c r="E191" s="2464"/>
      <c r="F191" s="2464"/>
      <c r="G191" s="2464"/>
      <c r="H191" s="2464"/>
      <c r="I191" s="438"/>
      <c r="J191" s="2319"/>
      <c r="K191" s="2319"/>
      <c r="L191" s="2320"/>
      <c r="M191" s="1342" t="s">
        <v>569</v>
      </c>
      <c r="N191" s="1342">
        <f ca="1">MAX(N178:N189,ROW(P178))</f>
        <v>183</v>
      </c>
    </row>
    <row r="192" spans="1:25" s="160" customFormat="1" ht="20.100000000000001" customHeight="1" x14ac:dyDescent="0.2">
      <c r="A192" s="2247" t="s">
        <v>791</v>
      </c>
      <c r="B192" s="2248"/>
      <c r="C192" s="2248"/>
      <c r="D192" s="2248"/>
      <c r="E192" s="2248"/>
      <c r="F192" s="2248"/>
      <c r="G192" s="2248"/>
      <c r="H192" s="2248"/>
      <c r="I192" s="353"/>
      <c r="L192" s="974"/>
      <c r="M192" s="2016"/>
      <c r="N192" s="2016"/>
      <c r="O192" s="2016"/>
      <c r="P192" s="2016"/>
      <c r="Q192" s="2016"/>
      <c r="R192" s="2016"/>
      <c r="S192" s="2016"/>
      <c r="T192" s="2016"/>
      <c r="U192" s="2016"/>
      <c r="V192" s="2016"/>
      <c r="W192" s="2016"/>
      <c r="X192" s="2016"/>
      <c r="Y192" s="2016"/>
    </row>
    <row r="193" spans="1:14" ht="17.850000000000001" customHeight="1" x14ac:dyDescent="0.25">
      <c r="A193" s="2249" t="str">
        <f>A172</f>
        <v>Auswählen: ↓</v>
      </c>
      <c r="B193" s="2250"/>
      <c r="C193" s="2251"/>
      <c r="D193" s="2300" t="str">
        <f>D172</f>
        <v>… % des prod. Pers.:</v>
      </c>
      <c r="E193" s="2300" t="s">
        <v>79</v>
      </c>
      <c r="F193" s="2245"/>
      <c r="G193" s="2300" t="str">
        <f t="shared" ref="G193:H193" si="30">G172</f>
        <v>abgabefrei (€/Wo)</v>
      </c>
      <c r="H193" s="2249" t="str">
        <f t="shared" si="30"/>
        <v>abg.-pflichtig (€/Wo)</v>
      </c>
      <c r="I193" s="438"/>
      <c r="L193" s="216"/>
    </row>
    <row r="194" spans="1:14" ht="17.850000000000001" customHeight="1" thickBot="1" x14ac:dyDescent="0.3">
      <c r="A194" s="2252"/>
      <c r="B194" s="2253"/>
      <c r="C194" s="2254"/>
      <c r="D194" s="2301"/>
      <c r="E194" s="2301"/>
      <c r="F194" s="2246"/>
      <c r="G194" s="2301"/>
      <c r="H194" s="2252"/>
      <c r="I194" s="438"/>
      <c r="L194" s="216"/>
    </row>
    <row r="195" spans="1:14" ht="17.850000000000001" customHeight="1" thickTop="1" x14ac:dyDescent="0.25">
      <c r="A195" s="2370"/>
      <c r="B195" s="2370"/>
      <c r="C195" s="2370"/>
      <c r="D195" s="329"/>
      <c r="E195" s="48">
        <f ca="1">IF(L$27="",IFERROR(VLOOKUP(A195,Stammdaten!A$122:D$128,4,FALSE),KALKULATION!$M$283),"ungültig")</f>
        <v>0</v>
      </c>
      <c r="F195" s="140"/>
      <c r="G195" s="51">
        <f ca="1">IFERROR(VLOOKUP(A195,Stammdaten!A$122:C$128,2,FALSE)*D195,"")</f>
        <v>0</v>
      </c>
      <c r="H195" s="84">
        <f ca="1">IFERROR(VLOOKUP(A195,Stammdaten!A$122:C$128,3,FALSE)*D195,"")</f>
        <v>0</v>
      </c>
      <c r="I195" s="438"/>
      <c r="J195" s="1100" t="str">
        <f t="shared" ref="J195:J199" si="31">IF(D195&lt;&gt;0,"I: Für "&amp;TEXT(D195*E$61,"0,0")&amp;" von "&amp;TEXT(E$61,"0,0")&amp;" Pers.","")</f>
        <v/>
      </c>
      <c r="K195" s="271" t="str">
        <f ca="1">IF(OR(COUNTA(A195,D195)=2,COUNTA(A195,D195)=0),IF(E195=KALKULATION!$M$283,"Auswahl erneut vornehmen (ungültiger Verweis)!",""),"Eingabe unvollständig (ergänzen oder löschen)!")</f>
        <v/>
      </c>
      <c r="L195" s="216"/>
    </row>
    <row r="196" spans="1:14" ht="17.850000000000001" customHeight="1" x14ac:dyDescent="0.25">
      <c r="A196" s="2265"/>
      <c r="B196" s="2265"/>
      <c r="C196" s="2265"/>
      <c r="D196" s="330"/>
      <c r="E196" s="48">
        <f ca="1">IF(L$27="",IFERROR(VLOOKUP(A196,Stammdaten!A$122:D$128,4,FALSE),KALKULATION!$M$283),"ungültig")</f>
        <v>0</v>
      </c>
      <c r="F196" s="61"/>
      <c r="G196" s="48">
        <f ca="1">IFERROR(VLOOKUP(A196,Stammdaten!A$122:C$128,2,FALSE)*D196,"")</f>
        <v>0</v>
      </c>
      <c r="H196" s="570">
        <f ca="1">IFERROR(VLOOKUP(A196,Stammdaten!A$122:C$128,3,FALSE)*D196,"")</f>
        <v>0</v>
      </c>
      <c r="I196" s="438"/>
      <c r="J196" s="1100" t="str">
        <f t="shared" si="31"/>
        <v/>
      </c>
      <c r="K196" s="271" t="str">
        <f ca="1">IF(OR(COUNTA(A196,D196)=2,COUNTA(A196,D196)=0),IF(E196=KALKULATION!$M$283,"Auswahl erneut vornehmen (ungültiger Verweis)!",""),"Eingabe unvollständig (ergänzen oder löschen)!")</f>
        <v/>
      </c>
      <c r="L196" s="216"/>
      <c r="M196" s="1961" t="s">
        <v>581</v>
      </c>
      <c r="N196" s="1961" t="s">
        <v>570</v>
      </c>
    </row>
    <row r="197" spans="1:14" ht="17.850000000000001" customHeight="1" x14ac:dyDescent="0.25">
      <c r="A197" s="2265"/>
      <c r="B197" s="2265"/>
      <c r="C197" s="2265"/>
      <c r="D197" s="330"/>
      <c r="E197" s="48">
        <f ca="1">IF(L$27="",IFERROR(VLOOKUP(A197,Stammdaten!A$122:D$128,4,FALSE),KALKULATION!$M$283),"ungültig")</f>
        <v>0</v>
      </c>
      <c r="F197" s="61"/>
      <c r="G197" s="48">
        <f ca="1">IFERROR(VLOOKUP(A197,Stammdaten!A$122:C$128,2,FALSE)*D197,"")</f>
        <v>0</v>
      </c>
      <c r="H197" s="570">
        <f ca="1">IFERROR(VLOOKUP(A197,Stammdaten!A$122:C$128,3,FALSE)*D197,"")</f>
        <v>0</v>
      </c>
      <c r="I197" s="438"/>
      <c r="J197" s="1100" t="str">
        <f t="shared" si="31"/>
        <v/>
      </c>
      <c r="K197" s="271" t="str">
        <f ca="1">IF(OR(COUNTA(A197,D197)=2,COUNTA(A197,D197)=0),IF(E197=KALKULATION!$M$283,"Auswahl erneut vornehmen (ungültiger Verweis)!",""),"Eingabe unvollständig (ergänzen oder löschen)!")</f>
        <v/>
      </c>
      <c r="L197" s="216"/>
      <c r="M197" s="2015" t="str">
        <f ca="1">IF(Stammdaten!A122=0,"",Stammdaten!A122)</f>
        <v># Heimfahrt (betriebl. Wert verwenden)</v>
      </c>
      <c r="N197" s="1342">
        <f t="shared" ref="N197:N202" ca="1" si="32">IF(M197="","",1*ROW())</f>
        <v>197</v>
      </c>
    </row>
    <row r="198" spans="1:14" ht="17.850000000000001" customHeight="1" x14ac:dyDescent="0.25">
      <c r="A198" s="2265"/>
      <c r="B198" s="2265"/>
      <c r="C198" s="2265"/>
      <c r="D198" s="330"/>
      <c r="E198" s="48">
        <f ca="1">IF(L$27="",IFERROR(VLOOKUP(A198,Stammdaten!A$122:D$128,4,FALSE),KALKULATION!$M$283),"ungültig")</f>
        <v>0</v>
      </c>
      <c r="F198" s="61"/>
      <c r="G198" s="48">
        <f ca="1">IFERROR(VLOOKUP(A198,Stammdaten!A$122:C$128,2,FALSE)*D198,"")</f>
        <v>0</v>
      </c>
      <c r="H198" s="570">
        <f ca="1">IFERROR(VLOOKUP(A198,Stammdaten!A$122:C$128,3,FALSE)*D198,"")</f>
        <v>0</v>
      </c>
      <c r="I198" s="438"/>
      <c r="J198" s="1100" t="str">
        <f t="shared" si="31"/>
        <v/>
      </c>
      <c r="K198" s="271" t="str">
        <f ca="1">IF(OR(COUNTA(A198,D198)=2,COUNTA(A198,D198)=0),IF(E198=KALKULATION!$M$283,"Auswahl erneut vornehmen (ungültiger Verweis)!",""),"Eingabe unvollständig (ergänzen oder löschen)!")</f>
        <v/>
      </c>
      <c r="L198" s="216"/>
      <c r="M198" s="2015" t="str">
        <f ca="1">IF(Stammdaten!A123=0,"",Stammdaten!A123)</f>
        <v># mit betrieblichen Werten ergänzen</v>
      </c>
      <c r="N198" s="1342">
        <f t="shared" ca="1" si="32"/>
        <v>198</v>
      </c>
    </row>
    <row r="199" spans="1:14" ht="17.850000000000001" customHeight="1" thickBot="1" x14ac:dyDescent="0.3">
      <c r="A199" s="2295"/>
      <c r="B199" s="2295"/>
      <c r="C199" s="2295"/>
      <c r="D199" s="331"/>
      <c r="E199" s="48">
        <f ca="1">IF(L$27="",IFERROR(VLOOKUP(A199,Stammdaten!A$122:D$128,4,FALSE),KALKULATION!$M$283),"ungültig")</f>
        <v>0</v>
      </c>
      <c r="F199" s="946"/>
      <c r="G199" s="60">
        <f ca="1">IFERROR(VLOOKUP(A199,Stammdaten!A$122:C$128,2,FALSE)*D199,"")</f>
        <v>0</v>
      </c>
      <c r="H199" s="571">
        <f ca="1">IFERROR(VLOOKUP(A199,Stammdaten!A$122:C$128,3,FALSE)*D199,"")</f>
        <v>0</v>
      </c>
      <c r="I199" s="438"/>
      <c r="J199" s="1100" t="str">
        <f t="shared" si="31"/>
        <v/>
      </c>
      <c r="K199" s="271" t="str">
        <f ca="1">IF(OR(COUNTA(A199,D199)=2,COUNTA(A199,D199)=0),IF(E199=KALKULATION!$M$283,"Auswahl erneut vornehmen (ungültiger Verweis)!",""),"Eingabe unvollständig (ergänzen oder löschen)!")</f>
        <v/>
      </c>
      <c r="L199" s="216"/>
      <c r="M199" s="2015" t="str">
        <f ca="1">IF(Stammdaten!A124=0,"",Stammdaten!A124)</f>
        <v/>
      </c>
      <c r="N199" s="1342" t="str">
        <f t="shared" ca="1" si="32"/>
        <v/>
      </c>
    </row>
    <row r="200" spans="1:14" ht="17.850000000000001" customHeight="1" thickBot="1" x14ac:dyDescent="0.3">
      <c r="A200" s="2361" t="s">
        <v>921</v>
      </c>
      <c r="B200" s="2362"/>
      <c r="C200" s="2362"/>
      <c r="D200" s="2362"/>
      <c r="E200" s="2362"/>
      <c r="F200" s="2363"/>
      <c r="G200" s="950">
        <f ca="1">SUM(G194:G199)</f>
        <v>0</v>
      </c>
      <c r="H200" s="951">
        <f ca="1">SUM(H194:H199)</f>
        <v>0</v>
      </c>
      <c r="I200" s="438"/>
      <c r="J200" s="2319" t="str">
        <f>IF(SUM(D195:D199)&gt;1,"Hinweis: Entschädigungen C3 sind für mehr als 100% des Personals kalkuliert.","")</f>
        <v/>
      </c>
      <c r="K200" s="2319"/>
      <c r="L200" s="2320"/>
      <c r="M200" s="2015" t="str">
        <f ca="1">IF(Stammdaten!A125=0,"",Stammdaten!A125)</f>
        <v/>
      </c>
      <c r="N200" s="1342" t="str">
        <f t="shared" ca="1" si="32"/>
        <v/>
      </c>
    </row>
    <row r="201" spans="1:14" ht="17.850000000000001" customHeight="1" thickBot="1" x14ac:dyDescent="0.3">
      <c r="A201" s="2257" t="str">
        <f ca="1">"Die abgabepflichtigen Entgelte in Hv "&amp;TEXT(H200,"0,00€")&amp;" unterliegen zu "</f>
        <v xml:space="preserve">Die abgabepflichtigen Entgelte in Hv 0,00€ unterliegen zu </v>
      </c>
      <c r="B201" s="2258"/>
      <c r="C201" s="2258"/>
      <c r="D201" s="2258"/>
      <c r="E201" s="2258"/>
      <c r="F201" s="1015">
        <v>0</v>
      </c>
      <c r="G201" s="2362" t="s">
        <v>678</v>
      </c>
      <c r="H201" s="2362"/>
      <c r="I201" s="438"/>
      <c r="J201" s="2319"/>
      <c r="K201" s="2319"/>
      <c r="L201" s="2320"/>
      <c r="M201" s="2015" t="str">
        <f ca="1">IF(Stammdaten!A126=0,"",Stammdaten!A126)</f>
        <v/>
      </c>
      <c r="N201" s="1342" t="str">
        <f t="shared" ca="1" si="32"/>
        <v/>
      </c>
    </row>
    <row r="202" spans="1:14" ht="17.850000000000001" customHeight="1" x14ac:dyDescent="0.25">
      <c r="A202" s="2463"/>
      <c r="B202" s="2464"/>
      <c r="C202" s="2464"/>
      <c r="D202" s="2464"/>
      <c r="E202" s="2464"/>
      <c r="F202" s="2464"/>
      <c r="G202" s="2464"/>
      <c r="H202" s="2464"/>
      <c r="I202" s="438"/>
      <c r="J202" s="2319"/>
      <c r="K202" s="2319"/>
      <c r="L202" s="2320"/>
      <c r="M202" s="2015" t="str">
        <f ca="1">IF(Stammdaten!A127=0,"",Stammdaten!A127)</f>
        <v/>
      </c>
      <c r="N202" s="1342" t="str">
        <f t="shared" ca="1" si="32"/>
        <v/>
      </c>
    </row>
    <row r="203" spans="1:14" ht="20.100000000000001" customHeight="1" x14ac:dyDescent="0.25">
      <c r="A203" s="2247" t="s">
        <v>792</v>
      </c>
      <c r="B203" s="2248"/>
      <c r="C203" s="2248"/>
      <c r="D203" s="2248"/>
      <c r="E203" s="2248"/>
      <c r="F203" s="2248"/>
      <c r="G203" s="2248"/>
      <c r="H203" s="2248"/>
      <c r="I203" s="438"/>
      <c r="L203" s="216"/>
      <c r="M203" s="2015" t="str">
        <f>IF(Stammdaten!A128=0,"",Stammdaten!A128)</f>
        <v/>
      </c>
      <c r="N203" s="1342" t="str">
        <f t="shared" ref="N203" si="33">IF(M203="","",1*ROW())</f>
        <v/>
      </c>
    </row>
    <row r="204" spans="1:14" ht="17.850000000000001" customHeight="1" x14ac:dyDescent="0.25">
      <c r="A204" s="2648" t="s">
        <v>973</v>
      </c>
      <c r="B204" s="2649"/>
      <c r="C204" s="958" t="s">
        <v>557</v>
      </c>
      <c r="D204" s="2337" t="s">
        <v>974</v>
      </c>
      <c r="E204" s="2338"/>
      <c r="F204" s="2707" t="s">
        <v>680</v>
      </c>
      <c r="G204" s="2337" t="s">
        <v>931</v>
      </c>
      <c r="H204" s="2338"/>
      <c r="I204" s="438"/>
      <c r="L204" s="216"/>
      <c r="M204" s="1342" t="s">
        <v>568</v>
      </c>
      <c r="N204" s="1342">
        <f ca="1">MIN(N197:N203,ROW(N197))</f>
        <v>197</v>
      </c>
    </row>
    <row r="205" spans="1:14" ht="17.850000000000001" customHeight="1" x14ac:dyDescent="0.25">
      <c r="A205" s="2648"/>
      <c r="B205" s="2649"/>
      <c r="C205" s="2664" t="s">
        <v>558</v>
      </c>
      <c r="D205" s="2339"/>
      <c r="E205" s="2340"/>
      <c r="F205" s="2245"/>
      <c r="G205" s="2339"/>
      <c r="H205" s="2340"/>
      <c r="I205" s="438"/>
      <c r="L205" s="216"/>
      <c r="M205" s="1342" t="s">
        <v>569</v>
      </c>
      <c r="N205" s="1342">
        <f ca="1">MAX(N197:N203,ROW(N197))</f>
        <v>198</v>
      </c>
    </row>
    <row r="206" spans="1:14" ht="17.850000000000001" customHeight="1" x14ac:dyDescent="0.25">
      <c r="A206" s="2662" t="s">
        <v>1080</v>
      </c>
      <c r="B206" s="2663"/>
      <c r="C206" s="2665"/>
      <c r="D206" s="2339"/>
      <c r="E206" s="2340"/>
      <c r="F206" s="2245"/>
      <c r="G206" s="2341"/>
      <c r="H206" s="2342"/>
      <c r="I206" s="438"/>
      <c r="L206" s="216"/>
    </row>
    <row r="207" spans="1:14" ht="17.850000000000001" customHeight="1" thickBot="1" x14ac:dyDescent="0.3">
      <c r="A207" s="2252"/>
      <c r="B207" s="2254"/>
      <c r="C207" s="957" t="s">
        <v>559</v>
      </c>
      <c r="D207" s="2341"/>
      <c r="E207" s="2342"/>
      <c r="F207" s="2245"/>
      <c r="G207" s="2349" t="s">
        <v>793</v>
      </c>
      <c r="H207" s="2350"/>
      <c r="I207" s="438"/>
      <c r="J207" s="2229" t="str">
        <f>IF(G207=M208,"Information: Solche Entgelte sind idR abgabepflichtig. Prüfen!","")</f>
        <v/>
      </c>
      <c r="K207" s="2229"/>
      <c r="L207" s="2230"/>
      <c r="M207" s="1342" t="s">
        <v>679</v>
      </c>
    </row>
    <row r="208" spans="1:14" ht="17.850000000000001" customHeight="1" thickTop="1" thickBot="1" x14ac:dyDescent="0.3">
      <c r="A208" s="2851"/>
      <c r="B208" s="2852"/>
      <c r="C208" s="854"/>
      <c r="D208" s="1118" t="s">
        <v>575</v>
      </c>
      <c r="E208" s="565" t="s">
        <v>503</v>
      </c>
      <c r="F208" s="1016"/>
      <c r="G208" s="942" t="s">
        <v>320</v>
      </c>
      <c r="H208" s="959" t="s">
        <v>321</v>
      </c>
      <c r="I208" s="438"/>
      <c r="J208" s="1332" t="str">
        <f>IF(C208&lt;&gt;0,"I: Für "&amp;TEXT(C208*E$61,"0,0")&amp;" von "&amp;TEXT(E$61,"0,0")&amp;" Pers.","")</f>
        <v/>
      </c>
      <c r="K208" s="1310" t="str">
        <f>IF(G207="","Auswahl bei Pkt 5 vornehmen.","")</f>
        <v/>
      </c>
      <c r="L208" s="1325"/>
      <c r="M208" s="1342" t="s">
        <v>102</v>
      </c>
    </row>
    <row r="209" spans="1:19" ht="17.850000000000001" customHeight="1" thickTop="1" thickBot="1" x14ac:dyDescent="0.3">
      <c r="A209" s="1185"/>
      <c r="B209" s="948"/>
      <c r="C209" s="949"/>
      <c r="D209" s="971" t="s">
        <v>813</v>
      </c>
      <c r="E209" s="972">
        <f ca="1">IF(D209=_KV_Entgelt,G$45,IF(D209=_KV_AKV_Entg.,(G$45+H$45),0))</f>
        <v>22.85</v>
      </c>
      <c r="F209" s="973"/>
      <c r="G209" s="349" t="str">
        <f>IF(G207=M208,IFERROR(A208*C208*C209*F209*E209,""),"")</f>
        <v/>
      </c>
      <c r="H209" s="522">
        <f ca="1">IF(G207=M209,IFERROR(A208*C208*C209*F209*E209,""),"")</f>
        <v>0</v>
      </c>
      <c r="I209" s="438"/>
      <c r="J209" s="271" t="str">
        <f>IF(OR(COUNTA(A208,C208,C209,D209)=4,COUNTA(A208,C208,C209,D209)=0,AND(COUNTA(A208,C208,C209,D209)=1,D209&gt;0)),"","Eingabe unvollständig (ergänzen oder löschen)!")</f>
        <v/>
      </c>
      <c r="L209" s="216"/>
      <c r="M209" s="1342" t="s">
        <v>793</v>
      </c>
    </row>
    <row r="210" spans="1:19" ht="17.850000000000001" customHeight="1" thickBot="1" x14ac:dyDescent="0.3">
      <c r="A210" s="2257" t="str">
        <f ca="1">"Die abgabepflichtigen Entgelte in Hv "&amp;TEXT(H209,"0,00€")&amp;" unterliegen zu "</f>
        <v xml:space="preserve">Die abgabepflichtigen Entgelte in Hv 0,00€ unterliegen zu </v>
      </c>
      <c r="B210" s="2258"/>
      <c r="C210" s="2258"/>
      <c r="D210" s="2258"/>
      <c r="E210" s="2258"/>
      <c r="F210" s="1015">
        <v>1</v>
      </c>
      <c r="G210" s="2362" t="s">
        <v>678</v>
      </c>
      <c r="H210" s="2362"/>
      <c r="I210" s="438"/>
      <c r="J210" s="2319" t="str">
        <f>IF(SUM(C208)&gt;1,"Hinweis: Entschädigung C4.a ist für mehr als 100% des Personals kalkuliert.","")</f>
        <v/>
      </c>
      <c r="K210" s="2319"/>
      <c r="L210" s="2320"/>
      <c r="M210" s="1342" t="s">
        <v>797</v>
      </c>
    </row>
    <row r="211" spans="1:19" ht="17.850000000000001" customHeight="1" x14ac:dyDescent="0.25">
      <c r="A211" s="2424"/>
      <c r="B211" s="2425"/>
      <c r="C211" s="2425"/>
      <c r="D211" s="2425"/>
      <c r="E211" s="2425"/>
      <c r="F211" s="2425"/>
      <c r="G211" s="2425"/>
      <c r="H211" s="2425"/>
      <c r="I211" s="438"/>
      <c r="J211" s="2319"/>
      <c r="K211" s="2319"/>
      <c r="L211" s="2320"/>
      <c r="M211" s="1959"/>
      <c r="N211" s="1959"/>
      <c r="O211" s="1960"/>
      <c r="Q211" s="1973" t="s">
        <v>959</v>
      </c>
      <c r="R211" s="1958"/>
      <c r="S211" s="1984"/>
    </row>
    <row r="212" spans="1:19" ht="20.100000000000001" customHeight="1" x14ac:dyDescent="0.25">
      <c r="A212" s="2687" t="s">
        <v>794</v>
      </c>
      <c r="B212" s="2688"/>
      <c r="C212" s="2688"/>
      <c r="D212" s="2688"/>
      <c r="E212" s="2688"/>
      <c r="F212" s="2688"/>
      <c r="G212" s="2688"/>
      <c r="H212" s="2688"/>
      <c r="I212" s="438"/>
      <c r="J212" s="2319"/>
      <c r="K212" s="2319"/>
      <c r="L212" s="2320"/>
      <c r="M212" s="1961" t="s">
        <v>955</v>
      </c>
      <c r="O212" s="1965"/>
      <c r="P212" s="1342" t="s">
        <v>960</v>
      </c>
      <c r="Q212" s="1988" t="s">
        <v>320</v>
      </c>
      <c r="R212" s="1965" t="s">
        <v>321</v>
      </c>
      <c r="S212" s="1965"/>
    </row>
    <row r="213" spans="1:19" ht="17.850000000000001" customHeight="1" thickBot="1" x14ac:dyDescent="0.35">
      <c r="A213" s="2314" t="s">
        <v>795</v>
      </c>
      <c r="B213" s="2426"/>
      <c r="C213" s="2427"/>
      <c r="D213" s="2442"/>
      <c r="E213" s="2443"/>
      <c r="F213" s="2444"/>
      <c r="G213" s="715" t="str">
        <f>G208</f>
        <v>frei</v>
      </c>
      <c r="H213" s="959" t="str">
        <f>H208</f>
        <v>pflichtig</v>
      </c>
      <c r="I213" s="438"/>
      <c r="L213" s="216"/>
      <c r="M213" s="1342" t="s">
        <v>1125</v>
      </c>
      <c r="O213" s="2017">
        <f ca="1">(SUM(C68:C69)/C67)</f>
        <v>0.1111</v>
      </c>
      <c r="P213" s="2018">
        <f ca="1">O215</f>
        <v>0.1111</v>
      </c>
      <c r="Q213" s="2019">
        <f ca="1">$F221*G220/$C$95</f>
        <v>0.17699999999999999</v>
      </c>
      <c r="R213" s="2019">
        <f ca="1">$F221*H220/$C$95</f>
        <v>0.13200000000000001</v>
      </c>
      <c r="S213" s="1965" t="s">
        <v>415</v>
      </c>
    </row>
    <row r="214" spans="1:19" ht="17.850000000000001" customHeight="1" thickTop="1" thickBot="1" x14ac:dyDescent="0.3">
      <c r="A214" s="2689" t="s">
        <v>1140</v>
      </c>
      <c r="B214" s="2690"/>
      <c r="C214" s="2690"/>
      <c r="D214" s="2624" t="s">
        <v>796</v>
      </c>
      <c r="E214" s="2624"/>
      <c r="F214" s="2625"/>
      <c r="G214" s="952"/>
      <c r="H214" s="962">
        <v>50</v>
      </c>
      <c r="I214" s="578" t="str">
        <f>IF(OR(H214&lt;&gt;0,G214&lt;&gt;0),"X","")</f>
        <v>X</v>
      </c>
      <c r="J214" s="271" t="str">
        <f>IF(OR(AND(A214="",SUM(G214,H214)&gt;0),AND(A214&lt;&gt;"",SUM(G214,H214)=0)),"Eingabe unvollständig (ergänzen oder löschen)!","")</f>
        <v/>
      </c>
      <c r="L214" s="216"/>
      <c r="M214" s="1342" t="s">
        <v>956</v>
      </c>
      <c r="O214" s="2017">
        <f ca="1">C68/C67</f>
        <v>0</v>
      </c>
      <c r="P214" s="2018">
        <f>O216</f>
        <v>0</v>
      </c>
      <c r="Q214" s="2019">
        <f ca="1">$P217*G220/$C$95</f>
        <v>0.17699999999999999</v>
      </c>
      <c r="R214" s="2019">
        <f ca="1">$P217*H220/$C$95</f>
        <v>0.13200000000000001</v>
      </c>
      <c r="S214" s="1974" t="s">
        <v>961</v>
      </c>
    </row>
    <row r="215" spans="1:19" ht="17.850000000000001" customHeight="1" x14ac:dyDescent="0.25">
      <c r="A215" s="2255" t="str">
        <f>"Die abgabepflichtigen Entgelte in Hv "&amp;TEXT(H214,"0,00€")&amp;" unterliegen zu "</f>
        <v xml:space="preserve">Die abgabepflichtigen Entgelte in Hv 50,00€ unterliegen zu </v>
      </c>
      <c r="B215" s="2256"/>
      <c r="C215" s="2256"/>
      <c r="D215" s="2256"/>
      <c r="E215" s="2256"/>
      <c r="F215" s="762">
        <v>1</v>
      </c>
      <c r="G215" s="2453" t="s">
        <v>678</v>
      </c>
      <c r="H215" s="2453"/>
      <c r="I215" s="578"/>
      <c r="J215" s="271"/>
      <c r="L215" s="216"/>
      <c r="M215" s="1342" t="s">
        <v>957</v>
      </c>
      <c r="O215" s="2017">
        <f ca="1">C69/C67</f>
        <v>0.1111</v>
      </c>
      <c r="P215" s="2018">
        <f ca="1">O215</f>
        <v>0.1111</v>
      </c>
    </row>
    <row r="216" spans="1:19" ht="17.850000000000001" customHeight="1" x14ac:dyDescent="0.25">
      <c r="A216" s="2863"/>
      <c r="B216" s="2864"/>
      <c r="C216" s="2864"/>
      <c r="D216" s="2864"/>
      <c r="E216" s="2864"/>
      <c r="F216" s="2864"/>
      <c r="G216" s="2864"/>
      <c r="H216" s="2864"/>
      <c r="I216" s="578"/>
      <c r="J216" s="271"/>
      <c r="L216" s="216"/>
      <c r="M216" s="1342" t="s">
        <v>958</v>
      </c>
      <c r="O216" s="2017">
        <v>0</v>
      </c>
      <c r="P216" s="2018">
        <f>O216</f>
        <v>0</v>
      </c>
    </row>
    <row r="217" spans="1:19" ht="17.850000000000001" customHeight="1" x14ac:dyDescent="0.25">
      <c r="A217" s="2865"/>
      <c r="B217" s="2866"/>
      <c r="C217" s="2866"/>
      <c r="D217" s="2866"/>
      <c r="E217" s="2866"/>
      <c r="F217" s="2866"/>
      <c r="G217" s="2866"/>
      <c r="H217" s="2866"/>
      <c r="I217" s="438"/>
      <c r="L217" s="216"/>
      <c r="P217" s="1999">
        <f ca="1">VLOOKUP(C221,M213:P216,4,FALSE)</f>
        <v>0.1111</v>
      </c>
    </row>
    <row r="218" spans="1:19" ht="20.100000000000001" customHeight="1" x14ac:dyDescent="0.25">
      <c r="A218" s="2169" t="s">
        <v>966</v>
      </c>
      <c r="B218" s="2170"/>
      <c r="C218" s="2170"/>
      <c r="D218" s="2170"/>
      <c r="E218" s="2170"/>
      <c r="F218" s="2170"/>
      <c r="G218" s="2170"/>
      <c r="H218" s="2170"/>
      <c r="I218" s="438"/>
      <c r="L218" s="216"/>
      <c r="M218" s="2020" t="s">
        <v>888</v>
      </c>
      <c r="N218" s="1959"/>
      <c r="O218" s="1960">
        <f ca="1">E55/E45</f>
        <v>0.1</v>
      </c>
    </row>
    <row r="219" spans="1:19" ht="20.100000000000001" customHeight="1" thickBot="1" x14ac:dyDescent="0.3">
      <c r="A219" s="45"/>
      <c r="B219" s="965"/>
      <c r="C219" s="965"/>
      <c r="D219" s="965"/>
      <c r="E219" s="965"/>
      <c r="F219" s="965"/>
      <c r="G219" s="715" t="s">
        <v>320</v>
      </c>
      <c r="H219" s="1113" t="s">
        <v>321</v>
      </c>
      <c r="I219" s="438"/>
      <c r="L219" s="216"/>
      <c r="N219" s="1342" t="s">
        <v>320</v>
      </c>
      <c r="O219" s="2021">
        <f ca="1">G224*O218</f>
        <v>7.66</v>
      </c>
    </row>
    <row r="220" spans="1:19" ht="17.850000000000001" customHeight="1" thickTop="1" x14ac:dyDescent="0.25">
      <c r="A220" s="2657" t="s">
        <v>890</v>
      </c>
      <c r="B220" s="2658"/>
      <c r="C220" s="2658"/>
      <c r="D220" s="2658"/>
      <c r="E220" s="2658"/>
      <c r="F220" s="2658"/>
      <c r="G220" s="51">
        <f ca="1">SUM(G178,G189,G200,G209,G214)</f>
        <v>66.900000000000006</v>
      </c>
      <c r="H220" s="84">
        <f ca="1">SUM(H178,H189,H200,H209,H214)</f>
        <v>50</v>
      </c>
      <c r="I220" s="438"/>
      <c r="L220" s="216"/>
      <c r="M220" s="1967"/>
      <c r="N220" s="2022" t="s">
        <v>889</v>
      </c>
      <c r="O220" s="2023">
        <f ca="1">H224*O218</f>
        <v>5.72</v>
      </c>
    </row>
    <row r="221" spans="1:19" ht="17.850000000000001" customHeight="1" thickBot="1" x14ac:dyDescent="0.3">
      <c r="A221" s="2659" t="str">
        <f ca="1">IF(G72&lt;&gt;0,"E6.a) Zuschlag für B2:  ↓","E6.a) Nicht relevant (B2=0)")</f>
        <v>E6.a) Zuschlag für B2:  ↓</v>
      </c>
      <c r="B221" s="2660"/>
      <c r="C221" s="2849" t="s">
        <v>972</v>
      </c>
      <c r="D221" s="2849"/>
      <c r="E221" s="2850"/>
      <c r="F221" s="966">
        <f ca="1">IFERROR(VLOOKUP(C221,M213:O216,3,FALSE),M283)</f>
        <v>0.1111</v>
      </c>
      <c r="G221" s="354">
        <f ca="1">F221*G220</f>
        <v>7.43</v>
      </c>
      <c r="H221" s="571">
        <f ca="1">F221*H220</f>
        <v>5.56</v>
      </c>
      <c r="I221" s="438"/>
      <c r="J221" s="2263" t="str">
        <f>"Information zu E6.a: "&amp;IF(C221=M213,"Die Auswahl (1) stellt den Regelfall dar. Unproduktive Zeiten (Ansatz in B2) schmälern Entgelte aus Pkt E nicht und für unproduktives Personal fallen Entgelte in vergleichbarer Höhe wie für das produktive Personal an. ",IF(C221=M214,"Die Auswahl (2) ist zutreffend, wenn für unproduktives Personal keine Entgelte gem Pkt E in vergleichbarer Höhe wie für das produktive Personal anfallen. Allfällige sonstige unproduktive Zeiten gem B2.b sind idR zu berücksichtigen. ",IF(C221=M215,"Die Auswahl (3) ist nur in besonderen Ausnahmefällen plausibel, und zwar dann, wenn in den nicht erlösbringenden Zeiten kein Entgeltanspruch gem Pkt E besteht. "&amp;"Ansonsten sind allfällige sonstige unproduktive Zeiten gem B2.b idR zu berücksichtigen; (1) auswählen! ","Die Auswahl (4) ist nur in sehr individuellen Fällen plausibel. IdR ist (1) zu wählen. ")))</f>
        <v xml:space="preserve">Information zu E6.a: Die Auswahl (1) stellt den Regelfall dar. Unproduktive Zeiten (Ansatz in B2) schmälern Entgelte aus Pkt E nicht und für unproduktives Personal fallen Entgelte in vergleichbarer Höhe wie für das produktive Personal an. </v>
      </c>
      <c r="K221" s="2263"/>
      <c r="L221" s="2264"/>
      <c r="M221" s="1342" t="str">
        <f ca="1">"Bei analoger Berücksichtigung wie beim produktiven Personal ist ein Zuschlag von
"&amp;TEXT(O218,"0,0%")&amp;" bzw ein Betrag abgabefrei in Hv "&amp;TEXT(O219,"0,00€")&amp;" abgabepflichtig in Hv "&amp;TEXT(O220,"0,00€")&amp;"
erforderlich. Gegebenenfalls diese Beträge oder, wenn nur Teile von E1 bis E5 zutreffen anteilig, unter Pkt E6.c eintragen."</f>
        <v>Bei analoger Berücksichtigung wie beim produktiven Personal ist ein Zuschlag von
10,0% bzw ein Betrag abgabefrei in Hv 7,66€ abgabepflichtig in Hv 5,72€
erforderlich. Gegebenenfalls diese Beträge oder, wenn nur Teile von E1 bis E5 zutreffen anteilig, unter Pkt E6.c eintragen.</v>
      </c>
    </row>
    <row r="222" spans="1:19" ht="17.850000000000001" customHeight="1" x14ac:dyDescent="0.25">
      <c r="A222" s="2255" t="s">
        <v>799</v>
      </c>
      <c r="B222" s="2256"/>
      <c r="C222" s="2256"/>
      <c r="D222" s="2256"/>
      <c r="E222" s="2256"/>
      <c r="F222" s="2745"/>
      <c r="G222" s="51">
        <f ca="1">SUM(G220:G221)</f>
        <v>74.33</v>
      </c>
      <c r="H222" s="73">
        <f ca="1">SUM(H220:H221)</f>
        <v>55.56</v>
      </c>
      <c r="I222" s="438"/>
      <c r="J222" s="2263"/>
      <c r="K222" s="2263"/>
      <c r="L222" s="2264"/>
    </row>
    <row r="223" spans="1:19" ht="17.850000000000001" customHeight="1" thickBot="1" x14ac:dyDescent="0.3">
      <c r="A223" s="2622" t="s">
        <v>801</v>
      </c>
      <c r="B223" s="2623"/>
      <c r="C223" s="2623"/>
      <c r="D223" s="2623"/>
      <c r="E223" s="2645"/>
      <c r="F223" s="967">
        <v>0.03</v>
      </c>
      <c r="G223" s="60">
        <f ca="1">F223*G222</f>
        <v>2.23</v>
      </c>
      <c r="H223" s="963">
        <f ca="1">F223*H222</f>
        <v>1.67</v>
      </c>
      <c r="I223" s="578" t="str">
        <f>IF(F223&lt;&gt;0,"X","")</f>
        <v>X</v>
      </c>
      <c r="J223" s="2263"/>
      <c r="K223" s="2263"/>
      <c r="L223" s="2264"/>
    </row>
    <row r="224" spans="1:19" ht="17.850000000000001" customHeight="1" x14ac:dyDescent="0.25">
      <c r="A224" s="2255" t="s">
        <v>800</v>
      </c>
      <c r="B224" s="2256"/>
      <c r="C224" s="2256"/>
      <c r="D224" s="2256"/>
      <c r="E224" s="2256"/>
      <c r="F224" s="2745"/>
      <c r="G224" s="51">
        <f ca="1">SUM(G222,G223)</f>
        <v>76.56</v>
      </c>
      <c r="H224" s="73">
        <f ca="1">SUM(H222,H223)</f>
        <v>57.23</v>
      </c>
      <c r="I224" s="578"/>
      <c r="J224" s="2263"/>
      <c r="K224" s="2263"/>
      <c r="L224" s="2264"/>
      <c r="M224" s="2024" t="s">
        <v>589</v>
      </c>
      <c r="N224" s="2024"/>
      <c r="O224" s="2024"/>
      <c r="P224" s="2024"/>
      <c r="Q224" s="2025"/>
    </row>
    <row r="225" spans="1:19" ht="17.850000000000001" customHeight="1" thickBot="1" x14ac:dyDescent="0.3">
      <c r="A225" s="2622" t="s">
        <v>954</v>
      </c>
      <c r="B225" s="2623"/>
      <c r="C225" s="2623"/>
      <c r="D225" s="2645"/>
      <c r="E225" s="968"/>
      <c r="F225" s="968"/>
      <c r="G225" s="60">
        <f ca="1">IF(G224=0,0,E225)</f>
        <v>0</v>
      </c>
      <c r="H225" s="571">
        <f ca="1">IF(H224=0,0,F225)</f>
        <v>0</v>
      </c>
      <c r="I225" s="578" t="str">
        <f>IF(OR(E225&lt;&gt;0,F225&lt;&gt;0),"X","")</f>
        <v/>
      </c>
      <c r="J225" s="2263"/>
      <c r="K225" s="2263"/>
      <c r="L225" s="2264"/>
      <c r="M225" s="519" t="s">
        <v>88</v>
      </c>
      <c r="N225" s="519"/>
      <c r="O225" s="519" t="s">
        <v>583</v>
      </c>
      <c r="P225" s="519" t="s">
        <v>584</v>
      </c>
      <c r="Q225" s="2026"/>
    </row>
    <row r="226" spans="1:19" ht="17.850000000000001" customHeight="1" thickBot="1" x14ac:dyDescent="0.3">
      <c r="A226" s="2746" t="s">
        <v>798</v>
      </c>
      <c r="B226" s="2747"/>
      <c r="C226" s="2747"/>
      <c r="D226" s="2747"/>
      <c r="E226" s="2747"/>
      <c r="F226" s="2748"/>
      <c r="G226" s="349">
        <f ca="1">SUM(G224:G225)</f>
        <v>76.56</v>
      </c>
      <c r="H226" s="522">
        <f ca="1">SUM(H224:H225)</f>
        <v>57.23</v>
      </c>
      <c r="I226" s="438"/>
      <c r="J226" s="2178" t="str">
        <f ca="1">IF(OR(AND(G224=0,E225&lt;&gt;0),AND(H224=0,F225&lt;&gt;0)),"Zu E6.c: Keine Anpassung ohne Grundkalkulation (bzw Wert =0)!","")</f>
        <v/>
      </c>
      <c r="K226" s="2178"/>
      <c r="L226" s="2179"/>
      <c r="M226" s="519" t="s">
        <v>582</v>
      </c>
      <c r="N226" s="2027">
        <f ca="1">IFERROR(O226/O$231,0)</f>
        <v>0</v>
      </c>
      <c r="O226" s="2028">
        <f ca="1">H178</f>
        <v>0</v>
      </c>
      <c r="P226" s="2029">
        <f>F179</f>
        <v>1</v>
      </c>
      <c r="Q226" s="2030">
        <f ca="1">N226*P226</f>
        <v>0</v>
      </c>
    </row>
    <row r="227" spans="1:19" ht="17.850000000000001" customHeight="1" x14ac:dyDescent="0.25">
      <c r="A227" s="1884" t="str">
        <f ca="1">"E) Ergebnis Abgabefrei (K3 Z 11) bei "&amp;TEXT(C95,"0,00")&amp;" Std/Wo in € pro Std"</f>
        <v>E) Ergebnis Abgabefrei (K3 Z 11) bei 42,00 Std/Wo in € pro Std</v>
      </c>
      <c r="B227" s="1885"/>
      <c r="C227" s="1885"/>
      <c r="D227" s="1885"/>
      <c r="E227" s="1885"/>
      <c r="F227" s="1886" t="s">
        <v>1109</v>
      </c>
      <c r="G227" s="1209">
        <f ca="1">IFERROR(IF(F227=Q35,ROUNDUP(G226/C95,1),G226/C95),"?")</f>
        <v>1.9</v>
      </c>
      <c r="H227" s="964"/>
      <c r="I227" s="438"/>
      <c r="J227" s="1206"/>
      <c r="K227" s="1206"/>
      <c r="L227" s="1207"/>
      <c r="M227" s="519" t="s">
        <v>585</v>
      </c>
      <c r="N227" s="2027">
        <f t="shared" ref="N227:N230" ca="1" si="34">IFERROR(O227/O$231,0)</f>
        <v>0</v>
      </c>
      <c r="O227" s="2031">
        <f ca="1">H189</f>
        <v>0</v>
      </c>
      <c r="P227" s="2029">
        <f>F190</f>
        <v>0</v>
      </c>
      <c r="Q227" s="2030">
        <f ca="1">N227*P227</f>
        <v>0</v>
      </c>
    </row>
    <row r="228" spans="1:19" ht="17.850000000000001" customHeight="1" thickBot="1" x14ac:dyDescent="0.3">
      <c r="A228" s="2659" t="str">
        <f ca="1">"E) Ergebnis Abgabepflichtig (K3 Z 9) bei "&amp;TEXT(C95,"0,00")&amp;" Std/Wo in € pro Std"</f>
        <v>E) Ergebnis Abgabepflichtig (K3 Z 9) bei 42,00 Std/Wo in € pro Std</v>
      </c>
      <c r="B228" s="2660"/>
      <c r="C228" s="2660"/>
      <c r="D228" s="2660"/>
      <c r="E228" s="2661"/>
      <c r="F228" s="1886" t="s">
        <v>1109</v>
      </c>
      <c r="G228" s="592"/>
      <c r="H228" s="1208">
        <f ca="1">IFERROR(IF(F228=Q35,ROUNDUP(H226/C95,1),H226/C95),"?")</f>
        <v>1.4</v>
      </c>
      <c r="I228" s="438"/>
      <c r="J228" s="1206"/>
      <c r="K228" s="1206"/>
      <c r="L228" s="1207"/>
      <c r="M228" s="519" t="s">
        <v>586</v>
      </c>
      <c r="N228" s="2027">
        <f t="shared" ca="1" si="34"/>
        <v>0</v>
      </c>
      <c r="O228" s="2031">
        <f ca="1">H200</f>
        <v>0</v>
      </c>
      <c r="P228" s="2029">
        <f>F201</f>
        <v>0</v>
      </c>
      <c r="Q228" s="2030">
        <f ca="1">N228*P228</f>
        <v>0</v>
      </c>
    </row>
    <row r="229" spans="1:19" ht="17.850000000000001" customHeight="1" x14ac:dyDescent="0.25">
      <c r="A229" s="566" t="s">
        <v>1112</v>
      </c>
      <c r="B229" s="447"/>
      <c r="C229" s="447"/>
      <c r="D229" s="447"/>
      <c r="E229" s="447"/>
      <c r="F229" s="447"/>
      <c r="G229" s="663">
        <f ca="1">IFERROR(IF(F227=Q35,ROUNDUP((G226-G177*(1+F221)*(1+F223)-G221-G223)/C95,1),(G226-G177*(1+F221)*(1+F223)-G221-G223)/C95),"?")</f>
        <v>1.6</v>
      </c>
      <c r="H229" s="663">
        <f ca="1">IFERROR(IF(F228=Q35,ROUNDUP((H226-H221-H223)/C95,1),(H226-H221-H223)/C95),"?")</f>
        <v>1.2</v>
      </c>
      <c r="I229" s="438"/>
      <c r="L229" s="216"/>
      <c r="M229" s="519" t="s">
        <v>809</v>
      </c>
      <c r="N229" s="2027">
        <f t="shared" ca="1" si="34"/>
        <v>0</v>
      </c>
      <c r="O229" s="2028">
        <f ca="1">IF(H209="",0,H209)</f>
        <v>0</v>
      </c>
      <c r="P229" s="2029">
        <f>F210</f>
        <v>1</v>
      </c>
      <c r="Q229" s="2030">
        <f ca="1">N229*P229</f>
        <v>0</v>
      </c>
    </row>
    <row r="230" spans="1:19" ht="20.100000000000001" customHeight="1" x14ac:dyDescent="0.25">
      <c r="A230" s="2317" t="str">
        <f ca="1">A74</f>
        <v>Info: KV &amp; up.Z: 22,00€ | abgabepfl. Pers.ko: 28,00€ | vor Uml: 60,00€ | KOSTEN: 66,88€ | PREIS: 86,28€</v>
      </c>
      <c r="B230" s="2318"/>
      <c r="C230" s="2318"/>
      <c r="D230" s="2318"/>
      <c r="E230" s="2318"/>
      <c r="F230" s="2318"/>
      <c r="G230" s="2318"/>
      <c r="H230" s="2318"/>
      <c r="I230" s="438"/>
      <c r="L230" s="216"/>
      <c r="M230" s="519" t="s">
        <v>810</v>
      </c>
      <c r="N230" s="2027">
        <f t="shared" ca="1" si="34"/>
        <v>1</v>
      </c>
      <c r="O230" s="2031">
        <f>IFERROR(H214,0)</f>
        <v>50</v>
      </c>
      <c r="P230" s="2029">
        <f>F215</f>
        <v>1</v>
      </c>
      <c r="Q230" s="2030">
        <f ca="1">N230*P230</f>
        <v>1</v>
      </c>
    </row>
    <row r="231" spans="1:19" ht="17.850000000000001" customHeight="1" x14ac:dyDescent="0.25">
      <c r="A231" s="2351"/>
      <c r="B231" s="2352"/>
      <c r="C231" s="2352"/>
      <c r="D231" s="2352"/>
      <c r="E231" s="2352"/>
      <c r="F231" s="2352"/>
      <c r="G231" s="2352"/>
      <c r="H231" s="2352"/>
      <c r="I231" s="2352"/>
      <c r="L231" s="216"/>
      <c r="M231" s="2032" t="s">
        <v>377</v>
      </c>
      <c r="N231" s="2032"/>
      <c r="O231" s="2033">
        <f ca="1">SUM(O226:O230)</f>
        <v>50</v>
      </c>
      <c r="P231" s="2032"/>
      <c r="Q231" s="2034">
        <f ca="1">SUM(Q226:Q230)</f>
        <v>1</v>
      </c>
    </row>
    <row r="232" spans="1:19" ht="25.15" customHeight="1" x14ac:dyDescent="0.25">
      <c r="A232" s="2223" t="s">
        <v>504</v>
      </c>
      <c r="B232" s="2224"/>
      <c r="C232" s="2224"/>
      <c r="D232" s="2224"/>
      <c r="E232" s="2224"/>
      <c r="F232" s="2224"/>
      <c r="G232" s="2224"/>
      <c r="H232" s="2224"/>
      <c r="I232" s="438"/>
      <c r="L232" s="216"/>
      <c r="M232" s="519"/>
      <c r="N232" s="519"/>
      <c r="O232" s="519"/>
      <c r="P232" s="519"/>
      <c r="Q232" s="2026"/>
    </row>
    <row r="233" spans="1:19" ht="20.100000000000001" customHeight="1" x14ac:dyDescent="0.25">
      <c r="A233" s="1186" t="s">
        <v>505</v>
      </c>
      <c r="B233" s="590"/>
      <c r="C233" s="590"/>
      <c r="D233" s="1094"/>
      <c r="E233" s="1094"/>
      <c r="F233" s="1094"/>
      <c r="G233" s="1094"/>
      <c r="H233" s="1094"/>
      <c r="I233" s="438"/>
      <c r="L233" s="216"/>
      <c r="M233" s="519"/>
      <c r="N233" s="2035" t="s">
        <v>587</v>
      </c>
      <c r="O233" s="2035"/>
      <c r="P233" s="2036">
        <f ca="1">Q231</f>
        <v>1</v>
      </c>
      <c r="Q233" s="2026"/>
    </row>
    <row r="234" spans="1:19" ht="17.850000000000001" customHeight="1" x14ac:dyDescent="0.25">
      <c r="A234" s="2653" t="str">
        <f ca="1">"F1.a) Direkte Personalnebenkosten (DPNK) gem Stamm-/Quelldaten (Basis "&amp;TEXT(Stammdaten!I9,"TT.MM.JJJJ")&amp;")"</f>
        <v>F1.a) Direkte Personalnebenkosten (DPNK) gem Stamm-/Quelldaten (Basis 01.01.2026)</v>
      </c>
      <c r="B234" s="2654"/>
      <c r="C234" s="2654"/>
      <c r="D234" s="2654"/>
      <c r="E234" s="2654"/>
      <c r="F234" s="2654"/>
      <c r="G234" s="2655"/>
      <c r="H234" s="998">
        <f ca="1">IFERROR(Stammdaten!B151,"")</f>
        <v>0.28739999999999999</v>
      </c>
      <c r="I234" s="438"/>
      <c r="J234" s="2485" t="str">
        <f ca="1">IF((TODAY()-Stammdaten!I9)&gt;365,"Daten in der Quelldatei (Blatt DPNK) sind offenbar älter als 1 Jahr. Auf Aktualität prüfen und die Datumsangabe aktualisieren (in der Quelldatei, Blatt DPNK)!","")</f>
        <v/>
      </c>
      <c r="K234" s="2485"/>
      <c r="L234" s="2486"/>
      <c r="M234" s="2037" t="s">
        <v>17</v>
      </c>
      <c r="N234" s="2038" t="s">
        <v>588</v>
      </c>
      <c r="O234" s="2038"/>
      <c r="P234" s="2039">
        <f ca="1">1-P233</f>
        <v>0</v>
      </c>
      <c r="Q234" s="2040"/>
      <c r="R234" s="1342" t="s">
        <v>819</v>
      </c>
      <c r="S234" s="1343">
        <f ca="1">M235-N235</f>
        <v>26.6</v>
      </c>
    </row>
    <row r="235" spans="1:19" ht="17.850000000000001" customHeight="1" thickBot="1" x14ac:dyDescent="0.3">
      <c r="A235" s="2714" t="s">
        <v>808</v>
      </c>
      <c r="B235" s="2715"/>
      <c r="C235" s="2715"/>
      <c r="D235" s="2715"/>
      <c r="E235" s="2715"/>
      <c r="F235" s="2715"/>
      <c r="G235" s="2716"/>
      <c r="H235" s="999"/>
      <c r="I235" s="578" t="str">
        <f>IF(H235&lt;&gt;0,"X","")</f>
        <v/>
      </c>
      <c r="J235" s="2485"/>
      <c r="K235" s="2485"/>
      <c r="L235" s="2486"/>
      <c r="M235" s="2041">
        <f ca="1">' K3 PP'!O28</f>
        <v>28</v>
      </c>
      <c r="N235" s="2042">
        <f ca="1">' K3 PP'!O27</f>
        <v>1.4</v>
      </c>
      <c r="O235" s="519" t="s">
        <v>817</v>
      </c>
      <c r="P235" s="2043">
        <f ca="1">N235*P233</f>
        <v>1.4</v>
      </c>
      <c r="Q235" s="2043">
        <f ca="1">M235-N235+P235</f>
        <v>28</v>
      </c>
      <c r="R235" s="1342" t="s">
        <v>820</v>
      </c>
      <c r="S235" s="1343">
        <f ca="1">S234+P235</f>
        <v>28</v>
      </c>
    </row>
    <row r="236" spans="1:19" ht="17.850000000000001" customHeight="1" x14ac:dyDescent="0.25">
      <c r="A236" s="2144" t="str">
        <f ca="1">IFERROR("F1) Ergebnis Direkte Personalnebenkosten (K3 Zeile 12) "&amp;TEXT(' K3 PP'!O30,"0,00€")&amp;" bzw in %",KALKULATION!M286)</f>
        <v>F1) Ergebnis Direkte Personalnebenkosten (K3 Zeile 12) 8,12€ bzw in %</v>
      </c>
      <c r="B236" s="2145"/>
      <c r="C236" s="2145"/>
      <c r="D236" s="2145"/>
      <c r="E236" s="2145"/>
      <c r="F236" s="2145"/>
      <c r="G236" s="2145"/>
      <c r="H236" s="580">
        <f ca="1">IF(_OK?="OK!",SUM(H234:H235),ROUND(H234,2))</f>
        <v>0.28999999999999998</v>
      </c>
      <c r="I236" s="438"/>
      <c r="J236" s="2293" t="str">
        <f>IF(H235="","","Hinweis: DPNK lassen sich genau bestimmen/nachrechnen!")</f>
        <v/>
      </c>
      <c r="K236" s="2293"/>
      <c r="L236" s="2294"/>
      <c r="M236" s="2040" t="s">
        <v>815</v>
      </c>
      <c r="N236" s="2044" t="s">
        <v>816</v>
      </c>
      <c r="O236" s="519" t="s">
        <v>818</v>
      </c>
      <c r="P236" s="2043">
        <f ca="1">N235*P234</f>
        <v>0</v>
      </c>
      <c r="Q236" s="2043">
        <f ca="1">M235-N235+P236</f>
        <v>26.6</v>
      </c>
      <c r="R236" s="1342" t="s">
        <v>821</v>
      </c>
      <c r="S236" s="1343">
        <f ca="1">S235+P236</f>
        <v>28</v>
      </c>
    </row>
    <row r="237" spans="1:19" ht="20.100000000000001" customHeight="1" x14ac:dyDescent="0.25">
      <c r="A237" s="2709"/>
      <c r="B237" s="2710"/>
      <c r="C237" s="2710"/>
      <c r="D237" s="2710"/>
      <c r="E237" s="2710"/>
      <c r="F237" s="2710"/>
      <c r="G237" s="2710"/>
      <c r="H237" s="2710"/>
      <c r="I237" s="438"/>
      <c r="J237" s="271" t="str">
        <f ca="1">IF(_OK?&lt;&gt;"OK!","Wegen fehlender Lizenz aufgerundet!","")</f>
        <v>Wegen fehlender Lizenz aufgerundet!</v>
      </c>
      <c r="L237" s="216"/>
    </row>
    <row r="238" spans="1:19" ht="20.100000000000001" customHeight="1" x14ac:dyDescent="0.25">
      <c r="A238" s="1186" t="s">
        <v>506</v>
      </c>
      <c r="B238" s="590"/>
      <c r="C238" s="590"/>
      <c r="D238" s="590"/>
      <c r="E238" s="590"/>
      <c r="F238" s="590"/>
      <c r="G238" s="590"/>
      <c r="H238" s="590"/>
      <c r="I238" s="438"/>
      <c r="J238" s="2319" t="str">
        <f ca="1">IFERROR(IF(H239-Stammdaten!C160&lt;&gt;0,"Hinweis: Wert aus der Quelldatei ist im Blatt STAMMDATEN individuell geändert!",""),"Stammdaten unvollständig / Quelldatei nicht verknüpft!")</f>
        <v/>
      </c>
      <c r="K238" s="2319"/>
      <c r="L238" s="2320"/>
      <c r="M238" s="2867" t="str">
        <f ca="1">"Zu F2.b1) Das abgabepfl. Entgelt gem K3-Blatt (Z 10) beträgt "&amp;TEXT(M235,"0,00€")&amp;". Darin sind abgabepfl. Entschädigungen nach den Ansätzen in Pkt E in Hv "&amp;TEXT(N235,"0,00€")&amp;" enthalten. "</f>
        <v xml:space="preserve">Zu F2.b1) Das abgabepfl. Entgelt gem K3-Blatt (Z 10) beträgt 28,00€. Darin sind abgabepfl. Entschädigungen nach den Ansätzen in Pkt E in Hv 1,40€ enthalten. </v>
      </c>
      <c r="N238" s="2867"/>
      <c r="O238" s="2867"/>
      <c r="P238" s="2867"/>
      <c r="Q238" s="2867"/>
    </row>
    <row r="239" spans="1:19" ht="17.25" customHeight="1" x14ac:dyDescent="0.25">
      <c r="A239" s="2134" t="s">
        <v>373</v>
      </c>
      <c r="B239" s="2135"/>
      <c r="C239" s="2135"/>
      <c r="D239" s="2135"/>
      <c r="E239" s="2135"/>
      <c r="F239" s="2135"/>
      <c r="G239" s="2135"/>
      <c r="H239" s="1010">
        <f ca="1">Stammdaten!E160</f>
        <v>0.95199999999999996</v>
      </c>
      <c r="I239" s="438"/>
      <c r="J239" s="2319"/>
      <c r="K239" s="2319"/>
      <c r="L239" s="2320"/>
      <c r="M239" s="2867"/>
      <c r="N239" s="2867"/>
      <c r="O239" s="2867"/>
      <c r="P239" s="2867"/>
      <c r="Q239" s="2867"/>
    </row>
    <row r="240" spans="1:19" ht="17.850000000000001" customHeight="1" x14ac:dyDescent="0.25">
      <c r="A240" s="45"/>
      <c r="I240" s="438"/>
      <c r="J240" s="2167" t="str">
        <f>IF(G242=_Nein,"Hinweis zu F2.a): Mehrarbeit schafft für Teile der UPNK eine größere Basis. Sind die UPNK nach einer Musterberechnung (die auf KollV-Normalarbeitszeit fußt) ermittelt, sollte die Anpassung der UPNK gewählt werden.","")</f>
        <v/>
      </c>
      <c r="K240" s="2167"/>
      <c r="L240" s="2168"/>
      <c r="M240" s="2867" t="str">
        <f ca="1">"Von diesen sind "&amp;TEXT(P236,"0,00€")&amp;" jedoch nicht den UPNK zu unterwerfen. Daher können die UPNK um den Faktor ("&amp;TEXT(S235,"0,00€")&amp;"/"&amp;TEXT(S236,"0,00€")&amp;") "&amp;TEXT(S235/S236,"0,0000")&amp;" abgemindert werden. "&amp;"Diese Abminderung ist für UPNK, die nach einer Musterberechnung ermittelt sind, relevant. Sind die UPNK aus der eigenen Kostenrechnung ermittelt, ist zu prüfen, welche Basis dieser Ermittlung zugrunde gelegt wurde."</f>
        <v>Von diesen sind 0,00€ jedoch nicht den UPNK zu unterwerfen. Daher können die UPNK um den Faktor (28,00€/28,00€) 1,0000 abgemindert werden. Diese Abminderung ist für UPNK, die nach einer Musterberechnung ermittelt sind, relevant. Sind die UPNK aus der eigenen Kostenrechnung ermittelt, ist zu prüfen, welche Basis dieser Ermittlung zugrunde gelegt wurde.</v>
      </c>
      <c r="N240" s="2867"/>
      <c r="O240" s="2867"/>
      <c r="P240" s="2867"/>
      <c r="Q240" s="2867"/>
    </row>
    <row r="241" spans="1:17" ht="17.850000000000001" customHeight="1" x14ac:dyDescent="0.25">
      <c r="A241" s="2169" t="str">
        <f ca="1">"F2 …) Festlegungen für eine allfällig erforderliche Anpassung der UPNK in Hv "&amp;TEXT(H239,"0,00%")</f>
        <v>F2 …) Festlegungen für eine allfällig erforderliche Anpassung der UPNK in Hv 95,20%</v>
      </c>
      <c r="B241" s="2170"/>
      <c r="C241" s="2170"/>
      <c r="D241" s="2170"/>
      <c r="E241" s="2170"/>
      <c r="F241" s="2170"/>
      <c r="G241" s="2170"/>
      <c r="H241" s="2170"/>
      <c r="I241" s="438"/>
      <c r="J241" s="2167"/>
      <c r="K241" s="2167"/>
      <c r="L241" s="2168"/>
      <c r="M241" s="2867"/>
      <c r="N241" s="2867"/>
      <c r="O241" s="2867"/>
      <c r="P241" s="2867"/>
      <c r="Q241" s="2867"/>
    </row>
    <row r="242" spans="1:17" ht="17.850000000000001" customHeight="1" x14ac:dyDescent="0.25">
      <c r="A242" s="2169" t="s">
        <v>507</v>
      </c>
      <c r="B242" s="2170"/>
      <c r="C242" s="2171"/>
      <c r="D242" s="2750" t="str">
        <f ca="1">IF(C95-C87=0,"Info: Keine Mehrarbeit kalkuliert!","Berücksichtige? (Ja/Nein): ↓")</f>
        <v>Berücksichtige? (Ja/Nein): ↓</v>
      </c>
      <c r="E242" s="2750"/>
      <c r="F242" s="2751"/>
      <c r="G242" s="524" t="s">
        <v>192</v>
      </c>
      <c r="H242" s="1102" t="s">
        <v>224</v>
      </c>
      <c r="I242" s="438"/>
      <c r="J242" s="2167"/>
      <c r="K242" s="2167"/>
      <c r="L242" s="2168"/>
      <c r="M242" s="2867"/>
      <c r="N242" s="2867"/>
      <c r="O242" s="2867"/>
      <c r="P242" s="2867"/>
      <c r="Q242" s="2867"/>
    </row>
    <row r="243" spans="1:17" ht="17.850000000000001" customHeight="1" x14ac:dyDescent="0.25">
      <c r="A243" s="2345" t="s">
        <v>284</v>
      </c>
      <c r="B243" s="2346"/>
      <c r="C243" s="595">
        <f ca="1">' K3 PP'!P9</f>
        <v>39</v>
      </c>
      <c r="D243" s="1098" t="s">
        <v>285</v>
      </c>
      <c r="E243" s="595">
        <f ca="1">' K3 PP'!P19</f>
        <v>42</v>
      </c>
      <c r="F243" s="2656" t="s">
        <v>682</v>
      </c>
      <c r="G243" s="2656"/>
      <c r="H243" s="1000">
        <f ca="1">IF(C95-C87=0,1,IF(G242=_Ja,C243/E243,1))</f>
        <v>0.92859999999999998</v>
      </c>
      <c r="I243" s="583"/>
      <c r="J243" s="2263" t="str">
        <f ca="1">IF(AND(P236=0,G245=_Ja),"
Pkt F2.b1 ist wegen der Eingaben/Einstellungen in Pkt E nicht relevant. Es erfolgt keine Anpassung.",IF(G245=_Ja,M238&amp;M240,""))</f>
        <v xml:space="preserve">
Pkt F2.b1 ist wegen der Eingaben/Einstellungen in Pkt E nicht relevant. Es erfolgt keine Anpassung.</v>
      </c>
      <c r="K243" s="2263"/>
      <c r="L243" s="2264"/>
      <c r="M243" s="2867"/>
      <c r="N243" s="2867"/>
      <c r="O243" s="2867"/>
      <c r="P243" s="2867"/>
      <c r="Q243" s="2867"/>
    </row>
    <row r="244" spans="1:17" ht="17.850000000000001" customHeight="1" x14ac:dyDescent="0.25">
      <c r="A244" s="45"/>
      <c r="I244" s="583"/>
      <c r="J244" s="2263"/>
      <c r="K244" s="2263"/>
      <c r="L244" s="2264"/>
    </row>
    <row r="245" spans="1:17" ht="17.850000000000001" customHeight="1" x14ac:dyDescent="0.25">
      <c r="A245" s="2169" t="s">
        <v>508</v>
      </c>
      <c r="B245" s="2170"/>
      <c r="C245" s="2171"/>
      <c r="D245" s="2172" t="s">
        <v>537</v>
      </c>
      <c r="E245" s="2172"/>
      <c r="F245" s="2173"/>
      <c r="G245" s="524" t="s">
        <v>192</v>
      </c>
      <c r="H245" s="1001"/>
      <c r="I245" s="583"/>
      <c r="J245" s="2263"/>
      <c r="K245" s="2263"/>
      <c r="L245" s="2264"/>
    </row>
    <row r="246" spans="1:17" ht="17.850000000000001" customHeight="1" x14ac:dyDescent="0.25">
      <c r="A246" s="2208" t="s">
        <v>1088</v>
      </c>
      <c r="B246" s="2305"/>
      <c r="C246" s="2305"/>
      <c r="D246" s="2305"/>
      <c r="E246" s="2305"/>
      <c r="F246" s="2305"/>
      <c r="G246" s="2305"/>
      <c r="H246" s="2305"/>
      <c r="I246" s="583"/>
      <c r="J246" s="2263"/>
      <c r="K246" s="2263"/>
      <c r="L246" s="2264"/>
    </row>
    <row r="247" spans="1:17" ht="17.850000000000001" customHeight="1" x14ac:dyDescent="0.25">
      <c r="A247" s="1017"/>
      <c r="B247" s="1018"/>
      <c r="C247" s="1018"/>
      <c r="D247" s="1018"/>
      <c r="E247" s="1018"/>
      <c r="F247" s="664" t="s">
        <v>758</v>
      </c>
      <c r="G247" s="160"/>
      <c r="H247" s="1000">
        <f ca="1">IF(G245=_Ja,S235/S236,1)</f>
        <v>1</v>
      </c>
      <c r="I247" s="583"/>
      <c r="J247" s="2263"/>
      <c r="K247" s="2263"/>
      <c r="L247" s="2264"/>
    </row>
    <row r="248" spans="1:17" ht="17.850000000000001" customHeight="1" x14ac:dyDescent="0.25">
      <c r="A248" s="45"/>
      <c r="H248" s="1018"/>
      <c r="I248" s="583"/>
      <c r="J248" s="2263"/>
      <c r="K248" s="2263"/>
      <c r="L248" s="2264"/>
    </row>
    <row r="249" spans="1:17" ht="17.850000000000001" customHeight="1" x14ac:dyDescent="0.25">
      <c r="A249" s="2629" t="s">
        <v>847</v>
      </c>
      <c r="B249" s="2630"/>
      <c r="C249" s="2630"/>
      <c r="D249" s="2630"/>
      <c r="E249" s="2630"/>
      <c r="F249" s="2630"/>
      <c r="G249" s="2630"/>
      <c r="I249" s="583"/>
      <c r="J249" s="2227" t="str">
        <f>IF(G245="Nein","Zu F2.b) "&amp;$M$297,IF(A251=M251,"Zu F2.b2) "&amp;$M$292&amp;$M$293&amp;$M$296,IF(A251=M252,"Zu F2.b2) "&amp;$M$294&amp;KALKULATION!$M$296,IF(A251=M253,"Zu F2.b2) "&amp;KALKULATION!$M295&amp;KALKULATION!$M$296,"Unter F2b.a ist keine Auswahl getroffen!"))))</f>
        <v>Zu F2.b2) Hinweis zur Auswahl bei F2.b2: Die getroffene Auswahl ist sinnvoll, wenn die UPNK gem einer Musterberechnung auf Basis des KV-Lohns ermittelt wurden (zB nach dem Berechnungsschema, das im Buch Kropik, Baukalkulation, Kostenrechnung und ÖNORM B 2061 erläutert und in www.bauwesen.at/tools mit Musterberechnungen hinterlegt ist. 
Betriebe die dem BUAG unterliegen, wählen idR diese Einstellung.
Das Ergebnis der UPNK-Berechnung muss immer einem Plausibilitätscheck unterzogen werden!</v>
      </c>
      <c r="K249" s="2227"/>
      <c r="L249" s="2228"/>
    </row>
    <row r="250" spans="1:17" ht="17.850000000000001" customHeight="1" x14ac:dyDescent="0.25">
      <c r="A250" s="63" t="s">
        <v>848</v>
      </c>
      <c r="I250" s="583"/>
      <c r="J250" s="2227"/>
      <c r="K250" s="2227"/>
      <c r="L250" s="2228"/>
      <c r="M250" s="1946" t="s">
        <v>590</v>
      </c>
    </row>
    <row r="251" spans="1:17" ht="17.850000000000001" customHeight="1" x14ac:dyDescent="0.25">
      <c r="A251" s="2566" t="s">
        <v>1113</v>
      </c>
      <c r="B251" s="2567"/>
      <c r="C251" s="2567"/>
      <c r="D251" s="2567"/>
      <c r="E251" s="2721"/>
      <c r="F251" s="2666" t="s">
        <v>849</v>
      </c>
      <c r="G251" s="2666"/>
      <c r="H251" s="218">
        <f ca="1">VLOOKUP(A251,M251:O253,3,FALSE)</f>
        <v>6.18</v>
      </c>
      <c r="I251" s="583"/>
      <c r="J251" s="2227"/>
      <c r="K251" s="2227"/>
      <c r="L251" s="2228"/>
      <c r="M251" s="1342" t="s">
        <v>1113</v>
      </c>
      <c r="O251" s="1343">
        <f ca="1">SUM(' K3 PP'!O24:P26,P235)</f>
        <v>6.18</v>
      </c>
    </row>
    <row r="252" spans="1:17" ht="17.850000000000001" customHeight="1" x14ac:dyDescent="0.25">
      <c r="A252" s="2669" t="str">
        <f ca="1">"Info: Ihre Wahl ergibt ein Verhältnis v "&amp;TEXT(S235-H251,"0,00€")&amp;" zu "&amp;TEXT(S235,"0,00€")&amp;" u daher "</f>
        <v xml:space="preserve">Info: Ihre Wahl ergibt ein Verhältnis v 21,82€ zu 28,00€ u daher </v>
      </c>
      <c r="B252" s="2670"/>
      <c r="C252" s="2670"/>
      <c r="D252" s="2670"/>
      <c r="E252" s="2670"/>
      <c r="F252" s="2717" t="s">
        <v>591</v>
      </c>
      <c r="G252" s="2717"/>
      <c r="H252" s="1002">
        <f ca="1">IF(G245=_Ja,(S235-H251)/S235,1)</f>
        <v>0.77929999999999999</v>
      </c>
      <c r="I252" s="583"/>
      <c r="J252" s="2227"/>
      <c r="K252" s="2227"/>
      <c r="L252" s="2228"/>
      <c r="M252" s="1342" t="s">
        <v>922</v>
      </c>
      <c r="O252" s="1343">
        <f ca="1">' K3 PP'!O26</f>
        <v>0.95</v>
      </c>
    </row>
    <row r="253" spans="1:17" ht="17.850000000000001" customHeight="1" x14ac:dyDescent="0.25">
      <c r="A253" s="435"/>
      <c r="B253" s="67"/>
      <c r="C253" s="67"/>
      <c r="D253" s="67"/>
      <c r="E253" s="1115"/>
      <c r="F253" s="1115"/>
      <c r="G253" s="1115"/>
      <c r="H253" s="581"/>
      <c r="I253" s="583"/>
      <c r="J253" s="2227"/>
      <c r="K253" s="2227"/>
      <c r="L253" s="2228"/>
      <c r="M253" s="1342" t="s">
        <v>923</v>
      </c>
      <c r="O253" s="1343">
        <v>0</v>
      </c>
    </row>
    <row r="254" spans="1:17" ht="17.850000000000001" customHeight="1" x14ac:dyDescent="0.25">
      <c r="A254" s="500" t="s">
        <v>850</v>
      </c>
      <c r="B254" s="345"/>
      <c r="C254" s="356"/>
      <c r="I254" s="438"/>
      <c r="J254" s="2227"/>
      <c r="K254" s="2227"/>
      <c r="L254" s="2228"/>
    </row>
    <row r="255" spans="1:17" ht="17.850000000000001" customHeight="1" x14ac:dyDescent="0.25">
      <c r="A255" s="2711" t="s">
        <v>637</v>
      </c>
      <c r="B255" s="2712"/>
      <c r="C255" s="2713"/>
      <c r="D255" s="717" t="s">
        <v>145</v>
      </c>
      <c r="E255" s="717" t="s">
        <v>146</v>
      </c>
      <c r="F255" s="717" t="s">
        <v>147</v>
      </c>
      <c r="G255" s="717" t="s">
        <v>148</v>
      </c>
      <c r="H255" s="1019" t="s">
        <v>56</v>
      </c>
      <c r="I255" s="438"/>
      <c r="J255" s="2227"/>
      <c r="K255" s="2227"/>
      <c r="L255" s="2228"/>
    </row>
    <row r="256" spans="1:17" ht="17.850000000000001" customHeight="1" x14ac:dyDescent="0.25">
      <c r="A256" s="2650" t="s">
        <v>115</v>
      </c>
      <c r="B256" s="2651"/>
      <c r="C256" s="2652"/>
      <c r="D256" s="1020">
        <f ca="1">Stammdaten!E156</f>
        <v>0.23699999999999999</v>
      </c>
      <c r="E256" s="1020">
        <f ca="1">Stammdaten!E157</f>
        <v>0</v>
      </c>
      <c r="F256" s="1020">
        <f ca="1">Stammdaten!E158</f>
        <v>0.14599999999999999</v>
      </c>
      <c r="G256" s="1020">
        <f ca="1">Stammdaten!E159</f>
        <v>0.56899999999999995</v>
      </c>
      <c r="H256" s="1021">
        <f ca="1">SUM(D256:G256)</f>
        <v>0.95199999999999996</v>
      </c>
      <c r="I256" s="578"/>
      <c r="J256" s="2702" t="str">
        <f ca="1">IFERROR(IF(AND(D256=H256,H256&lt;&gt;H260),"Hinweis: Sämtliche UPNK sind der Kategorie UPNK0 zugewiesen. "&amp;"Eine Veränderung, außer mit f2, ist daher nicht möglich. Handelt es sich um einen Ist-Wert der Kostenrechnung ist zu prüfen, ob der Faktor f2 anzuwenden ist. Bei einem Wert aus einer Musterberechnung ist f2 anzuwenden.",""),"")</f>
        <v/>
      </c>
      <c r="K256" s="2702"/>
      <c r="L256" s="2703"/>
    </row>
    <row r="257" spans="1:13" ht="17.850000000000001" customHeight="1" x14ac:dyDescent="0.25">
      <c r="A257" s="1105" t="str">
        <f>F247</f>
        <v>f2: Faktor abgabepfl. E.</v>
      </c>
      <c r="B257" s="1106"/>
      <c r="C257" s="1107"/>
      <c r="D257" s="1022">
        <f ca="1">$H247</f>
        <v>1</v>
      </c>
      <c r="E257" s="1023">
        <f ca="1">D257</f>
        <v>1</v>
      </c>
      <c r="F257" s="1023">
        <f ca="1">E257</f>
        <v>1</v>
      </c>
      <c r="G257" s="1023">
        <f ca="1">F257</f>
        <v>1</v>
      </c>
      <c r="H257" s="1024"/>
      <c r="I257" s="578"/>
      <c r="J257" s="2702"/>
      <c r="K257" s="2702"/>
      <c r="L257" s="2703"/>
    </row>
    <row r="258" spans="1:13" ht="17.850000000000001" customHeight="1" x14ac:dyDescent="0.25">
      <c r="A258" s="2744" t="str">
        <f>F243</f>
        <v xml:space="preserve">f1: Mehrarbeitsfaktor </v>
      </c>
      <c r="B258" s="2229"/>
      <c r="C258" s="2230"/>
      <c r="D258" s="1025"/>
      <c r="E258" s="1023">
        <f ca="1">H243</f>
        <v>0.92859999999999998</v>
      </c>
      <c r="F258" s="1026"/>
      <c r="G258" s="1023">
        <f ca="1">H243</f>
        <v>0.92859999999999998</v>
      </c>
      <c r="H258" s="1027"/>
      <c r="I258" s="438"/>
      <c r="J258" s="2702"/>
      <c r="K258" s="2702"/>
      <c r="L258" s="2703"/>
    </row>
    <row r="259" spans="1:13" ht="17.850000000000001" customHeight="1" x14ac:dyDescent="0.25">
      <c r="A259" s="2631" t="str">
        <f>F252</f>
        <v>f3: Mehrentgeltfaktor</v>
      </c>
      <c r="B259" s="2632"/>
      <c r="C259" s="2633"/>
      <c r="D259" s="1025"/>
      <c r="E259" s="1026"/>
      <c r="F259" s="1023">
        <f ca="1">H252</f>
        <v>0.77929999999999999</v>
      </c>
      <c r="G259" s="1023">
        <f ca="1">F259</f>
        <v>0.77929999999999999</v>
      </c>
      <c r="H259" s="1027"/>
      <c r="I259" s="438"/>
      <c r="J259" s="2702"/>
      <c r="K259" s="2702"/>
      <c r="L259" s="2703"/>
    </row>
    <row r="260" spans="1:13" ht="17.850000000000001" customHeight="1" x14ac:dyDescent="0.25">
      <c r="A260" s="1028"/>
      <c r="B260" s="1029"/>
      <c r="C260" s="1029"/>
      <c r="D260" s="1030">
        <f ca="1">D256*D257</f>
        <v>0.23699999999999999</v>
      </c>
      <c r="E260" s="1030">
        <f ca="1">E256*E258*E257</f>
        <v>0</v>
      </c>
      <c r="F260" s="1030">
        <f ca="1">F256*F259*F257</f>
        <v>0.1138</v>
      </c>
      <c r="G260" s="1030">
        <f ca="1">G256*G258*G259*G257</f>
        <v>0.4118</v>
      </c>
      <c r="H260" s="1031">
        <f ca="1">SUM(D260:G260)</f>
        <v>0.76259999999999994</v>
      </c>
      <c r="I260" s="438"/>
      <c r="J260" s="2764" t="str">
        <f ca="1">IFERROR(IF(OR(H265/H236&lt;Report!G11,KALKULATION!H265/KALKULATION!H236&gt;Report!F11),"Hinweis: das Verhältnis von UPNK (F2) zu DPNK (F1) scheint unplausibel; es liegt außerhalb der Richtwerte gem Blatt REPORT.",""),KALKULATION!M286)</f>
        <v/>
      </c>
      <c r="K260" s="2764"/>
      <c r="L260" s="2765"/>
      <c r="M260" s="2045" t="s">
        <v>1033</v>
      </c>
    </row>
    <row r="261" spans="1:13" ht="17.850000000000001" customHeight="1" x14ac:dyDescent="0.25">
      <c r="A261" s="2134" t="s">
        <v>513</v>
      </c>
      <c r="B261" s="2135"/>
      <c r="C261" s="2135"/>
      <c r="D261" s="2135"/>
      <c r="E261" s="2135"/>
      <c r="F261" s="2135"/>
      <c r="G261" s="2135"/>
      <c r="H261" s="612">
        <f ca="1">H260</f>
        <v>0.76259999999999994</v>
      </c>
      <c r="I261" s="438"/>
      <c r="J261" s="2764"/>
      <c r="K261" s="2764"/>
      <c r="L261" s="2765"/>
    </row>
    <row r="262" spans="1:13" ht="17.850000000000001" customHeight="1" x14ac:dyDescent="0.25">
      <c r="A262" s="2169" t="s">
        <v>852</v>
      </c>
      <c r="B262" s="2170"/>
      <c r="C262" s="2171"/>
      <c r="E262" s="160"/>
      <c r="F262" s="160"/>
      <c r="H262" s="46"/>
      <c r="I262" s="438"/>
      <c r="J262" s="2764"/>
      <c r="K262" s="2764"/>
      <c r="L262" s="2765"/>
    </row>
    <row r="263" spans="1:13" ht="17.850000000000001" customHeight="1" x14ac:dyDescent="0.25">
      <c r="A263" s="2134" t="s">
        <v>851</v>
      </c>
      <c r="B263" s="2135"/>
      <c r="C263" s="2135"/>
      <c r="D263" s="2135"/>
      <c r="E263" s="2135"/>
      <c r="F263" s="2135"/>
      <c r="G263" s="2135"/>
      <c r="H263" s="1032"/>
      <c r="I263" s="578" t="str">
        <f>IF(H263&lt;&gt;0,"X","")</f>
        <v/>
      </c>
      <c r="J263" s="2764"/>
      <c r="K263" s="2764"/>
      <c r="L263" s="2765"/>
    </row>
    <row r="264" spans="1:13" ht="17.850000000000001" customHeight="1" thickBot="1" x14ac:dyDescent="0.3">
      <c r="A264" s="2714" t="s">
        <v>853</v>
      </c>
      <c r="B264" s="2715"/>
      <c r="C264" s="2715"/>
      <c r="D264" s="2715"/>
      <c r="E264" s="2715"/>
      <c r="F264" s="2716"/>
      <c r="G264" s="1210" t="s">
        <v>924</v>
      </c>
      <c r="H264" s="582">
        <f ca="1">SUM(H261:H263)</f>
        <v>0.76259999999999994</v>
      </c>
      <c r="I264" s="578" t="str">
        <f>IF(G264&lt;&gt;"Nein","X","")</f>
        <v>X</v>
      </c>
      <c r="J264" s="2764"/>
      <c r="K264" s="2764"/>
      <c r="L264" s="2765"/>
    </row>
    <row r="265" spans="1:13" ht="17.850000000000001" customHeight="1" x14ac:dyDescent="0.25">
      <c r="A265" s="2691" t="str">
        <f ca="1">IFERROR("F2) Ergebnis Umgelegte Personalnebenkosten (K3 Zeile 13) "&amp;TEXT(' K3 PP'!O31,"0,00€")&amp;" bzw %",KALKULATION!M286)</f>
        <v>F2) Ergebnis Umgelegte Personalnebenkosten (K3 Zeile 13) 21,56€ bzw %</v>
      </c>
      <c r="B265" s="2692"/>
      <c r="C265" s="2692"/>
      <c r="D265" s="2692"/>
      <c r="E265" s="2692"/>
      <c r="F265" s="2692"/>
      <c r="G265" s="555" t="str">
        <f>IF(G264="Nein","","(gerundet)")</f>
        <v>(gerundet)</v>
      </c>
      <c r="H265" s="580">
        <f ca="1">IFERROR(IF(G264="auf #1,0%",ROUNDUP(H264*100,0)/100,IF(G264="auf #2,5%",ROUNDUP(H264*100/2.5,0)*2.5/100,IF(G264="auf #5,0%",ROUNDUP(H264*100/5,0)*5/100,H264))),"?")</f>
        <v>0.77</v>
      </c>
      <c r="I265" s="438"/>
      <c r="J265" s="2700" t="str">
        <f ca="1">IF(OR(H265&gt;Report!F10,H265&lt;Report!G10),"Hinweis: UPNK (F2) liegen außerhalb der Richtwerte gem Blatt REPORT. "&amp;IF(SUM(G257*2,G258,G259)/4&lt;0.85,"Die hohe Minderung mit den Faktoren kann die plausible Ursache sein. ",""),"")</f>
        <v/>
      </c>
      <c r="K265" s="2700"/>
      <c r="L265" s="2701"/>
    </row>
    <row r="266" spans="1:13" ht="17.850000000000001" customHeight="1" x14ac:dyDescent="0.25">
      <c r="A266" s="2667"/>
      <c r="B266" s="2668"/>
      <c r="C266" s="2668"/>
      <c r="D266" s="2668"/>
      <c r="E266" s="2668"/>
      <c r="F266" s="2668"/>
      <c r="G266" s="2668"/>
      <c r="H266" s="2668"/>
      <c r="I266" s="438"/>
      <c r="J266" s="2700"/>
      <c r="K266" s="2700"/>
      <c r="L266" s="2701"/>
    </row>
    <row r="267" spans="1:13" ht="20.100000000000001" customHeight="1" x14ac:dyDescent="0.25">
      <c r="A267" s="2430" t="s">
        <v>509</v>
      </c>
      <c r="B267" s="2431"/>
      <c r="C267" s="2431"/>
      <c r="D267" s="2431"/>
      <c r="E267" s="2431"/>
      <c r="F267" s="2431"/>
      <c r="G267" s="2431"/>
      <c r="H267" s="2431"/>
      <c r="I267" s="438"/>
      <c r="L267" s="216"/>
    </row>
    <row r="268" spans="1:13" ht="17.649999999999999" customHeight="1" thickBot="1" x14ac:dyDescent="0.3">
      <c r="A268" s="907"/>
      <c r="B268" s="908"/>
      <c r="C268" s="908"/>
      <c r="D268" s="849"/>
      <c r="E268" s="849"/>
      <c r="F268" s="850"/>
      <c r="G268" s="909" t="s">
        <v>698</v>
      </c>
      <c r="H268" s="851">
        <f ca="1">IFERROR(' K3 PP'!O28,0)</f>
        <v>28</v>
      </c>
      <c r="I268" s="438"/>
      <c r="L268" s="216"/>
    </row>
    <row r="269" spans="1:13" ht="17.850000000000001" customHeight="1" thickTop="1" x14ac:dyDescent="0.25">
      <c r="A269" s="848" t="s">
        <v>515</v>
      </c>
      <c r="B269" s="2122"/>
      <c r="C269" s="2123"/>
      <c r="D269" s="2123"/>
      <c r="E269" s="2123"/>
      <c r="F269" s="2124"/>
      <c r="G269" s="441"/>
      <c r="H269" s="1003">
        <f ca="1">G269*H268</f>
        <v>0</v>
      </c>
      <c r="I269" s="438"/>
      <c r="J269" s="2176"/>
      <c r="K269" s="2176"/>
      <c r="L269" s="2177"/>
    </row>
    <row r="270" spans="1:13" ht="17.850000000000001" customHeight="1" x14ac:dyDescent="0.25">
      <c r="A270" s="440" t="s">
        <v>514</v>
      </c>
      <c r="B270" s="2137"/>
      <c r="C270" s="2138"/>
      <c r="D270" s="2138"/>
      <c r="E270" s="2138"/>
      <c r="F270" s="2139"/>
      <c r="G270" s="339"/>
      <c r="H270" s="1003">
        <f ca="1">G270*H268</f>
        <v>0</v>
      </c>
      <c r="I270" s="438"/>
      <c r="J270" s="2176"/>
      <c r="K270" s="2176"/>
      <c r="L270" s="2177"/>
    </row>
    <row r="271" spans="1:13" ht="17.850000000000001" customHeight="1" x14ac:dyDescent="0.25">
      <c r="A271" s="2680" t="s">
        <v>516</v>
      </c>
      <c r="B271" s="2681"/>
      <c r="C271" s="2681"/>
      <c r="D271" s="2681"/>
      <c r="E271" s="2681"/>
      <c r="F271" s="2681"/>
      <c r="G271" s="2682"/>
      <c r="H271" s="1004"/>
      <c r="I271" s="438"/>
      <c r="L271" s="216"/>
    </row>
    <row r="272" spans="1:13" ht="17.850000000000001" customHeight="1" x14ac:dyDescent="0.25">
      <c r="A272" s="2627" t="s">
        <v>510</v>
      </c>
      <c r="B272" s="2628"/>
      <c r="C272" s="2137" t="s">
        <v>1056</v>
      </c>
      <c r="D272" s="2138"/>
      <c r="E272" s="2138"/>
      <c r="F272" s="2139"/>
      <c r="G272" s="852"/>
      <c r="H272" s="1003"/>
      <c r="I272" s="438"/>
      <c r="L272" s="216"/>
    </row>
    <row r="273" spans="1:18" ht="17.850000000000001" customHeight="1" thickBot="1" x14ac:dyDescent="0.3">
      <c r="A273" s="2739" t="s">
        <v>511</v>
      </c>
      <c r="B273" s="2740"/>
      <c r="C273" s="2740"/>
      <c r="D273" s="2740"/>
      <c r="E273" s="2741"/>
      <c r="F273" s="968">
        <v>2</v>
      </c>
      <c r="G273" s="1038" t="s">
        <v>684</v>
      </c>
      <c r="H273" s="1005">
        <f ca="1">F273/C95</f>
        <v>4.8000000000000001E-2</v>
      </c>
      <c r="I273" s="438"/>
      <c r="L273" s="216"/>
    </row>
    <row r="274" spans="1:18" ht="17.850000000000001" customHeight="1" x14ac:dyDescent="0.25">
      <c r="A274" s="2221" t="s">
        <v>512</v>
      </c>
      <c r="B274" s="2222"/>
      <c r="C274" s="2222"/>
      <c r="D274" s="2222"/>
      <c r="E274" s="2222"/>
      <c r="F274" s="2222"/>
      <c r="G274" s="2222"/>
      <c r="H274" s="1130">
        <f ca="1">SUM(H269:H273)</f>
        <v>4.8000000000000001E-2</v>
      </c>
      <c r="I274" s="438"/>
      <c r="J274" s="2229" t="str">
        <f>IF(OR(COUNTA(B269,G269)=1,COUNTA(B270,G270)=1,COUNTA(C272,F273)=1),"Information: Einige Zeilen bei F3 sind nur rudimentär ausgefüllt.","")</f>
        <v/>
      </c>
      <c r="K274" s="2229"/>
      <c r="L274" s="2230"/>
    </row>
    <row r="275" spans="1:18" ht="17.850000000000001" customHeight="1" x14ac:dyDescent="0.25">
      <c r="A275" s="2134" t="str">
        <f ca="1">"    Zwischenergebnis 1 inkl unproduktiver Zeiten (nach B2: "&amp;TEXT(H63,"0,00")&amp;"/"&amp;TEXT(F63,"0,00")&amp;")"</f>
        <v xml:space="preserve">    Zwischenergebnis 1 inkl unproduktiver Zeiten (nach B2: 0,70/6,30)</v>
      </c>
      <c r="B275" s="2135"/>
      <c r="C275" s="2135"/>
      <c r="D275" s="2135"/>
      <c r="E275" s="2135"/>
      <c r="F275" s="2135"/>
      <c r="G275" s="763">
        <f ca="1">H63/F63</f>
        <v>0.11111</v>
      </c>
      <c r="H275" s="1131">
        <f ca="1">H274*(1+G275)</f>
        <v>5.2999999999999999E-2</v>
      </c>
      <c r="I275" s="438"/>
      <c r="L275" s="216"/>
    </row>
    <row r="276" spans="1:18" ht="17.850000000000001" customHeight="1" thickBot="1" x14ac:dyDescent="0.3">
      <c r="A276" s="2677" t="s">
        <v>932</v>
      </c>
      <c r="B276" s="2678"/>
      <c r="C276" s="2678"/>
      <c r="D276" s="2678"/>
      <c r="E276" s="2678"/>
      <c r="F276" s="2679"/>
      <c r="G276" s="568">
        <v>0.3</v>
      </c>
      <c r="H276" s="1039">
        <f ca="1">H275*(1+G276)</f>
        <v>6.9000000000000006E-2</v>
      </c>
      <c r="I276" s="438"/>
      <c r="J276" s="2231" t="str">
        <f>IF(G276&lt;0.25,"Information: IdR fallen Beiträge/Abgaben auch in entgeltpflichtigen Ausfallzeiten an. Eingetragung prüfen (Erwartungswert rd 30%)!","")</f>
        <v/>
      </c>
      <c r="K276" s="2231"/>
      <c r="L276" s="2232"/>
    </row>
    <row r="277" spans="1:18" ht="17.850000000000001" customHeight="1" x14ac:dyDescent="0.25">
      <c r="A277" s="2629" t="str">
        <f ca="1">IFERROR("F3) Ergebnis Weitere Personalnebenkosten (K3 Zeile 14) "&amp;TEXT(' K3 PP'!O32,"0,00€")&amp;" bzw in %",KALKULATION!$M$286)</f>
        <v>F3) Ergebnis Weitere Personalnebenkosten (K3 Zeile 14) 0,07€ bzw in %</v>
      </c>
      <c r="B277" s="2630"/>
      <c r="C277" s="2630"/>
      <c r="D277" s="2630"/>
      <c r="E277" s="2630"/>
      <c r="F277" s="2630"/>
      <c r="G277" s="2630"/>
      <c r="H277" s="92">
        <f ca="1">IFERROR(H276/H268,"")</f>
        <v>2.5000000000000001E-3</v>
      </c>
      <c r="I277" s="438"/>
      <c r="J277" s="2231"/>
      <c r="K277" s="2231"/>
      <c r="L277" s="2232"/>
    </row>
    <row r="278" spans="1:18" ht="20.100000000000001" customHeight="1" x14ac:dyDescent="0.25">
      <c r="A278" s="2722" t="str">
        <f ca="1">A74</f>
        <v>Info: KV &amp; up.Z: 22,00€ | abgabepfl. Pers.ko: 28,00€ | vor Uml: 60,00€ | KOSTEN: 66,88€ | PREIS: 86,28€</v>
      </c>
      <c r="B278" s="2723"/>
      <c r="C278" s="2723"/>
      <c r="D278" s="2723"/>
      <c r="E278" s="2723"/>
      <c r="F278" s="2723"/>
      <c r="G278" s="2723"/>
      <c r="H278" s="2723"/>
      <c r="I278" s="438"/>
      <c r="J278" s="2299" t="str">
        <f ca="1">IFERROR(IF(H277&gt;0.035,"Weitere Personalnebenkosten (E3) erscheinen mit "&amp;H277*100&amp;"% hoch! ",""),"")</f>
        <v/>
      </c>
      <c r="K278" s="2299"/>
      <c r="L278" s="2310"/>
    </row>
    <row r="279" spans="1:18" ht="17.850000000000001" customHeight="1" x14ac:dyDescent="0.25">
      <c r="A279" s="2353"/>
      <c r="B279" s="2354"/>
      <c r="C279" s="2354"/>
      <c r="D279" s="2354"/>
      <c r="E279" s="2354"/>
      <c r="F279" s="2354"/>
      <c r="G279" s="2354"/>
      <c r="H279" s="2354"/>
      <c r="I279" s="2354"/>
      <c r="J279" s="2117"/>
      <c r="K279" s="2299"/>
      <c r="L279" s="2310"/>
    </row>
    <row r="280" spans="1:18" ht="25.15" customHeight="1" x14ac:dyDescent="0.25">
      <c r="A280" s="2223" t="s">
        <v>517</v>
      </c>
      <c r="B280" s="2224"/>
      <c r="C280" s="2224"/>
      <c r="D280" s="2224"/>
      <c r="E280" s="2224"/>
      <c r="F280" s="2224"/>
      <c r="G280" s="2224"/>
      <c r="H280" s="2224"/>
      <c r="I280" s="438"/>
      <c r="L280" s="216"/>
    </row>
    <row r="281" spans="1:18" ht="17.850000000000001" customHeight="1" x14ac:dyDescent="0.25">
      <c r="A281" s="2208" t="s">
        <v>255</v>
      </c>
      <c r="B281" s="2305"/>
      <c r="C281" s="2305"/>
      <c r="D281" s="2209"/>
      <c r="E281" s="2174" t="s">
        <v>593</v>
      </c>
      <c r="F281" s="2175"/>
      <c r="G281" s="2175"/>
      <c r="H281" s="996">
        <f ca="1">IFERROR(' K3 PP'!O33,"UNGÜLTIG")</f>
        <v>60</v>
      </c>
      <c r="I281" s="438"/>
      <c r="L281" s="216"/>
      <c r="M281" s="1977" t="s">
        <v>317</v>
      </c>
      <c r="N281" s="1977"/>
      <c r="O281" s="1977"/>
      <c r="P281" s="1977"/>
      <c r="Q281" s="1977"/>
      <c r="R281" s="1977"/>
    </row>
    <row r="282" spans="1:18" ht="17.850000000000001" customHeight="1" x14ac:dyDescent="0.25">
      <c r="A282" s="2683" t="s">
        <v>1030</v>
      </c>
      <c r="B282" s="2684"/>
      <c r="C282" s="2684"/>
      <c r="D282" s="2684"/>
      <c r="E282" s="2684"/>
      <c r="F282" s="2685"/>
      <c r="G282" s="2671" t="s">
        <v>1057</v>
      </c>
      <c r="H282" s="2672"/>
      <c r="I282" s="438"/>
      <c r="J282" s="2702"/>
      <c r="K282" s="2702"/>
      <c r="L282" s="2703"/>
      <c r="M282" s="1977" t="s">
        <v>824</v>
      </c>
    </row>
    <row r="283" spans="1:18" ht="17.850000000000001" customHeight="1" thickBot="1" x14ac:dyDescent="0.3">
      <c r="A283" s="2775" t="s">
        <v>893</v>
      </c>
      <c r="B283" s="2776"/>
      <c r="C283" s="2776"/>
      <c r="D283" s="2777"/>
      <c r="E283" s="716" t="s">
        <v>90</v>
      </c>
      <c r="F283" s="716" t="s">
        <v>110</v>
      </c>
      <c r="G283" s="2673"/>
      <c r="H283" s="2674"/>
      <c r="I283" s="438"/>
      <c r="J283" s="2702"/>
      <c r="K283" s="2702"/>
      <c r="L283" s="2703"/>
      <c r="M283" s="1342" t="s">
        <v>825</v>
      </c>
    </row>
    <row r="284" spans="1:18" ht="17.850000000000001" customHeight="1" thickTop="1" x14ac:dyDescent="0.25">
      <c r="A284" s="2122" t="s">
        <v>1034</v>
      </c>
      <c r="B284" s="2123"/>
      <c r="C284" s="2123"/>
      <c r="D284" s="2124"/>
      <c r="E284" s="340"/>
      <c r="F284" s="1043"/>
      <c r="G284" s="2675"/>
      <c r="H284" s="2676"/>
      <c r="I284" s="438"/>
      <c r="J284" s="2263" t="str">
        <f>IF(AND(H285="Nein",SUM(G289,H289,G300,H300)&lt;&gt;0),"Information zu G3: Rechner ist ausgeblendet, obwohl mit Werten hinterlegt. Die Rechenergebnisse des Hilfsrechners werden den PGK daher nicht zugerechnet.","")</f>
        <v/>
      </c>
      <c r="K284" s="2263"/>
      <c r="L284" s="2264"/>
      <c r="M284" s="1342" t="s">
        <v>374</v>
      </c>
    </row>
    <row r="285" spans="1:18" ht="17.850000000000001" customHeight="1" x14ac:dyDescent="0.25">
      <c r="A285" s="2137" t="s">
        <v>1035</v>
      </c>
      <c r="B285" s="2138"/>
      <c r="C285" s="2138"/>
      <c r="D285" s="2139"/>
      <c r="E285" s="337">
        <v>0.02</v>
      </c>
      <c r="F285" s="567"/>
      <c r="G285" s="995" t="s">
        <v>832</v>
      </c>
      <c r="H285" s="579" t="s">
        <v>192</v>
      </c>
      <c r="I285" s="438"/>
      <c r="J285" s="2263"/>
      <c r="K285" s="2263"/>
      <c r="L285" s="2264"/>
      <c r="M285" s="1342" t="s">
        <v>375</v>
      </c>
    </row>
    <row r="286" spans="1:18" ht="17.850000000000001" customHeight="1" x14ac:dyDescent="0.25">
      <c r="A286" s="2137" t="s">
        <v>1036</v>
      </c>
      <c r="B286" s="2138"/>
      <c r="C286" s="2138"/>
      <c r="D286" s="2139"/>
      <c r="E286" s="337"/>
      <c r="F286" s="567"/>
      <c r="G286" s="2364" t="s">
        <v>1058</v>
      </c>
      <c r="H286" s="2365"/>
      <c r="I286" s="438"/>
      <c r="J286" s="2263"/>
      <c r="K286" s="2263"/>
      <c r="L286" s="2264"/>
      <c r="M286" s="1342" t="s">
        <v>434</v>
      </c>
    </row>
    <row r="287" spans="1:18" ht="17.850000000000001" customHeight="1" x14ac:dyDescent="0.25">
      <c r="A287" s="2137" t="s">
        <v>1037</v>
      </c>
      <c r="B287" s="2138"/>
      <c r="C287" s="2138"/>
      <c r="D287" s="2139"/>
      <c r="E287" s="337"/>
      <c r="F287" s="1046">
        <v>0.75</v>
      </c>
      <c r="G287" s="2364"/>
      <c r="H287" s="2365"/>
      <c r="I287" s="438"/>
      <c r="L287" s="216"/>
      <c r="M287" s="1342" t="s">
        <v>826</v>
      </c>
    </row>
    <row r="288" spans="1:18" ht="17.850000000000001" customHeight="1" x14ac:dyDescent="0.25">
      <c r="A288" s="2137" t="s">
        <v>1038</v>
      </c>
      <c r="B288" s="2138"/>
      <c r="C288" s="2138"/>
      <c r="D288" s="2139"/>
      <c r="E288" s="337">
        <v>2.5000000000000001E-2</v>
      </c>
      <c r="F288" s="567"/>
      <c r="G288" s="442" t="s">
        <v>1059</v>
      </c>
      <c r="H288" s="502" t="s">
        <v>1060</v>
      </c>
      <c r="I288" s="438"/>
      <c r="L288" s="216"/>
      <c r="M288" s="1342" t="s">
        <v>757</v>
      </c>
    </row>
    <row r="289" spans="1:13" ht="17.850000000000001" customHeight="1" x14ac:dyDescent="0.25">
      <c r="A289" s="2137" t="s">
        <v>1039</v>
      </c>
      <c r="B289" s="2138"/>
      <c r="C289" s="2138"/>
      <c r="D289" s="2139"/>
      <c r="E289" s="337">
        <v>1.4999999999999999E-2</v>
      </c>
      <c r="F289" s="567"/>
      <c r="G289" s="977"/>
      <c r="H289" s="978"/>
      <c r="I289" s="578" t="str">
        <f>IF(AND(H285="Ja",SUM(G289,H289)&lt;&gt;0),"X","")</f>
        <v/>
      </c>
      <c r="L289" s="216"/>
      <c r="M289" s="1342" t="s">
        <v>837</v>
      </c>
    </row>
    <row r="290" spans="1:13" ht="17.850000000000001" customHeight="1" x14ac:dyDescent="0.25">
      <c r="A290" s="2309"/>
      <c r="B290" s="2276"/>
      <c r="C290" s="2276"/>
      <c r="D290" s="2686"/>
      <c r="E290" s="1297"/>
      <c r="F290" s="1046"/>
      <c r="G290" s="601" t="s">
        <v>267</v>
      </c>
      <c r="H290" s="976">
        <f ca="1">IFERROR(H281*C95,"")</f>
        <v>2520</v>
      </c>
      <c r="I290" s="438"/>
      <c r="L290" s="216"/>
      <c r="M290" s="1342" t="s">
        <v>854</v>
      </c>
    </row>
    <row r="291" spans="1:13" ht="17.850000000000001" customHeight="1" x14ac:dyDescent="0.25">
      <c r="A291" s="2137"/>
      <c r="B291" s="2138"/>
      <c r="C291" s="2138"/>
      <c r="D291" s="2139"/>
      <c r="E291" s="337"/>
      <c r="F291" s="567"/>
      <c r="G291" s="602">
        <f ca="1">G289/H290</f>
        <v>0</v>
      </c>
      <c r="H291" s="603">
        <f ca="1">H289/H290</f>
        <v>0</v>
      </c>
      <c r="I291" s="438"/>
      <c r="J291" s="2229" t="str">
        <f>IF(OR(COUNTA(E284,F284)=2,COUNTA(E285,F285)=2,COUNTA(E286,F286)=2,COUNTA(E287,F287)=2,COUNTA(E287,F287)=2,COUNTA(E288,F288)=2,COUNTA(E289,F288)=2,COUNTA(E290,F290)=2),"Zu G1) In einzelnen Eingabezeilen bestehen sowohl %- als auch €-Angaben.","")</f>
        <v/>
      </c>
      <c r="K291" s="2229"/>
      <c r="L291" s="2230"/>
      <c r="M291" s="1977" t="s">
        <v>476</v>
      </c>
    </row>
    <row r="292" spans="1:13" ht="17.850000000000001" customHeight="1" thickBot="1" x14ac:dyDescent="0.3">
      <c r="A292" s="2395"/>
      <c r="B292" s="2396"/>
      <c r="C292" s="2396"/>
      <c r="D292" s="2397"/>
      <c r="E292" s="568"/>
      <c r="F292" s="968"/>
      <c r="G292" s="599" t="s">
        <v>268</v>
      </c>
      <c r="H292" s="600">
        <f ca="1">G70</f>
        <v>0.1193</v>
      </c>
      <c r="I292" s="438"/>
      <c r="L292" s="216"/>
      <c r="M292" s="1342" t="s">
        <v>845</v>
      </c>
    </row>
    <row r="293" spans="1:13" ht="20.100000000000001" customHeight="1" x14ac:dyDescent="0.25">
      <c r="A293" s="1298" t="s">
        <v>518</v>
      </c>
      <c r="B293" s="1299"/>
      <c r="C293" s="1299"/>
      <c r="D293" s="1300"/>
      <c r="E293" s="1301">
        <f>SUM(E284:E292)</f>
        <v>0.06</v>
      </c>
      <c r="F293" s="1302">
        <f>SUM(F284:F292)</f>
        <v>0.75</v>
      </c>
      <c r="G293" s="1044" t="s">
        <v>1040</v>
      </c>
      <c r="H293" s="2114" t="s">
        <v>69</v>
      </c>
      <c r="I293" s="438"/>
      <c r="K293" s="1313"/>
      <c r="L293" s="1314"/>
      <c r="M293" s="1342" t="s">
        <v>606</v>
      </c>
    </row>
    <row r="294" spans="1:13" ht="17.850000000000001" customHeight="1" x14ac:dyDescent="0.25">
      <c r="G294" s="1282" t="str">
        <f>IF(AND($H$285=_Ja,G289&lt;&gt;0),IF(H293="in %",G291*(1+H292),(G291*(1+H292))*H281),"")</f>
        <v/>
      </c>
      <c r="H294" s="503" t="str">
        <f>IF(AND($H$285=_Ja,H289&lt;&gt;0),IF(H293="in %",H291*(1+H292),(H291*(1+H292))*H281),"")</f>
        <v/>
      </c>
      <c r="I294" s="578" t="str">
        <f>IF(B362&lt;&gt;M411,"X","")</f>
        <v/>
      </c>
      <c r="J294" s="1313"/>
      <c r="K294" s="1313"/>
      <c r="L294" s="1314"/>
      <c r="M294" s="1951" t="s">
        <v>1025</v>
      </c>
    </row>
    <row r="295" spans="1:13" ht="17.850000000000001" customHeight="1" x14ac:dyDescent="0.25">
      <c r="A295" s="2770" t="s">
        <v>1045</v>
      </c>
      <c r="B295" s="2771"/>
      <c r="C295" s="2771"/>
      <c r="D295" s="2772"/>
      <c r="E295" s="199" t="str">
        <f>IF(OR(F354="Preis",F354="Kosten"),IF(F356&lt;&gt;"als €",F360/100,""),"")</f>
        <v/>
      </c>
      <c r="F295" s="1303" t="str">
        <f>IF(OR(F354="Preis",F354="Kosten"),IF(F356="als €",F360,""),"")</f>
        <v/>
      </c>
      <c r="G295" s="2888" t="s">
        <v>759</v>
      </c>
      <c r="H295" s="2888"/>
      <c r="I295" s="438"/>
      <c r="J295" s="1286" t="str">
        <f>IF(AND(SUM(E295:F295)&lt;&gt;0,SUM(E297:F297)&lt;&gt;0),"Hinweis: Rundung (G2; aus J3) und Zielwert (G3; aus J4) gleichzeitig!","")</f>
        <v/>
      </c>
      <c r="K295" s="1313"/>
      <c r="L295" s="1314"/>
      <c r="M295" s="2046" t="s">
        <v>846</v>
      </c>
    </row>
    <row r="296" spans="1:13" ht="17.850000000000001" customHeight="1" x14ac:dyDescent="0.25">
      <c r="G296" s="2889"/>
      <c r="H296" s="2889"/>
      <c r="I296" s="438"/>
      <c r="J296" s="1313"/>
      <c r="K296" s="1313"/>
      <c r="L296" s="1314"/>
      <c r="M296" s="1342" t="s">
        <v>592</v>
      </c>
    </row>
    <row r="297" spans="1:13" ht="17.850000000000001" customHeight="1" x14ac:dyDescent="0.25">
      <c r="A297" s="2770" t="s">
        <v>1051</v>
      </c>
      <c r="B297" s="2771"/>
      <c r="C297" s="2771"/>
      <c r="D297" s="2772"/>
      <c r="E297" s="199">
        <f>E366</f>
        <v>0</v>
      </c>
      <c r="F297" s="1303">
        <f>F366</f>
        <v>0</v>
      </c>
      <c r="G297" s="2797" t="s">
        <v>1061</v>
      </c>
      <c r="H297" s="2365"/>
      <c r="I297" s="438"/>
      <c r="J297" s="1313"/>
      <c r="K297" s="1313"/>
      <c r="L297" s="1314"/>
      <c r="M297" s="1342" t="s">
        <v>607</v>
      </c>
    </row>
    <row r="298" spans="1:13" ht="17.850000000000001" customHeight="1" x14ac:dyDescent="0.25">
      <c r="G298" s="2364"/>
      <c r="H298" s="2365"/>
      <c r="I298" s="438"/>
      <c r="J298" s="1313"/>
      <c r="K298" s="1313"/>
      <c r="L298" s="1314"/>
    </row>
    <row r="299" spans="1:13" ht="17.850000000000001" customHeight="1" x14ac:dyDescent="0.25">
      <c r="A299" s="2687" t="s">
        <v>1046</v>
      </c>
      <c r="B299" s="2688"/>
      <c r="C299" s="2688"/>
      <c r="D299" s="2688"/>
      <c r="E299" s="2688"/>
      <c r="F299" s="2738"/>
      <c r="G299" s="444" t="s">
        <v>1062</v>
      </c>
      <c r="H299" s="504" t="s">
        <v>1063</v>
      </c>
      <c r="I299" s="578" t="str">
        <f>IF(AND(H285="Ja",(G300+H300)&lt;&gt;0),"X","")</f>
        <v>X</v>
      </c>
      <c r="J299" s="1313"/>
      <c r="K299" s="1313"/>
      <c r="L299" s="1314"/>
    </row>
    <row r="300" spans="1:13" ht="17.850000000000001" customHeight="1" x14ac:dyDescent="0.25">
      <c r="A300" s="437" t="str">
        <f>"von "&amp;G288</f>
        <v>von G4.a1)</v>
      </c>
      <c r="B300" s="2137"/>
      <c r="C300" s="2138"/>
      <c r="D300" s="2139"/>
      <c r="E300" s="1287" t="str">
        <f>IF(H$293="in %",G294,"")</f>
        <v/>
      </c>
      <c r="F300" s="1289" t="str">
        <f>IF(H293="in €",G294,"")</f>
        <v/>
      </c>
      <c r="G300" s="979">
        <v>400</v>
      </c>
      <c r="H300" s="980"/>
      <c r="I300" s="578" t="str">
        <f>IF(AND(H296="Ja",SUM(G300,H300)&lt;&gt;0),"X","")</f>
        <v/>
      </c>
      <c r="J300" s="271" t="str">
        <f>IFERROR(IF(AND(SUM(E300)&gt;0,B300=""),"Bezugstext für den %-Satz angeben!",""),"")</f>
        <v/>
      </c>
      <c r="L300" s="216"/>
      <c r="M300" s="1977" t="s">
        <v>827</v>
      </c>
    </row>
    <row r="301" spans="1:13" ht="17.649999999999999" customHeight="1" x14ac:dyDescent="0.25">
      <c r="A301" s="437" t="str">
        <f>"von "&amp;H288</f>
        <v>von G4.a2)</v>
      </c>
      <c r="B301" s="2137"/>
      <c r="C301" s="2138"/>
      <c r="D301" s="2139"/>
      <c r="E301" s="1287" t="str">
        <f>IF(H$293="in %",H294,"")</f>
        <v/>
      </c>
      <c r="F301" s="1289" t="str">
        <f>IF(H293="in €",H294,"")</f>
        <v/>
      </c>
      <c r="G301" s="598" t="s">
        <v>256</v>
      </c>
      <c r="H301" s="1045">
        <f ca="1">H290*F63</f>
        <v>15876</v>
      </c>
      <c r="I301" s="578"/>
      <c r="J301" s="271" t="str">
        <f>IFERROR(IF(AND(SUM(E301)&gt;0,B301=""),"Bezugstext für den %-Satz angeben!",""),"")</f>
        <v/>
      </c>
      <c r="L301" s="268"/>
      <c r="M301" s="1342" t="s">
        <v>865</v>
      </c>
    </row>
    <row r="302" spans="1:13" ht="17.850000000000001" customHeight="1" x14ac:dyDescent="0.25">
      <c r="A302" s="437" t="str">
        <f>"von "&amp;G299</f>
        <v>von G4.b1)</v>
      </c>
      <c r="B302" s="2137" t="s">
        <v>925</v>
      </c>
      <c r="C302" s="2138"/>
      <c r="D302" s="2139"/>
      <c r="E302" s="1287" t="str">
        <f>IF(H302="in %",G303,"")</f>
        <v/>
      </c>
      <c r="F302" s="1289">
        <f ca="1">IF(H302="in €",G303,"")</f>
        <v>1.512</v>
      </c>
      <c r="G302" s="1044" t="str">
        <f>G293</f>
        <v xml:space="preserve"> PGK €|% ↓</v>
      </c>
      <c r="H302" s="2114" t="s">
        <v>69</v>
      </c>
      <c r="I302" s="578"/>
      <c r="J302" s="271" t="str">
        <f t="shared" ref="J302:J303" si="35">IF(AND(SUM(E302)&gt;0,B302=""),"Bezugstext für den %-Satz angeben!","")</f>
        <v/>
      </c>
      <c r="L302" s="268"/>
      <c r="M302" s="1342" t="s">
        <v>144</v>
      </c>
    </row>
    <row r="303" spans="1:13" ht="17.850000000000001" customHeight="1" thickBot="1" x14ac:dyDescent="0.3">
      <c r="A303" s="569" t="str">
        <f>"von "&amp;H299</f>
        <v>von G4.b2)</v>
      </c>
      <c r="B303" s="2395"/>
      <c r="C303" s="2396"/>
      <c r="D303" s="2397"/>
      <c r="E303" s="1288" t="str">
        <f>IF(H302="in %",H303,"")</f>
        <v/>
      </c>
      <c r="F303" s="1290" t="str">
        <f>IF(H302="in €",H303,"")</f>
        <v/>
      </c>
      <c r="G303" s="443">
        <f ca="1">IF(AND($H285=_Ja,G300&lt;&gt;0),IF($H302="in %",G300/$H301,G300/$H301*$H281),"")</f>
        <v>1.51172</v>
      </c>
      <c r="H303" s="503" t="str">
        <f>IF(AND($H285=_Ja,H300&lt;&gt;0),IF($H302="in %",H300/$H301,H300/$H301*$H281),"")</f>
        <v/>
      </c>
      <c r="I303" s="578"/>
      <c r="J303" s="271" t="str">
        <f t="shared" si="35"/>
        <v/>
      </c>
      <c r="L303" s="269"/>
    </row>
    <row r="304" spans="1:13" ht="17.850000000000001" customHeight="1" thickBot="1" x14ac:dyDescent="0.3">
      <c r="A304" s="2221" t="s">
        <v>1114</v>
      </c>
      <c r="B304" s="2222"/>
      <c r="C304" s="2222"/>
      <c r="D304" s="2306"/>
      <c r="E304" s="196">
        <f>SUM(E300:E303)</f>
        <v>0</v>
      </c>
      <c r="F304" s="1042">
        <f ca="1">SUM(F300:F303)</f>
        <v>1.512</v>
      </c>
      <c r="G304" s="2724" t="s">
        <v>760</v>
      </c>
      <c r="H304" s="2725"/>
      <c r="I304" s="578"/>
      <c r="J304" s="2229"/>
      <c r="K304" s="2229"/>
      <c r="L304" s="2230"/>
    </row>
    <row r="305" spans="1:13" ht="17.850000000000001" customHeight="1" x14ac:dyDescent="0.25">
      <c r="G305" s="2724"/>
      <c r="H305" s="2725"/>
      <c r="I305" s="578"/>
      <c r="L305" s="269"/>
    </row>
    <row r="306" spans="1:13" ht="17.850000000000001" customHeight="1" x14ac:dyDescent="0.25">
      <c r="A306" s="2208" t="s">
        <v>519</v>
      </c>
      <c r="B306" s="2305"/>
      <c r="C306" s="2305"/>
      <c r="D306" s="2209"/>
      <c r="E306" s="665">
        <f>SUM(E293,E295,E297,E304)</f>
        <v>0.06</v>
      </c>
      <c r="F306" s="155"/>
      <c r="G306" s="2724"/>
      <c r="H306" s="2725"/>
      <c r="I306" s="578"/>
      <c r="J306" s="271"/>
      <c r="L306" s="269"/>
    </row>
    <row r="307" spans="1:13" ht="17.850000000000001" customHeight="1" thickBot="1" x14ac:dyDescent="0.3">
      <c r="A307" s="2421" t="s">
        <v>576</v>
      </c>
      <c r="B307" s="2432"/>
      <c r="C307" s="2432"/>
      <c r="D307" s="2422"/>
      <c r="E307" s="1041"/>
      <c r="F307" s="1042">
        <f ca="1">SUM(F293,F295,F297,F304)</f>
        <v>2.262</v>
      </c>
      <c r="G307" s="2724"/>
      <c r="H307" s="2725"/>
      <c r="I307" s="578"/>
      <c r="J307" s="2319" t="str">
        <f ca="1">IFERROR(IF(OR(G308&gt;Report!F12,G308&lt;Report!G12),"Hinweis: Der Wert für Personalgemeinkosten liegt über oder unter den Richtwerten gemäß Blatt REPORT!",""),"")</f>
        <v/>
      </c>
      <c r="K307" s="2319"/>
      <c r="L307" s="2320"/>
    </row>
    <row r="308" spans="1:13" ht="17.850000000000001" customHeight="1" thickBot="1" x14ac:dyDescent="0.3">
      <c r="A308" s="2761" t="s">
        <v>257</v>
      </c>
      <c r="B308" s="2762"/>
      <c r="C308" s="2762"/>
      <c r="D308" s="2763"/>
      <c r="E308" s="1040">
        <f ca="1">E306*H281</f>
        <v>3.6</v>
      </c>
      <c r="F308" s="1040">
        <f ca="1">F307</f>
        <v>2.262</v>
      </c>
      <c r="G308" s="1315">
        <f ca="1">H308/H281</f>
        <v>9.7670000000000007E-2</v>
      </c>
      <c r="H308" s="1047">
        <f ca="1">IFERROR(SUM(E308:F308),"")</f>
        <v>5.86</v>
      </c>
      <c r="I308" s="578"/>
      <c r="J308" s="2319"/>
      <c r="K308" s="2319"/>
      <c r="L308" s="2320"/>
    </row>
    <row r="309" spans="1:13" ht="17.850000000000001" customHeight="1" x14ac:dyDescent="0.25">
      <c r="A309" s="2784" t="str">
        <f ca="1">IFERROR("F) Ergebnis Personalgemeinkosten  "&amp;TEXT(E306,"0,00%")&amp;" &amp; "&amp;TEXT(F308,"0,00€")&amp;" | gesamt (K3 Zeile 16) "&amp;TEXT(' K3 PP'!O34,"0,00€"),KALKULATION!$M$286)</f>
        <v>F) Ergebnis Personalgemeinkosten  6,00% &amp; 2,26€ | gesamt (K3 Zeile 16) 5,86€</v>
      </c>
      <c r="B309" s="2785"/>
      <c r="C309" s="2785"/>
      <c r="D309" s="2785"/>
      <c r="E309" s="2785"/>
      <c r="F309" s="2785"/>
      <c r="G309" s="2785"/>
      <c r="H309" s="2785"/>
      <c r="I309" s="438"/>
      <c r="J309" s="2319"/>
      <c r="K309" s="2319"/>
      <c r="L309" s="2320"/>
      <c r="M309" s="1342" t="s">
        <v>17</v>
      </c>
    </row>
    <row r="310" spans="1:13" ht="20.100000000000001" customHeight="1" x14ac:dyDescent="0.25">
      <c r="A310" s="2722" t="str">
        <f ca="1">A$74</f>
        <v>Info: KV &amp; up.Z: 22,00€ | abgabepfl. Pers.ko: 28,00€ | vor Uml: 60,00€ | KOSTEN: 66,88€ | PREIS: 86,28€</v>
      </c>
      <c r="B310" s="2723"/>
      <c r="C310" s="2723"/>
      <c r="D310" s="2723"/>
      <c r="E310" s="2723"/>
      <c r="F310" s="2723"/>
      <c r="G310" s="2723"/>
      <c r="H310" s="2723"/>
      <c r="I310" s="438"/>
      <c r="L310" s="216"/>
      <c r="M310" s="1342" t="s">
        <v>17</v>
      </c>
    </row>
    <row r="311" spans="1:13" ht="17.850000000000001" customHeight="1" x14ac:dyDescent="0.25">
      <c r="A311" s="2353"/>
      <c r="B311" s="2354"/>
      <c r="C311" s="2354"/>
      <c r="D311" s="2354"/>
      <c r="E311" s="2354"/>
      <c r="F311" s="2354"/>
      <c r="G311" s="2354"/>
      <c r="H311" s="2354"/>
      <c r="I311" s="2354"/>
      <c r="L311" s="216"/>
    </row>
    <row r="312" spans="1:13" ht="25.15" customHeight="1" x14ac:dyDescent="0.25">
      <c r="A312" s="2223" t="s">
        <v>835</v>
      </c>
      <c r="B312" s="2224"/>
      <c r="C312" s="2224"/>
      <c r="D312" s="2224"/>
      <c r="E312" s="2224"/>
      <c r="F312" s="2224"/>
      <c r="G312" s="2224"/>
      <c r="H312" s="2224"/>
      <c r="I312" s="438"/>
      <c r="L312" s="216"/>
    </row>
    <row r="313" spans="1:13" ht="20.100000000000001" customHeight="1" x14ac:dyDescent="0.25">
      <c r="A313" s="2302" t="s">
        <v>860</v>
      </c>
      <c r="B313" s="2303"/>
      <c r="C313" s="2303"/>
      <c r="D313" s="2303"/>
      <c r="E313" s="2304"/>
      <c r="G313" s="589"/>
      <c r="H313" s="1122"/>
      <c r="I313" s="438"/>
      <c r="L313" s="216"/>
    </row>
    <row r="314" spans="1:13" ht="17.850000000000001" customHeight="1" x14ac:dyDescent="0.25">
      <c r="A314" s="768"/>
      <c r="B314" s="769"/>
      <c r="C314" s="769"/>
      <c r="D314" s="769"/>
      <c r="E314" s="769"/>
      <c r="F314" s="1119" t="s">
        <v>124</v>
      </c>
      <c r="G314" s="211"/>
      <c r="H314" s="1122"/>
      <c r="I314" s="438"/>
      <c r="L314" s="216"/>
    </row>
    <row r="315" spans="1:13" ht="17.850000000000001" customHeight="1" x14ac:dyDescent="0.25">
      <c r="A315" s="2768" t="s">
        <v>822</v>
      </c>
      <c r="B315" s="2769"/>
      <c r="C315" s="2358"/>
      <c r="D315" s="2359"/>
      <c r="E315" s="2360"/>
      <c r="F315" s="445"/>
      <c r="G315" s="63"/>
      <c r="H315" s="1092"/>
      <c r="I315" s="438"/>
      <c r="J315" s="1006" t="str">
        <f>IF(AND(C315="",F317&gt;0),"Umlagezweck angeben!","")</f>
        <v/>
      </c>
      <c r="L315" s="216"/>
    </row>
    <row r="316" spans="1:13" ht="17.850000000000001" customHeight="1" x14ac:dyDescent="0.25">
      <c r="A316" s="2128" t="s">
        <v>975</v>
      </c>
      <c r="B316" s="2129"/>
      <c r="C316" s="2129"/>
      <c r="D316" s="2730"/>
      <c r="E316" s="2731"/>
      <c r="F316" s="446"/>
      <c r="G316" s="63"/>
      <c r="H316" s="1092"/>
      <c r="I316" s="438"/>
      <c r="L316" s="216"/>
    </row>
    <row r="317" spans="1:13" ht="17.850000000000001" customHeight="1" x14ac:dyDescent="0.25">
      <c r="A317" s="2742" t="s">
        <v>520</v>
      </c>
      <c r="B317" s="2743"/>
      <c r="C317" s="2743"/>
      <c r="D317" s="2877"/>
      <c r="E317" s="2878"/>
      <c r="F317" s="51">
        <f>IFERROR(D316/D317,0)</f>
        <v>0</v>
      </c>
      <c r="G317" s="63"/>
      <c r="I317" s="438"/>
      <c r="L317" s="216"/>
    </row>
    <row r="318" spans="1:13" ht="17.850000000000001" customHeight="1" x14ac:dyDescent="0.25">
      <c r="A318" s="2756"/>
      <c r="B318" s="2757"/>
      <c r="C318" s="2757"/>
      <c r="D318" s="2757"/>
      <c r="E318" s="2757"/>
      <c r="F318" s="2758"/>
      <c r="G318" s="160"/>
      <c r="I318" s="438"/>
      <c r="L318" s="216"/>
    </row>
    <row r="319" spans="1:13" ht="17.850000000000001" customHeight="1" x14ac:dyDescent="0.25">
      <c r="A319" s="2768" t="s">
        <v>823</v>
      </c>
      <c r="B319" s="2769"/>
      <c r="C319" s="2358" t="s">
        <v>1115</v>
      </c>
      <c r="D319" s="2359"/>
      <c r="E319" s="2360"/>
      <c r="F319" s="445"/>
      <c r="G319" s="63"/>
      <c r="H319" s="584"/>
      <c r="I319" s="438"/>
      <c r="J319" s="1006" t="str">
        <f ca="1">IF(AND(C319="",F321&gt;0),"Umlagezweck angeben!","")</f>
        <v/>
      </c>
      <c r="L319" s="216"/>
    </row>
    <row r="320" spans="1:13" ht="17.850000000000001" customHeight="1" x14ac:dyDescent="0.25">
      <c r="A320" s="2128" t="s">
        <v>891</v>
      </c>
      <c r="B320" s="2129"/>
      <c r="C320" s="2129"/>
      <c r="D320" s="2730">
        <v>1000</v>
      </c>
      <c r="E320" s="2731"/>
      <c r="F320" s="446"/>
      <c r="G320" s="63"/>
      <c r="H320" s="584"/>
      <c r="I320" s="438"/>
      <c r="L320" s="216"/>
    </row>
    <row r="321" spans="1:16" ht="17.850000000000001" customHeight="1" x14ac:dyDescent="0.25">
      <c r="A321" s="2128" t="s">
        <v>892</v>
      </c>
      <c r="B321" s="2129"/>
      <c r="C321" s="2129"/>
      <c r="D321" s="2130">
        <f ca="1">F63*C95*4.35*0.85</f>
        <v>978</v>
      </c>
      <c r="E321" s="2131"/>
      <c r="F321" s="93">
        <f ca="1">IFERROR(D320/D321,"-------")</f>
        <v>1.02</v>
      </c>
      <c r="G321" s="63"/>
      <c r="H321" s="584"/>
      <c r="I321" s="438"/>
      <c r="L321" s="216"/>
      <c r="P321" s="2045" t="s">
        <v>834</v>
      </c>
    </row>
    <row r="322" spans="1:16" ht="17.649999999999999" customHeight="1" x14ac:dyDescent="0.25">
      <c r="A322" s="2759"/>
      <c r="B322" s="2760"/>
      <c r="C322" s="2760"/>
      <c r="D322" s="2760"/>
      <c r="E322" s="2760"/>
      <c r="F322" s="2760"/>
      <c r="G322" s="2760"/>
      <c r="H322" s="2760"/>
      <c r="I322" s="438"/>
      <c r="L322" s="216"/>
    </row>
    <row r="323" spans="1:16" ht="20.100000000000001" customHeight="1" thickBot="1" x14ac:dyDescent="0.3">
      <c r="A323" s="2780" t="s">
        <v>861</v>
      </c>
      <c r="B323" s="2781"/>
      <c r="C323" s="2781"/>
      <c r="D323" s="2782"/>
      <c r="E323" s="981">
        <f ca="1">IFERROR(' K3 PP'!O33,"")</f>
        <v>60</v>
      </c>
      <c r="F323" s="2564" t="s">
        <v>833</v>
      </c>
      <c r="G323" s="2565"/>
      <c r="H323" s="1114" t="s">
        <v>376</v>
      </c>
      <c r="I323" s="438"/>
      <c r="J323" s="2229" t="str">
        <f>IF(OR(COUNTA(F324,G324)=2,COUNTA(F325,G325)=2,COUNTA(F326,G326)=2),"Hinweis: In einzelnen Eingabezeilen bestehen %- und €-Angaben.","")</f>
        <v/>
      </c>
      <c r="K323" s="2229"/>
      <c r="L323" s="2230"/>
    </row>
    <row r="324" spans="1:16" ht="17.649999999999999" customHeight="1" thickTop="1" x14ac:dyDescent="0.25">
      <c r="A324" s="2122"/>
      <c r="B324" s="2123"/>
      <c r="C324" s="2123"/>
      <c r="D324" s="2123"/>
      <c r="E324" s="2124"/>
      <c r="F324" s="808"/>
      <c r="G324" s="340"/>
      <c r="H324" s="585" t="str">
        <f>IF(G324&lt;&gt;0,G324*E$323,"")</f>
        <v/>
      </c>
      <c r="I324" s="438"/>
      <c r="J324" s="2176" t="str">
        <f>IFERROR(IF(AND(SUM(F324:H324)&gt;0,A324=""),"Unvollständig: Umlagezweck angeben / Wert löschen.",IF(AND(A324&lt;&gt;"",SUM(F324,H324)=0),M$290,"")),"")</f>
        <v/>
      </c>
      <c r="K324" s="2176"/>
      <c r="L324" s="2177"/>
    </row>
    <row r="325" spans="1:16" ht="17.649999999999999" customHeight="1" x14ac:dyDescent="0.25">
      <c r="A325" s="2137"/>
      <c r="B325" s="2138"/>
      <c r="C325" s="2138"/>
      <c r="D325" s="2138"/>
      <c r="E325" s="2138"/>
      <c r="F325" s="341"/>
      <c r="G325" s="337"/>
      <c r="H325" s="585" t="str">
        <f t="shared" ref="H325:H326" si="36">IF(G325&lt;&gt;0,G325*E$323,"")</f>
        <v/>
      </c>
      <c r="I325" s="438"/>
      <c r="J325" s="2176" t="str">
        <f t="shared" ref="J325:J326" si="37">IFERROR(IF(AND(SUM(F325:H325)&gt;0,A325=""),"Unvollständig: Umlagezweck angeben / Wert löschen.",IF(AND(A325&lt;&gt;"",SUM(F325,H325)=0),M$290,"")),"")</f>
        <v/>
      </c>
      <c r="K325" s="2176"/>
      <c r="L325" s="2177"/>
    </row>
    <row r="326" spans="1:16" ht="17.649999999999999" customHeight="1" x14ac:dyDescent="0.25">
      <c r="A326" s="2137"/>
      <c r="B326" s="2138"/>
      <c r="C326" s="2138"/>
      <c r="D326" s="2138"/>
      <c r="E326" s="2138"/>
      <c r="F326" s="341"/>
      <c r="G326" s="337"/>
      <c r="H326" s="585" t="str">
        <f t="shared" si="36"/>
        <v/>
      </c>
      <c r="I326" s="438"/>
      <c r="J326" s="2176" t="str">
        <f t="shared" si="37"/>
        <v/>
      </c>
      <c r="K326" s="2176"/>
      <c r="L326" s="2177"/>
    </row>
    <row r="327" spans="1:16" ht="17.649999999999999" hidden="1" customHeight="1" x14ac:dyDescent="0.25">
      <c r="A327" s="528"/>
      <c r="B327" s="529"/>
      <c r="C327" s="529"/>
      <c r="D327" s="529"/>
      <c r="E327" s="530" t="s">
        <v>441</v>
      </c>
      <c r="F327" s="531"/>
      <c r="G327" s="532">
        <f ca="1">IFERROR(SUM(F317,F321,F324:F326,H324:H326),"")</f>
        <v>1.02</v>
      </c>
      <c r="H327" s="1187">
        <f ca="1">SUM(F324:G326,F317,F321)</f>
        <v>1.02</v>
      </c>
      <c r="I327" s="588"/>
      <c r="J327" s="526"/>
      <c r="K327" s="526"/>
      <c r="L327" s="527"/>
    </row>
    <row r="328" spans="1:16" ht="17.649999999999999" hidden="1" customHeight="1" x14ac:dyDescent="0.25">
      <c r="A328" s="533" t="s">
        <v>237</v>
      </c>
      <c r="B328" s="535" t="s">
        <v>69</v>
      </c>
      <c r="C328" s="535" t="s">
        <v>90</v>
      </c>
      <c r="D328" s="534"/>
      <c r="E328" s="534"/>
      <c r="H328" s="59"/>
      <c r="I328" s="438"/>
      <c r="L328" s="216"/>
    </row>
    <row r="329" spans="1:16" ht="17.649999999999999" hidden="1" customHeight="1" x14ac:dyDescent="0.25">
      <c r="A329" s="536" t="str">
        <f>IF(C315="","",C315)</f>
        <v/>
      </c>
      <c r="B329" s="537" t="str">
        <f>IF(OR(A329="",F317=0),"",F317)</f>
        <v/>
      </c>
      <c r="C329" s="538"/>
      <c r="D329" s="778" t="str">
        <f>IF(OR(A329="",SUM(B329,C329)=0),"",A329)</f>
        <v/>
      </c>
      <c r="E329" s="66" t="str">
        <f>IF(D329="","",ROW())</f>
        <v/>
      </c>
      <c r="F329" s="806" t="str">
        <f ca="1">IFERROR(INDIRECT("D"&amp;(SMALL(E$329:E$333,ROW(D329)-ROW(D$329)+1))),"Umlagen in Pkt H1 anlegen!")</f>
        <v>Qualitätssicherung</v>
      </c>
      <c r="G329" s="671">
        <f ca="1">IF(F329="","",1*ROW())</f>
        <v>329</v>
      </c>
      <c r="H329" s="59"/>
      <c r="I329" s="438"/>
      <c r="L329" s="216"/>
    </row>
    <row r="330" spans="1:16" ht="17.649999999999999" hidden="1" customHeight="1" x14ac:dyDescent="0.25">
      <c r="A330" s="536" t="str">
        <f>IF(C319="","",C319)</f>
        <v>Qualitätssicherung</v>
      </c>
      <c r="B330" s="537">
        <f ca="1">IF(OR(A330="",F321=0),"",F321)</f>
        <v>1.02</v>
      </c>
      <c r="C330" s="538"/>
      <c r="D330" s="778" t="str">
        <f ca="1">IF(OR(A330="",SUM(B330,C330)=0),"",A330)</f>
        <v>Qualitätssicherung</v>
      </c>
      <c r="E330" s="66">
        <f ca="1">IF(D330="","",ROW())</f>
        <v>330</v>
      </c>
      <c r="F330" s="244" t="str">
        <f ca="1">IFERROR(INDIRECT("D"&amp;(SMALL(E$329:E$333,ROW(D330)-ROW(D$329)+1))),"")</f>
        <v/>
      </c>
      <c r="G330" s="267" t="str">
        <f ca="1">IF(F330="","",1*ROW())</f>
        <v/>
      </c>
      <c r="I330" s="438"/>
      <c r="L330" s="216"/>
    </row>
    <row r="331" spans="1:16" ht="17.649999999999999" hidden="1" customHeight="1" x14ac:dyDescent="0.25">
      <c r="A331" s="539" t="str">
        <f>IF(A324="","",A324)</f>
        <v/>
      </c>
      <c r="B331" s="537" t="str">
        <f>IF(OR(A331="",F324=0),"",F324)</f>
        <v/>
      </c>
      <c r="C331" s="554" t="str">
        <f>IF(OR(A331="",G324=0),"",G324)</f>
        <v/>
      </c>
      <c r="D331" s="778" t="str">
        <f t="shared" ref="D331:D333" si="38">IF(OR(A331="",SUM(B331,C331)=0),"",A331)</f>
        <v/>
      </c>
      <c r="E331" s="66" t="str">
        <f t="shared" ref="E331:E333" si="39">IF(D331="","",ROW())</f>
        <v/>
      </c>
      <c r="F331" s="244" t="str">
        <f ca="1">IFERROR(INDIRECT("D"&amp;(SMALL(E$329:E$333,ROW(D331)-ROW(D$329)+1))),"")</f>
        <v/>
      </c>
      <c r="G331" s="267" t="str">
        <f ca="1">IF(F331="","",1*ROW())</f>
        <v/>
      </c>
      <c r="H331" s="42" t="s">
        <v>692</v>
      </c>
      <c r="I331" s="438"/>
      <c r="L331" s="216"/>
    </row>
    <row r="332" spans="1:16" ht="17.649999999999999" hidden="1" customHeight="1" x14ac:dyDescent="0.25">
      <c r="A332" s="539" t="str">
        <f>IF(A325="","",A325)</f>
        <v/>
      </c>
      <c r="B332" s="537" t="str">
        <f>IF(OR(A332="",F325=0),"",F325)</f>
        <v/>
      </c>
      <c r="C332" s="554" t="str">
        <f>IF(OR(A332="",G325=0),"",G325)</f>
        <v/>
      </c>
      <c r="D332" s="778" t="str">
        <f t="shared" si="38"/>
        <v/>
      </c>
      <c r="E332" s="66" t="str">
        <f t="shared" si="39"/>
        <v/>
      </c>
      <c r="F332" s="244" t="str">
        <f ca="1">IFERROR(INDIRECT("D"&amp;(SMALL(E$329:E$333,ROW(D332)-ROW(D$329)+1))),"")</f>
        <v/>
      </c>
      <c r="G332" s="267" t="str">
        <f ca="1">IF(F332="","",1*ROW())</f>
        <v/>
      </c>
      <c r="H332" s="267">
        <f ca="1">MIN(G329:G333,ROW(G329))</f>
        <v>329</v>
      </c>
      <c r="I332" s="438"/>
      <c r="L332" s="216"/>
    </row>
    <row r="333" spans="1:16" ht="17.649999999999999" hidden="1" customHeight="1" x14ac:dyDescent="0.25">
      <c r="A333" s="539" t="str">
        <f t="shared" ref="A333" si="40">IF(A326="","",A326)</f>
        <v/>
      </c>
      <c r="B333" s="537" t="str">
        <f>IF(OR(A333="",F326=0),"",F326)</f>
        <v/>
      </c>
      <c r="C333" s="554" t="str">
        <f>IF(OR(A333="",G326=0),"",G326)</f>
        <v/>
      </c>
      <c r="D333" s="778" t="str">
        <f t="shared" si="38"/>
        <v/>
      </c>
      <c r="E333" s="780" t="str">
        <f t="shared" si="39"/>
        <v/>
      </c>
      <c r="F333" s="807" t="str">
        <f ca="1">IFERROR(INDIRECT("D"&amp;(SMALL(E$329:E$333,ROW(D333)-ROW(D$329)+1))),"")</f>
        <v/>
      </c>
      <c r="G333" s="722" t="str">
        <f ca="1">IF(F333="","",1*ROW())</f>
        <v/>
      </c>
      <c r="H333" s="722">
        <f ca="1">MAX(G329:G333,ROW(G329))</f>
        <v>329</v>
      </c>
      <c r="I333" s="438"/>
      <c r="L333" s="216"/>
    </row>
    <row r="334" spans="1:16" ht="20.100000000000001" customHeight="1" x14ac:dyDescent="0.25">
      <c r="A334" s="2169" t="str">
        <f ca="1">IF(G327=0,"H3) Zuordnung von Umlagen → es sind keine Umlagen in H1 bzw H2 angelegt!","H3) Zuordnung von in H1 u H2 angelegten Umlagen: "&amp;IF(SUM(F339,H339)=0," → Es sind (noch) keine Umlagen ausgewählt!",""))</f>
        <v xml:space="preserve">H3) Zuordnung von in H1 u H2 angelegten Umlagen: </v>
      </c>
      <c r="B334" s="2170"/>
      <c r="C334" s="2170"/>
      <c r="D334" s="2170"/>
      <c r="E334" s="2170"/>
      <c r="F334" s="2170"/>
      <c r="G334" s="2170"/>
      <c r="H334" s="2170"/>
      <c r="I334" s="438"/>
      <c r="L334" s="216"/>
    </row>
    <row r="335" spans="1:16" ht="17.649999999999999" customHeight="1" thickBot="1" x14ac:dyDescent="0.3">
      <c r="A335" s="809" t="s">
        <v>638</v>
      </c>
      <c r="B335" s="810"/>
      <c r="C335" s="810"/>
      <c r="D335" s="810"/>
      <c r="E335" s="810"/>
      <c r="F335" s="715" t="s">
        <v>69</v>
      </c>
      <c r="G335" s="715" t="s">
        <v>90</v>
      </c>
      <c r="H335" s="1114" t="s">
        <v>376</v>
      </c>
      <c r="I335" s="438"/>
      <c r="L335" s="216"/>
      <c r="M335" s="1342" t="str">
        <f>A336&amp;A337&amp;A338</f>
        <v>Qualitätssicherung</v>
      </c>
    </row>
    <row r="336" spans="1:16" ht="17.649999999999999" customHeight="1" thickTop="1" x14ac:dyDescent="0.25">
      <c r="A336" s="2370" t="s">
        <v>1115</v>
      </c>
      <c r="B336" s="2370"/>
      <c r="C336" s="2370"/>
      <c r="D336" s="2370"/>
      <c r="E336" s="2370"/>
      <c r="F336" s="51">
        <f ca="1">IF(A336="","",IFERROR(VLOOKUP(A336,A$329:E$333,2,FALSE),KALKULATION!$M$283))</f>
        <v>1.02</v>
      </c>
      <c r="G336" s="50">
        <f>IF(A336="","",IFERROR(VLOOKUP(A336,A$329:E$333,3,FALSE),""))</f>
        <v>0</v>
      </c>
      <c r="H336" s="585">
        <f ca="1">IFERROR(G336*E$323,"")</f>
        <v>0</v>
      </c>
      <c r="I336" s="438"/>
      <c r="J336" s="2702" t="str">
        <f ca="1">IFERROR(IF(G327&lt;&gt;SUM(F339,H339),"Hinweis: Nicht alle unter H1 bzw H2 angelegten Umlagen sind für die weitere Berechnung ausgewählt! Die weitere Berechnung erfolgt nur mit den ausgewählten Umlagen und in H3 angezeigten Werten.",""),KALKULATION!$M$286)</f>
        <v/>
      </c>
      <c r="K336" s="2702"/>
      <c r="L336" s="2703"/>
      <c r="M336" s="2047">
        <f ca="1">SUM(F339,H339)</f>
        <v>1.02</v>
      </c>
    </row>
    <row r="337" spans="1:28" ht="17.649999999999999" customHeight="1" x14ac:dyDescent="0.25">
      <c r="A337" s="2265"/>
      <c r="B337" s="2265"/>
      <c r="C337" s="2265"/>
      <c r="D337" s="2265"/>
      <c r="E337" s="2265"/>
      <c r="F337" s="48" t="str">
        <f>IF(A337="","",IFERROR(VLOOKUP(A337,A$329:E$333,2,FALSE),KALKULATION!$M$283))</f>
        <v/>
      </c>
      <c r="G337" s="50" t="str">
        <f t="shared" ref="G337:G338" si="41">IF(A337="","",IFERROR(VLOOKUP(A337,A$329:E$333,3,FALSE),""))</f>
        <v/>
      </c>
      <c r="H337" s="586" t="str">
        <f ca="1">IFERROR(G337*E$323,"")</f>
        <v/>
      </c>
      <c r="I337" s="438"/>
      <c r="J337" s="2702"/>
      <c r="K337" s="2702"/>
      <c r="L337" s="2703"/>
    </row>
    <row r="338" spans="1:28" ht="17.649999999999999" customHeight="1" thickBot="1" x14ac:dyDescent="0.3">
      <c r="A338" s="2295"/>
      <c r="B338" s="2295"/>
      <c r="C338" s="2295"/>
      <c r="D338" s="2295"/>
      <c r="E338" s="2295"/>
      <c r="F338" s="60" t="str">
        <f>IF(A338="","",IFERROR(VLOOKUP(A338,A$329:E$333,2,FALSE),KALKULATION!$M$283))</f>
        <v/>
      </c>
      <c r="G338" s="171" t="str">
        <f t="shared" si="41"/>
        <v/>
      </c>
      <c r="H338" s="587" t="str">
        <f ca="1">IFERROR(G338*E$323,"")</f>
        <v/>
      </c>
      <c r="I338" s="438"/>
      <c r="J338" s="2702"/>
      <c r="K338" s="2702"/>
      <c r="L338" s="2703"/>
      <c r="O338" s="1342" t="str">
        <f>A336&amp;A337&amp;A338</f>
        <v>Qualitätssicherung</v>
      </c>
    </row>
    <row r="339" spans="1:28" ht="17.649999999999999" customHeight="1" x14ac:dyDescent="0.25">
      <c r="A339" s="2761" t="s">
        <v>323</v>
      </c>
      <c r="B339" s="2762"/>
      <c r="C339" s="2762"/>
      <c r="D339" s="2762"/>
      <c r="E339" s="2763"/>
      <c r="F339" s="73">
        <f ca="1">SUM(F336:F338)</f>
        <v>1.02</v>
      </c>
      <c r="G339" s="50">
        <f>SUM(G336:G338)</f>
        <v>0</v>
      </c>
      <c r="H339" s="73">
        <f ca="1">SUM(H336:H338)</f>
        <v>0</v>
      </c>
      <c r="I339" s="438"/>
      <c r="J339" s="2702"/>
      <c r="K339" s="2702"/>
      <c r="L339" s="2703"/>
    </row>
    <row r="340" spans="1:28" ht="17.649999999999999" customHeight="1" x14ac:dyDescent="0.25">
      <c r="A340" s="2208" t="str">
        <f ca="1">IFERROR("H) Ergebnis Zurechnungen (Summe K3 Zeilen 17i): "&amp;TEXT(F339,"0,00€")&amp;" und "&amp;TEXT(G339,"0,00%")&amp;"; gesamt: "&amp;TEXT(F339+H339,"0,00€")&amp;"/Std",KALKULATION!$M$286)</f>
        <v>H) Ergebnis Zurechnungen (Summe K3 Zeilen 17i): 1,02€ und 0,00%; gesamt: 1,02€/Std</v>
      </c>
      <c r="B340" s="2305"/>
      <c r="C340" s="2305"/>
      <c r="D340" s="2305"/>
      <c r="E340" s="2305"/>
      <c r="F340" s="2305"/>
      <c r="G340" s="2305"/>
      <c r="H340" s="2305"/>
      <c r="I340" s="438"/>
      <c r="J340" s="2845" t="str">
        <f ca="1">IF(AND(A336&amp;A337&amp;A338&lt;&gt;"",SUM(F339,H339)=0),"Durch Löschen von Eintragungen in H1/H2 sind Texte in H3 erhalten geblieben. Bereinigen Sie H3 vor dem Löschen von H1/H2.","")</f>
        <v/>
      </c>
      <c r="K340" s="2845"/>
      <c r="L340" s="2846"/>
      <c r="M340" s="2045"/>
    </row>
    <row r="341" spans="1:28" ht="20.100000000000001" customHeight="1" x14ac:dyDescent="0.25">
      <c r="A341" s="2317" t="str">
        <f ca="1">A$74</f>
        <v>Info: KV &amp; up.Z: 22,00€ | abgabepfl. Pers.ko: 28,00€ | vor Uml: 60,00€ | KOSTEN: 66,88€ | PREIS: 86,28€</v>
      </c>
      <c r="B341" s="2318"/>
      <c r="C341" s="2318"/>
      <c r="D341" s="2318"/>
      <c r="E341" s="2318"/>
      <c r="F341" s="2318"/>
      <c r="G341" s="2318"/>
      <c r="H341" s="2318"/>
      <c r="I341" s="438"/>
      <c r="J341" s="2845"/>
      <c r="K341" s="2845"/>
      <c r="L341" s="2846"/>
      <c r="Z341" s="526"/>
      <c r="AA341" s="526"/>
      <c r="AB341" s="526"/>
    </row>
    <row r="342" spans="1:28" s="526" customFormat="1" ht="17.850000000000001" customHeight="1" x14ac:dyDescent="0.25">
      <c r="A342" s="2778"/>
      <c r="B342" s="2779"/>
      <c r="C342" s="2779"/>
      <c r="D342" s="2779"/>
      <c r="E342" s="2779"/>
      <c r="F342" s="2779"/>
      <c r="G342" s="2779"/>
      <c r="H342" s="2779"/>
      <c r="I342" s="2779"/>
      <c r="J342" s="45"/>
      <c r="K342" s="42"/>
      <c r="L342" s="216"/>
      <c r="M342" s="1961" t="s">
        <v>608</v>
      </c>
      <c r="N342" s="1961" t="s">
        <v>570</v>
      </c>
      <c r="O342" s="1342"/>
      <c r="P342" s="1342"/>
      <c r="Q342" s="1342"/>
      <c r="R342" s="1342"/>
      <c r="S342" s="1342"/>
      <c r="T342" s="1342"/>
      <c r="U342" s="1342"/>
      <c r="V342" s="1342"/>
      <c r="W342" s="1342"/>
      <c r="X342" s="1342"/>
      <c r="Y342" s="1342"/>
      <c r="Z342" s="42"/>
      <c r="AA342" s="42"/>
      <c r="AB342" s="42"/>
    </row>
    <row r="343" spans="1:28" ht="25.15" customHeight="1" x14ac:dyDescent="0.25">
      <c r="A343" s="2223" t="s">
        <v>836</v>
      </c>
      <c r="B343" s="2224"/>
      <c r="C343" s="2224"/>
      <c r="D343" s="2224"/>
      <c r="E343" s="2224"/>
      <c r="F343" s="2224"/>
      <c r="G343" s="2224"/>
      <c r="H343" s="2224"/>
      <c r="I343" s="438"/>
      <c r="L343" s="216"/>
      <c r="M343" s="2048" t="str">
        <f>IF('K2 GZ'!C12=0,"",'K2 GZ'!C12)</f>
        <v>Alle Kostenarten</v>
      </c>
      <c r="N343" s="1342">
        <f>IF(M343="","",1*ROW())</f>
        <v>343</v>
      </c>
    </row>
    <row r="344" spans="1:28" ht="17.850000000000001" customHeight="1" x14ac:dyDescent="0.25">
      <c r="A344" s="2132" t="s">
        <v>761</v>
      </c>
      <c r="B344" s="2133"/>
      <c r="C344" s="2133"/>
      <c r="D344" s="2133"/>
      <c r="E344" s="2726" t="s">
        <v>639</v>
      </c>
      <c r="F344" s="2727"/>
      <c r="G344" s="1103" t="s">
        <v>855</v>
      </c>
      <c r="H344" s="1122" t="s">
        <v>856</v>
      </c>
      <c r="I344" s="438"/>
      <c r="L344" s="216"/>
      <c r="M344" s="2048" t="str">
        <f>IF('K2 GZ'!C13=0,"",'K2 GZ'!C13)</f>
        <v/>
      </c>
      <c r="N344" s="1342" t="str">
        <f t="shared" ref="N344:N350" si="42">IF(M344="","",1*ROW())</f>
        <v/>
      </c>
    </row>
    <row r="345" spans="1:28" ht="28.5" customHeight="1" x14ac:dyDescent="0.25">
      <c r="A345" s="2142" t="str">
        <f>IF(G345&lt;&gt;KALKULATION!$M$283,"I1) Ergebnis GZ auf PERSONALKOSTEN (K3 Z 20/B)","GZ auf PERSONALKOSTEN aus K2-Blatt wählen:   ↓")</f>
        <v>I1) Ergebnis GZ auf PERSONALKOSTEN (K3 Z 20/B)</v>
      </c>
      <c r="B345" s="2143"/>
      <c r="C345" s="2143"/>
      <c r="D345" s="2414"/>
      <c r="E345" s="2368" t="s">
        <v>1116</v>
      </c>
      <c r="F345" s="2467"/>
      <c r="G345" s="207">
        <f>IFERROR(VLOOKUP(E345,'K2 GZ'!I$25:M$32,5,FALSE),KALKULATION!$M$283)</f>
        <v>0.28999999999999998</v>
      </c>
      <c r="H345" s="570">
        <f ca="1">IFERROR(' K3 PP'!O43,"")</f>
        <v>19.100000000000001</v>
      </c>
      <c r="I345" s="438"/>
      <c r="J345" s="271" t="str">
        <f>IF(G345=KALKULATION!M283,"GZ wählen!!",IF(OR(ISBLANK(E345),G345=KALKULATION!$M$283,G345=0),"GZ?",""))</f>
        <v/>
      </c>
      <c r="K345" s="2766" t="str">
        <f>IF(OR(G345&gt;Report!F13,G345&lt;Report!G13),"Hinweis: GZ auf Personalkosten (K3 Zeile 20/B) außerhalb der Richtwerte gem Blatt REPORT. ","")</f>
        <v/>
      </c>
      <c r="L345" s="2767"/>
      <c r="M345" s="2048" t="str">
        <f>IF('K2 GZ'!C14=0,"",'K2 GZ'!C14)</f>
        <v/>
      </c>
      <c r="N345" s="1342" t="str">
        <f t="shared" si="42"/>
        <v/>
      </c>
    </row>
    <row r="346" spans="1:28" ht="28.5" customHeight="1" x14ac:dyDescent="0.25">
      <c r="A346" s="2208" t="str">
        <f ca="1">IF($H$327=0,"I2) GZ auf Umlage | Keine UMLAGEN vorhanden!",IF(OR(A336&amp;A337&amp;A338="",SUM(F339,H339)=0),"I2) GZ auf Umlagen | keine Umlagen ausgewählt!",IF(J346="","I2) Ergebnis GZ auf UMLAGEN (K3 Z 20/A)","GZ auf UMLAGEN aus K2-Blatt wählen:                ↓")))</f>
        <v>I2) Ergebnis GZ auf UMLAGEN (K3 Z 20/A)</v>
      </c>
      <c r="B346" s="2305"/>
      <c r="C346" s="2305"/>
      <c r="D346" s="2209"/>
      <c r="E346" s="2412" t="s">
        <v>1116</v>
      </c>
      <c r="F346" s="2413"/>
      <c r="G346" s="665">
        <f ca="1">IFERROR(IF(SUM(F339,H339)=0,"",IF(($H$327)&lt;&gt;0,(VLOOKUP(E346,'K2 GZ'!I$25:M$32,5,FALSE)),"")),KALKULATION!$M$283)</f>
        <v>0.28999999999999998</v>
      </c>
      <c r="H346" s="88">
        <f ca="1">IFERROR(' K3 PP'!M43,"")</f>
        <v>0.3</v>
      </c>
      <c r="I346" s="438"/>
      <c r="J346" s="271" t="str">
        <f ca="1">IF(G346=KALKULATION!M283,"GZ wählen!!",IFERROR(IF(AND(SUM(F339,H339)&lt;&gt;0,OR(ISBLANK(E346),G346=0,G346=KALKULATION!$M$283)),"GZ?",""),""))</f>
        <v/>
      </c>
      <c r="K346" s="2766"/>
      <c r="L346" s="2767"/>
      <c r="M346" s="2048" t="str">
        <f>IF('K2 GZ'!C15=0,"",'K2 GZ'!C15)</f>
        <v/>
      </c>
      <c r="N346" s="1342" t="str">
        <f t="shared" si="42"/>
        <v/>
      </c>
    </row>
    <row r="347" spans="1:28" ht="20.100000000000001" customHeight="1" x14ac:dyDescent="0.25">
      <c r="A347" s="2317" t="str">
        <f ca="1">A$74</f>
        <v>Info: KV &amp; up.Z: 22,00€ | abgabepfl. Pers.ko: 28,00€ | vor Uml: 60,00€ | KOSTEN: 66,88€ | PREIS: 86,28€</v>
      </c>
      <c r="B347" s="2318"/>
      <c r="C347" s="2318"/>
      <c r="D347" s="2318"/>
      <c r="E347" s="2318"/>
      <c r="F347" s="2318"/>
      <c r="G347" s="2318"/>
      <c r="H347" s="2318"/>
      <c r="I347" s="438"/>
      <c r="J347" s="1006"/>
      <c r="K347" s="2766"/>
      <c r="L347" s="2767"/>
      <c r="M347" s="2048" t="str">
        <f>IF('K2 GZ'!C16=0,"",'K2 GZ'!C16)</f>
        <v/>
      </c>
    </row>
    <row r="348" spans="1:28" ht="17.850000000000001" customHeight="1" x14ac:dyDescent="0.25">
      <c r="A348" s="2210" t="str">
        <f>IF(SUM(E366:F366)&lt;&gt;0,"PGK in Pkt G2 durch Bestimmung eines Zielwerts geändert. ["&amp;A365&amp;"]","")</f>
        <v/>
      </c>
      <c r="B348" s="2211"/>
      <c r="C348" s="2211"/>
      <c r="D348" s="2211"/>
      <c r="E348" s="2211"/>
      <c r="F348" s="2211"/>
      <c r="G348" s="2211"/>
      <c r="H348" s="2211"/>
      <c r="I348" s="2211"/>
      <c r="J348" s="1006"/>
      <c r="K348" s="2766"/>
      <c r="L348" s="2767"/>
      <c r="M348" s="2048" t="str">
        <f>IF('K2 GZ'!C17=0,"",'K2 GZ'!C17)</f>
        <v/>
      </c>
      <c r="N348" s="1342" t="str">
        <f t="shared" si="42"/>
        <v/>
      </c>
    </row>
    <row r="349" spans="1:28" ht="25.15" customHeight="1" x14ac:dyDescent="0.25">
      <c r="A349" s="2791" t="s">
        <v>1042</v>
      </c>
      <c r="B349" s="2792"/>
      <c r="C349" s="2792"/>
      <c r="D349" s="2792"/>
      <c r="E349" s="2792"/>
      <c r="F349" s="2792"/>
      <c r="G349" s="2792"/>
      <c r="H349" s="2792"/>
      <c r="I349" s="2792"/>
      <c r="L349" s="216"/>
      <c r="M349" s="2048" t="str">
        <f>IF('K2 GZ'!C18=0,"",'K2 GZ'!C18)</f>
        <v/>
      </c>
      <c r="N349" s="1342" t="str">
        <f t="shared" si="42"/>
        <v/>
      </c>
    </row>
    <row r="350" spans="1:28" ht="17.850000000000001" customHeight="1" x14ac:dyDescent="0.25">
      <c r="A350" s="2728" t="s">
        <v>838</v>
      </c>
      <c r="B350" s="2729"/>
      <c r="C350" s="1211" t="s">
        <v>728</v>
      </c>
      <c r="D350" s="1102" t="s">
        <v>839</v>
      </c>
      <c r="E350" s="2115" t="s">
        <v>1089</v>
      </c>
      <c r="F350" s="2115"/>
      <c r="G350" s="2786" t="str">
        <f ca="1">IFERROR(IF(ABS(' K3 PP'!X45)&lt;0.02,' K3 PP'!Y48&amp;' K3 PP'!Z48&amp;' K3 PP'!AA48,KALKULATION!M287),$M$289)</f>
        <v>86,28 €/Std</v>
      </c>
      <c r="H350" s="2787"/>
      <c r="I350" s="438"/>
      <c r="J350" s="2263" t="str">
        <f ca="1">IFERROR(IF(AND(C350=M358,E350=M361),"Information: Der Standardwert "&amp;TEXT(M361,"0,0")&amp;" Std/Mo ist ausArbeitszeit/Wo x 4,35Wo/Mo errechnet. Wenn unzutreffend, Auswahl auf EIGEN stellen.",IF(AND(C350=M358,E350=M362),O362,"Auswahl aktualisieren!!!")),"Eingaben vervollständigen!")</f>
        <v>Auswahl aktualisieren!!!</v>
      </c>
      <c r="K350" s="2263"/>
      <c r="L350" s="2264"/>
      <c r="M350" s="2048" t="str">
        <f>IF('K2 GZ'!C19=0,"",'K2 GZ'!C19)</f>
        <v/>
      </c>
      <c r="N350" s="1342" t="str">
        <f t="shared" si="42"/>
        <v/>
      </c>
    </row>
    <row r="351" spans="1:28" ht="17.850000000000001" customHeight="1" x14ac:dyDescent="0.25">
      <c r="A351" s="2142" t="s">
        <v>840</v>
      </c>
      <c r="B351" s="2143"/>
      <c r="C351" s="2143"/>
      <c r="D351" s="2143"/>
      <c r="E351" s="2414"/>
      <c r="F351" s="524" t="s">
        <v>192</v>
      </c>
      <c r="G351" s="2788" t="str">
        <f>IF(_Anzeige_Prozent=_Nein,"Ansicht wie ÖNORM-Blatt","zusätzlich u.a. mit %-Angaben")</f>
        <v>zusätzlich u.a. mit %-Angaben</v>
      </c>
      <c r="H351" s="2789"/>
      <c r="I351" s="438"/>
      <c r="J351" s="2263"/>
      <c r="K351" s="2263"/>
      <c r="L351" s="2264"/>
      <c r="M351" s="1342" t="s">
        <v>568</v>
      </c>
      <c r="N351" s="1342">
        <f>MIN(N343:N350,ROW(N343))</f>
        <v>343</v>
      </c>
    </row>
    <row r="352" spans="1:28" ht="17.850000000000001" customHeight="1" x14ac:dyDescent="0.25">
      <c r="A352" s="1186" t="s">
        <v>617</v>
      </c>
      <c r="B352" s="353"/>
      <c r="C352" s="438"/>
      <c r="D352" s="438"/>
      <c r="E352" s="438"/>
      <c r="F352" s="438"/>
      <c r="G352" s="2732" t="s">
        <v>1118</v>
      </c>
      <c r="H352" s="2733"/>
      <c r="I352" s="438"/>
      <c r="J352" s="2263"/>
      <c r="K352" s="2263"/>
      <c r="L352" s="2264"/>
      <c r="M352" s="1342" t="s">
        <v>569</v>
      </c>
      <c r="N352" s="1342">
        <f>MAX(N343:N350,ROW(N343))</f>
        <v>343</v>
      </c>
    </row>
    <row r="353" spans="1:15" ht="17.850000000000001" customHeight="1" x14ac:dyDescent="0.25">
      <c r="A353" s="2149" t="s">
        <v>1055</v>
      </c>
      <c r="B353" s="2150"/>
      <c r="C353" s="2150"/>
      <c r="D353" s="2150"/>
      <c r="E353" s="2150"/>
      <c r="F353" s="355"/>
      <c r="G353" s="2734"/>
      <c r="H353" s="2735"/>
      <c r="I353" s="438"/>
      <c r="J353" s="2263"/>
      <c r="K353" s="2263"/>
      <c r="L353" s="2264"/>
    </row>
    <row r="354" spans="1:15" ht="17.850000000000001" customHeight="1" x14ac:dyDescent="0.25">
      <c r="A354" s="2153"/>
      <c r="B354" s="2154"/>
      <c r="C354" s="2154"/>
      <c r="D354" s="2154"/>
      <c r="E354" s="2154"/>
      <c r="F354" s="524" t="s">
        <v>193</v>
      </c>
      <c r="G354" s="2734"/>
      <c r="H354" s="2735"/>
      <c r="I354" s="578" t="str">
        <f>(IF(F354&lt;&gt;"Nein","X",""))</f>
        <v/>
      </c>
      <c r="J354" s="2261" t="str">
        <f>IF(F354="","Bitte Auswählen!!","")</f>
        <v/>
      </c>
      <c r="K354" s="2261"/>
      <c r="L354" s="2262"/>
      <c r="M354" s="2049" t="s">
        <v>679</v>
      </c>
    </row>
    <row r="355" spans="1:15" ht="17.850000000000001" customHeight="1" x14ac:dyDescent="0.25">
      <c r="A355" s="2134" t="s">
        <v>623</v>
      </c>
      <c r="B355" s="2135"/>
      <c r="C355" s="2135"/>
      <c r="D355" s="2135"/>
      <c r="E355" s="2135"/>
      <c r="F355" s="813" t="s">
        <v>399</v>
      </c>
      <c r="G355" s="2734"/>
      <c r="H355" s="2735"/>
      <c r="I355" s="578"/>
      <c r="J355" s="2847" t="str">
        <f>IF(AND(F354&lt;&gt;"Nein",F355=""),"Bitte Auswählen oder J3.a auf NEIN stellen!","")</f>
        <v/>
      </c>
      <c r="K355" s="2847"/>
      <c r="L355" s="2848"/>
      <c r="M355" s="2050" t="s">
        <v>728</v>
      </c>
    </row>
    <row r="356" spans="1:15" ht="17.850000000000001" customHeight="1" x14ac:dyDescent="0.25">
      <c r="A356" s="435" t="s">
        <v>1049</v>
      </c>
      <c r="B356" s="605"/>
      <c r="C356" s="605"/>
      <c r="D356" s="605"/>
      <c r="E356" s="605"/>
      <c r="F356" s="813" t="s">
        <v>1117</v>
      </c>
      <c r="G356" s="2734"/>
      <c r="H356" s="2735"/>
      <c r="I356" s="578"/>
      <c r="J356" s="2870" t="str">
        <f>IF(AND(F354&lt;&gt;"Nein",F356=""),"Bitte Auswählen oder J3.a auf NEIN stellen!","")</f>
        <v/>
      </c>
      <c r="K356" s="2870"/>
      <c r="L356" s="2871"/>
      <c r="M356" s="2050" t="s">
        <v>733</v>
      </c>
    </row>
    <row r="357" spans="1:15" ht="20.100000000000001" customHeight="1" x14ac:dyDescent="0.25">
      <c r="A357" s="2117" t="str">
        <f ca="1">B371&amp;B372&amp;B373&amp;B374&amp;B375</f>
        <v/>
      </c>
      <c r="B357" s="2299"/>
      <c r="C357" s="2299"/>
      <c r="D357" s="2299"/>
      <c r="E357" s="2299"/>
      <c r="F357" s="606"/>
      <c r="G357" s="2734"/>
      <c r="H357" s="2735"/>
      <c r="I357" s="578"/>
      <c r="J357" s="2485" t="str">
        <f ca="1">B395&amp;B400</f>
        <v/>
      </c>
      <c r="K357" s="2485"/>
      <c r="L357" s="2486"/>
      <c r="M357" s="2050" t="s">
        <v>734</v>
      </c>
    </row>
    <row r="358" spans="1:15" ht="20.100000000000001" customHeight="1" x14ac:dyDescent="0.25">
      <c r="A358" s="2117"/>
      <c r="B358" s="2299"/>
      <c r="C358" s="2299"/>
      <c r="D358" s="2299"/>
      <c r="E358" s="2299"/>
      <c r="F358" s="606"/>
      <c r="G358" s="2734"/>
      <c r="H358" s="2735"/>
      <c r="I358" s="578"/>
      <c r="J358" s="2485"/>
      <c r="K358" s="2485"/>
      <c r="L358" s="2486"/>
      <c r="M358" s="2051" t="s">
        <v>729</v>
      </c>
    </row>
    <row r="359" spans="1:15" ht="17.649999999999999" customHeight="1" x14ac:dyDescent="0.25">
      <c r="A359" s="2117"/>
      <c r="B359" s="2299"/>
      <c r="C359" s="2299"/>
      <c r="D359" s="2299"/>
      <c r="E359" s="2299"/>
      <c r="F359" s="884" t="str">
        <f ca="1">IF(AND(D379&gt;0,F360=""),"↓  "&amp;TEXT(E380,"0,000")&amp;"  ↓",IF(J357&lt;&gt;"","↓ löschen ↓",""))</f>
        <v/>
      </c>
      <c r="G359" s="2734"/>
      <c r="H359" s="2735"/>
      <c r="I359" s="438"/>
      <c r="J359" s="2485"/>
      <c r="K359" s="2485"/>
      <c r="L359" s="2486"/>
    </row>
    <row r="360" spans="1:15" ht="17.649999999999999" customHeight="1" x14ac:dyDescent="0.25">
      <c r="A360" s="2268"/>
      <c r="B360" s="2273"/>
      <c r="C360" s="2273"/>
      <c r="D360" s="2273"/>
      <c r="E360" s="2273"/>
      <c r="F360" s="814"/>
      <c r="G360" s="2736"/>
      <c r="H360" s="2737"/>
      <c r="I360" s="438"/>
      <c r="J360" s="2485"/>
      <c r="K360" s="2485"/>
      <c r="L360" s="2486"/>
      <c r="M360" s="2052" t="s">
        <v>679</v>
      </c>
      <c r="N360" s="2049"/>
    </row>
    <row r="361" spans="1:15" ht="17.649999999999999" customHeight="1" x14ac:dyDescent="0.25">
      <c r="A361" s="2687" t="s">
        <v>1041</v>
      </c>
      <c r="B361" s="2688"/>
      <c r="C361" s="2688"/>
      <c r="D361" s="2688"/>
      <c r="E361" s="2688"/>
      <c r="F361" s="2738"/>
      <c r="I361" s="438"/>
      <c r="J361" s="2485"/>
      <c r="K361" s="2485"/>
      <c r="L361" s="2486"/>
      <c r="M361" s="2053">
        <f ca="1">4.35*C95</f>
        <v>182.7</v>
      </c>
      <c r="N361" s="2054">
        <f ca="1">M361</f>
        <v>182.7</v>
      </c>
    </row>
    <row r="362" spans="1:15" ht="17.649999999999999" customHeight="1" x14ac:dyDescent="0.25">
      <c r="A362" s="1285" t="s">
        <v>771</v>
      </c>
      <c r="B362" s="2566" t="s">
        <v>1026</v>
      </c>
      <c r="C362" s="2567"/>
      <c r="D362" s="2721"/>
      <c r="E362" s="1862">
        <f>VLOOKUP(B362,M411:O413,3,FALSE)</f>
        <v>0</v>
      </c>
      <c r="F362" s="1863">
        <f>IF(E362&lt;&gt;0,D363,0)</f>
        <v>0</v>
      </c>
      <c r="G362" s="1864">
        <f>IFERROR(-1*(E362-F362),"?")</f>
        <v>0</v>
      </c>
      <c r="I362" s="438"/>
      <c r="J362" s="2485"/>
      <c r="K362" s="2485"/>
      <c r="L362" s="2486"/>
      <c r="M362" s="2055" t="s">
        <v>1126</v>
      </c>
      <c r="N362" s="2056" t="str">
        <f>IF(F350="","",F350)</f>
        <v/>
      </c>
      <c r="O362" s="1342" t="e">
        <f ca="1">IF((ABS(N362-N361)/N361)&gt;0.1,"Hinweis: Der eigene Eingabewert in Hv "&amp;TEXT(N362,"0,0")&amp;" Std/Mo weicht vom Erwartungswert "&amp;TEXT(N361,"0,0")&amp;" Std/Mo um mehr als 10% ab. Bitte prüfen.","")</f>
        <v>#VALUE!</v>
      </c>
    </row>
    <row r="363" spans="1:15" ht="17.649999999999999" customHeight="1" x14ac:dyDescent="0.25">
      <c r="A363" s="1283" t="str">
        <f>IFERROR("J4.a) Statt aktuell "&amp;TEXT(VLOOKUP(B362,M411:O413,3,FALSE),"0,00€")&amp;" Zielwert von:",M289)</f>
        <v>J4.a) Statt aktuell 0,00€ Zielwert von:</v>
      </c>
      <c r="B363" s="267"/>
      <c r="C363" s="267"/>
      <c r="D363" s="567"/>
      <c r="E363" s="1894" t="str">
        <f>IFERROR(IF(G362=0,"",IF(AND(D363="",SUM(E365:F365)=0),"← Zielwert eintragen!","  Delta zum Zielwert aktuell "&amp;TEXT(G362,"0,00€")&amp;"; siehe Info rechts!")),"Kalkulation ergibt noch kein Ergebnis!")</f>
        <v/>
      </c>
      <c r="I363" s="438"/>
      <c r="J363" s="2485"/>
      <c r="K363" s="2485"/>
      <c r="L363" s="2486"/>
      <c r="M363" s="2057" t="s">
        <v>730</v>
      </c>
      <c r="N363" s="2058" t="str">
        <f>IF(E350=M362,N362,N361)</f>
        <v/>
      </c>
    </row>
    <row r="364" spans="1:15" ht="20.100000000000001" customHeight="1" x14ac:dyDescent="0.25">
      <c r="A364" s="2773" t="str">
        <f>IF(AND(D363&lt;&gt;"",SUM(E365:F365)=0),M420,M419)</f>
        <v>J4.b) Für (neue) Simulation ggf. J4.c löschen; beachte den dadurch ev. geänderten Wert bei J4.a!</v>
      </c>
      <c r="B364" s="2773"/>
      <c r="C364" s="2773"/>
      <c r="D364" s="2773"/>
      <c r="E364" s="2773"/>
      <c r="F364" s="2773"/>
      <c r="G364" s="2773"/>
      <c r="H364" s="2773"/>
      <c r="I364" s="438"/>
      <c r="J364" s="2485"/>
      <c r="K364" s="2485"/>
      <c r="L364" s="2486"/>
    </row>
    <row r="365" spans="1:15" ht="17.649999999999999" customHeight="1" x14ac:dyDescent="0.25">
      <c r="A365" s="2296" t="str">
        <f>IFERROR(IF(G362=0,M426,IF(ABS(G362)=0.01,M425,IF(AND(SUM(E365:F365)&lt;&gt;0,ABS(G362)&gt;0.01),M423,M424))),M289)</f>
        <v>J4.c) Zielwert erreicht!</v>
      </c>
      <c r="B365" s="2296"/>
      <c r="C365" s="2296"/>
      <c r="D365" s="2296"/>
      <c r="E365" s="338"/>
      <c r="F365" s="1895"/>
      <c r="G365" s="1304" t="str">
        <f>IF(A365=M423,"← löschen","")</f>
        <v/>
      </c>
      <c r="H365" s="1291"/>
      <c r="I365" s="438"/>
      <c r="J365" s="2319" t="str">
        <f>IF(B362&lt;&gt;M411,M415,"")</f>
        <v/>
      </c>
      <c r="K365" s="2319"/>
      <c r="L365" s="2320"/>
      <c r="M365" s="2059" t="s">
        <v>1127</v>
      </c>
    </row>
    <row r="366" spans="1:15" ht="17.649999999999999" customHeight="1" x14ac:dyDescent="0.25">
      <c r="A366" s="1306" t="s">
        <v>1050</v>
      </c>
      <c r="B366" s="722"/>
      <c r="C366" s="722"/>
      <c r="D366" s="722"/>
      <c r="E366" s="1284">
        <f>IF($B362&lt;&gt;$M411,E365,0)</f>
        <v>0</v>
      </c>
      <c r="F366" s="1312">
        <f>IF($B362&lt;&gt;$M411,F365,0)</f>
        <v>0</v>
      </c>
      <c r="G366" s="2774" t="str">
        <f ca="1">"∑ PGK aktuell "&amp;TEXT(H308,"0,00€")&amp;" | "&amp;TEXT(H308/H281,"0,00%")</f>
        <v>∑ PGK aktuell 5,86€ | 9,77%</v>
      </c>
      <c r="H366" s="2774"/>
      <c r="I366" s="438"/>
      <c r="J366" s="2319"/>
      <c r="K366" s="2319"/>
      <c r="L366" s="2320"/>
    </row>
    <row r="367" spans="1:15" ht="17.649999999999999" customHeight="1" x14ac:dyDescent="0.25">
      <c r="A367" s="2722" t="str">
        <f ca="1">A$74</f>
        <v>Info: KV &amp; up.Z: 22,00€ | abgabepfl. Pers.ko: 28,00€ | vor Uml: 60,00€ | KOSTEN: 66,88€ | PREIS: 86,28€</v>
      </c>
      <c r="B367" s="2723"/>
      <c r="C367" s="2723"/>
      <c r="D367" s="2723"/>
      <c r="E367" s="2723"/>
      <c r="F367" s="2723"/>
      <c r="G367" s="2723"/>
      <c r="H367" s="2723"/>
      <c r="I367" s="438"/>
      <c r="J367" s="2319"/>
      <c r="K367" s="2319"/>
      <c r="L367" s="2320"/>
    </row>
    <row r="368" spans="1:15" ht="17.649999999999999" customHeight="1" x14ac:dyDescent="0.25">
      <c r="A368" s="2790" t="s">
        <v>1052</v>
      </c>
      <c r="B368" s="2790"/>
      <c r="C368" s="2790"/>
      <c r="D368" s="2790"/>
      <c r="E368" s="2790"/>
      <c r="F368" s="2790"/>
      <c r="G368" s="2790"/>
      <c r="H368" s="2790"/>
      <c r="I368" s="438"/>
      <c r="J368" s="2319"/>
      <c r="K368" s="2319"/>
      <c r="L368" s="2320"/>
    </row>
    <row r="369" spans="1:25" ht="20.100000000000001" customHeight="1" x14ac:dyDescent="0.25">
      <c r="A369" s="2790"/>
      <c r="B369" s="2790"/>
      <c r="C369" s="2790"/>
      <c r="D369" s="2790"/>
      <c r="E369" s="2790"/>
      <c r="F369" s="2790"/>
      <c r="G369" s="2790"/>
      <c r="H369" s="2790"/>
      <c r="I369" s="438"/>
      <c r="J369" s="2319"/>
      <c r="K369" s="2319"/>
      <c r="L369" s="2320"/>
    </row>
    <row r="370" spans="1:25" ht="17.649999999999999" customHeight="1" x14ac:dyDescent="0.25">
      <c r="A370" s="2790"/>
      <c r="B370" s="2790"/>
      <c r="C370" s="2790"/>
      <c r="D370" s="2790"/>
      <c r="E370" s="2790"/>
      <c r="F370" s="2790"/>
      <c r="G370" s="2790"/>
      <c r="H370" s="2790"/>
      <c r="I370" s="438"/>
      <c r="J370" s="2319"/>
      <c r="K370" s="2319"/>
      <c r="L370" s="2320"/>
    </row>
    <row r="371" spans="1:25" s="267" customFormat="1" ht="17.649999999999999" hidden="1" customHeight="1" x14ac:dyDescent="0.25">
      <c r="A371" s="267" t="s">
        <v>624</v>
      </c>
      <c r="B371" s="1292" t="str">
        <f>IF(J355&amp;J356&lt;&gt;"","J3.d) Es fehlen noch Einstellungen in J3.b oder J3.c!","")</f>
        <v/>
      </c>
      <c r="C371" s="1292"/>
      <c r="D371" s="1292"/>
      <c r="E371" s="1292"/>
      <c r="F371" s="1292"/>
      <c r="G371" s="1292"/>
      <c r="H371" s="1292"/>
      <c r="I371" s="438"/>
      <c r="J371" s="2319"/>
      <c r="K371" s="2319"/>
      <c r="L371" s="2320"/>
      <c r="M371" s="1342"/>
      <c r="N371" s="1342"/>
      <c r="O371" s="1342"/>
      <c r="P371" s="1342"/>
      <c r="Q371" s="1342"/>
      <c r="R371" s="1342"/>
      <c r="S371" s="1342"/>
      <c r="T371" s="1342"/>
      <c r="U371" s="1342"/>
      <c r="V371" s="1342"/>
      <c r="W371" s="1342"/>
      <c r="X371" s="1342"/>
      <c r="Y371" s="1342"/>
    </row>
    <row r="372" spans="1:25" s="267" customFormat="1" ht="17.649999999999999" hidden="1" customHeight="1" x14ac:dyDescent="0.25">
      <c r="A372" s="670" t="s">
        <v>625</v>
      </c>
      <c r="B372" s="1292" t="str">
        <f>IF(AND(F354&lt;&gt;"Nein",D379=0,F360=0,B371=""),"J3.d) Um das nach den Einstellungen in J3.a bis .c gewünschte Ergebnis zu erzielen, sind keine weiteren Maßnahmen erforderlich.","")</f>
        <v/>
      </c>
      <c r="C372" s="1292"/>
      <c r="D372" s="1292"/>
      <c r="E372" s="1292"/>
      <c r="F372" s="1292"/>
      <c r="G372" s="1292"/>
      <c r="H372" s="1292"/>
      <c r="I372" s="438"/>
      <c r="J372" s="2319"/>
      <c r="K372" s="2319"/>
      <c r="L372" s="2320"/>
      <c r="M372" s="1342"/>
      <c r="N372" s="1342"/>
      <c r="O372" s="1342"/>
      <c r="P372" s="1342"/>
      <c r="Q372" s="1342"/>
      <c r="R372" s="1342"/>
      <c r="S372" s="1342"/>
      <c r="T372" s="1342"/>
      <c r="U372" s="1342"/>
      <c r="V372" s="1342"/>
      <c r="W372" s="1342"/>
      <c r="X372" s="1342"/>
      <c r="Y372" s="1342"/>
    </row>
    <row r="373" spans="1:25" s="267" customFormat="1" ht="17.649999999999999" hidden="1" customHeight="1" x14ac:dyDescent="0.25">
      <c r="A373" s="267" t="s">
        <v>626</v>
      </c>
      <c r="B373" s="1292" t="str">
        <f>IF(AND(F354&lt;&gt;"Nein",D379&gt;0,B371="",B372=""),"J3.d) Um die Rundung vorzunehmen, tragen Sie in das Feld rechts unten die Zahl "&amp;E380&amp;" ein. Ein Ausgleichswert wird unter dem Titel Rundungsausgleich den PGK Pkt G2 hinzugezählt.","")</f>
        <v/>
      </c>
      <c r="C373" s="1292"/>
      <c r="D373" s="1292"/>
      <c r="E373" s="1292"/>
      <c r="F373" s="1292"/>
      <c r="G373" s="1292"/>
      <c r="H373" s="1292"/>
      <c r="I373" s="438"/>
      <c r="J373" s="2319"/>
      <c r="K373" s="2319"/>
      <c r="L373" s="2320"/>
      <c r="M373" s="1342"/>
      <c r="N373" s="1342"/>
      <c r="O373" s="1342"/>
      <c r="P373" s="1342"/>
      <c r="Q373" s="1342"/>
      <c r="R373" s="1342"/>
      <c r="S373" s="1342"/>
      <c r="T373" s="1342"/>
      <c r="U373" s="1342"/>
      <c r="V373" s="1342"/>
      <c r="W373" s="1342"/>
      <c r="X373" s="1342"/>
      <c r="Y373" s="1342"/>
    </row>
    <row r="374" spans="1:25" s="267" customFormat="1" ht="17.649999999999999" hidden="1" customHeight="1" x14ac:dyDescent="0.25">
      <c r="A374" s="267" t="s">
        <v>627</v>
      </c>
      <c r="B374" s="1292" t="str">
        <f>IF(AND(F360&lt;&gt;"",H387&lt;0.02,B371&amp;B372&amp;B373=""),"J3.d) Rundung vorgenommen; Nachrechen-Genauigkeitsverlust "&amp;TEXT(H387,"0,00€")&amp;". Falls Sie die Kalkulation nachträglich überarbeiten, J3.a, .b oder .c ändern, müssen Sie die Rundungszahl erneut berechnen und übertragen. Dazu bitte die Eingabe in J3.d löschen!","")</f>
        <v/>
      </c>
      <c r="C374" s="1292"/>
      <c r="D374" s="1292"/>
      <c r="E374" s="1292"/>
      <c r="F374" s="1292"/>
      <c r="G374" s="1292"/>
      <c r="H374" s="1292"/>
      <c r="I374" s="438"/>
      <c r="J374" s="2319"/>
      <c r="K374" s="2319"/>
      <c r="L374" s="2320"/>
      <c r="M374" s="1342"/>
      <c r="N374" s="1342"/>
      <c r="O374" s="1342"/>
      <c r="P374" s="1342"/>
      <c r="Q374" s="1342"/>
      <c r="R374" s="1342"/>
      <c r="S374" s="1342"/>
      <c r="T374" s="1342"/>
      <c r="U374" s="1342"/>
      <c r="V374" s="1342"/>
      <c r="W374" s="1342"/>
      <c r="X374" s="1342"/>
      <c r="Y374" s="1342"/>
    </row>
    <row r="375" spans="1:25" s="267" customFormat="1" ht="17.649999999999999" hidden="1" customHeight="1" x14ac:dyDescent="0.25">
      <c r="A375" s="267" t="s">
        <v>555</v>
      </c>
      <c r="B375" s="1292" t="str">
        <f ca="1">IF(AND(J357&lt;&gt;"",B371&amp;B372&amp;B373&amp;B374=""),"J3.d) Beachten Sie bitte die WARNUNGEN!","")</f>
        <v/>
      </c>
      <c r="C375" s="1292"/>
      <c r="D375" s="1292"/>
      <c r="E375" s="1292"/>
      <c r="F375" s="1292"/>
      <c r="G375" s="1292"/>
      <c r="H375" s="1292"/>
      <c r="I375" s="438"/>
      <c r="J375" s="2319"/>
      <c r="K375" s="2319"/>
      <c r="L375" s="2320"/>
      <c r="M375" s="1342"/>
      <c r="N375" s="1342"/>
      <c r="O375" s="1342"/>
      <c r="P375" s="1342"/>
      <c r="Q375" s="1342"/>
      <c r="R375" s="1342"/>
      <c r="S375" s="1342"/>
      <c r="T375" s="1342"/>
      <c r="U375" s="1342"/>
      <c r="V375" s="1342"/>
      <c r="W375" s="1342"/>
      <c r="X375" s="1342"/>
      <c r="Y375" s="1342"/>
    </row>
    <row r="376" spans="1:25" s="267" customFormat="1" ht="17.649999999999999" hidden="1" customHeight="1" x14ac:dyDescent="0.25">
      <c r="B376" s="670"/>
      <c r="C376" s="670"/>
      <c r="D376" s="670"/>
      <c r="E376" s="670"/>
      <c r="F376" s="670"/>
      <c r="G376" s="670"/>
      <c r="H376" s="670"/>
      <c r="I376" s="438"/>
      <c r="J376" s="2319"/>
      <c r="K376" s="2319"/>
      <c r="L376" s="2320"/>
      <c r="M376" s="1342"/>
      <c r="N376" s="1342"/>
      <c r="O376" s="1342"/>
      <c r="P376" s="1342"/>
      <c r="Q376" s="1342"/>
      <c r="R376" s="1342"/>
      <c r="S376" s="1342"/>
      <c r="T376" s="1342"/>
      <c r="U376" s="1342"/>
      <c r="V376" s="1342"/>
      <c r="W376" s="1342"/>
      <c r="X376" s="1342"/>
      <c r="Y376" s="1342"/>
    </row>
    <row r="377" spans="1:25" s="267" customFormat="1" ht="17.649999999999999" hidden="1" customHeight="1" x14ac:dyDescent="0.25">
      <c r="A377" s="748" t="s">
        <v>429</v>
      </c>
      <c r="B377" s="505"/>
      <c r="C377" s="505"/>
      <c r="D377" s="505"/>
      <c r="E377" s="505"/>
      <c r="F377" s="505"/>
      <c r="G377" s="278"/>
      <c r="H377" s="278"/>
      <c r="I377" s="438"/>
      <c r="J377" s="2319"/>
      <c r="K377" s="2319"/>
      <c r="L377" s="2320"/>
      <c r="M377" s="1342"/>
      <c r="N377" s="1342"/>
      <c r="O377" s="1342"/>
      <c r="P377" s="1342"/>
      <c r="Q377" s="1342"/>
      <c r="R377" s="1342"/>
      <c r="S377" s="1342"/>
      <c r="T377" s="1342"/>
      <c r="U377" s="1342"/>
      <c r="V377" s="1342"/>
      <c r="W377" s="1342"/>
      <c r="X377" s="1342"/>
      <c r="Y377" s="1342"/>
    </row>
    <row r="378" spans="1:25" s="267" customFormat="1" ht="17.850000000000001" hidden="1" customHeight="1" x14ac:dyDescent="0.25">
      <c r="A378" s="748" t="s">
        <v>538</v>
      </c>
      <c r="B378" s="505" t="s">
        <v>539</v>
      </c>
      <c r="C378" s="505" t="s">
        <v>540</v>
      </c>
      <c r="D378" s="748" t="s">
        <v>548</v>
      </c>
      <c r="E378" s="505"/>
      <c r="F378" s="505"/>
      <c r="G378" s="278"/>
      <c r="H378" s="278"/>
      <c r="I378" s="438"/>
      <c r="J378" s="2319"/>
      <c r="K378" s="2319"/>
      <c r="L378" s="2320"/>
      <c r="M378" s="1342"/>
      <c r="N378" s="1342"/>
      <c r="O378" s="1342"/>
      <c r="P378" s="1342"/>
      <c r="Q378" s="1342"/>
      <c r="R378" s="1342"/>
      <c r="S378" s="1342"/>
      <c r="T378" s="1342"/>
      <c r="U378" s="1342"/>
      <c r="V378" s="1342"/>
      <c r="W378" s="1342"/>
      <c r="X378" s="1342"/>
      <c r="Y378" s="1342"/>
    </row>
    <row r="379" spans="1:25" s="267" customFormat="1" ht="17.850000000000001" hidden="1" customHeight="1" x14ac:dyDescent="0.25">
      <c r="A379" s="506" t="str">
        <f>IF(F354="Kosten",' K3 PP'!U40,IF(F354="Preis",' K3 PP'!U45,""))</f>
        <v/>
      </c>
      <c r="B379" s="506" t="str">
        <f>IFERROR(IF(F355=H379,ROUNDUP(A379,0),IF(F355=F379,ROUNDUP(A379,1),IF(F355=G379,(ROUNDUP(A379/0.5,0)*0.5),""))),"")</f>
        <v/>
      </c>
      <c r="C379" s="507">
        <f>IFERROR(B379-A379,0)</f>
        <v>0</v>
      </c>
      <c r="D379" s="749">
        <f>IFERROR(C379/(1+C380),0)</f>
        <v>0</v>
      </c>
      <c r="E379" s="508"/>
      <c r="F379" s="509" t="s">
        <v>397</v>
      </c>
      <c r="G379" s="509" t="s">
        <v>398</v>
      </c>
      <c r="H379" s="510" t="s">
        <v>399</v>
      </c>
      <c r="I379" s="438"/>
      <c r="J379" s="2319"/>
      <c r="K379" s="2319"/>
      <c r="L379" s="2320"/>
      <c r="M379" s="1342"/>
      <c r="N379" s="1342"/>
      <c r="O379" s="1342"/>
      <c r="P379" s="1342"/>
      <c r="Q379" s="1342"/>
      <c r="R379" s="1342"/>
      <c r="S379" s="1342"/>
      <c r="T379" s="1342"/>
      <c r="U379" s="1342"/>
      <c r="V379" s="1342"/>
      <c r="W379" s="1342"/>
      <c r="X379" s="1342"/>
      <c r="Y379" s="1342"/>
    </row>
    <row r="380" spans="1:25" s="267" customFormat="1" ht="17.850000000000001" hidden="1" customHeight="1" x14ac:dyDescent="0.25">
      <c r="B380" s="505" t="s">
        <v>541</v>
      </c>
      <c r="C380" s="666" t="str">
        <f>IF(F354="Kosten",0,IF(F354="Preis",G345,""))</f>
        <v/>
      </c>
      <c r="D380" s="750">
        <f ca="1">D379/' K3 PP'!O33</f>
        <v>0</v>
      </c>
      <c r="E380" s="751" t="str">
        <f ca="1">IF(F356="als €",TEXT(D379,"0,000"),TEXT(D380*100,"0,000"))</f>
        <v>0,000</v>
      </c>
      <c r="F380" s="509"/>
      <c r="G380" s="509"/>
      <c r="H380" s="510"/>
      <c r="I380" s="438"/>
      <c r="J380" s="2319"/>
      <c r="K380" s="2319"/>
      <c r="L380" s="2320"/>
      <c r="M380" s="1342"/>
      <c r="N380" s="1342"/>
      <c r="O380" s="1342"/>
      <c r="P380" s="1342"/>
      <c r="Q380" s="1342"/>
      <c r="R380" s="1342"/>
      <c r="S380" s="1342"/>
      <c r="T380" s="1342"/>
      <c r="U380" s="1342"/>
      <c r="V380" s="1342"/>
      <c r="W380" s="1342"/>
      <c r="X380" s="1342"/>
      <c r="Y380" s="1342"/>
    </row>
    <row r="381" spans="1:25" s="267" customFormat="1" ht="17.850000000000001" hidden="1" customHeight="1" x14ac:dyDescent="0.25">
      <c r="A381" s="512" t="s">
        <v>610</v>
      </c>
      <c r="B381" s="512"/>
      <c r="C381" s="513"/>
      <c r="E381" s="508"/>
      <c r="F381" s="509"/>
      <c r="G381" s="509"/>
      <c r="H381" s="510"/>
      <c r="I381" s="438"/>
      <c r="J381" s="2319"/>
      <c r="K381" s="2319"/>
      <c r="L381" s="2320"/>
      <c r="M381" s="1342"/>
      <c r="N381" s="1342"/>
      <c r="O381" s="1342"/>
      <c r="P381" s="1342"/>
      <c r="Q381" s="1342"/>
      <c r="R381" s="1342"/>
      <c r="S381" s="1342"/>
      <c r="T381" s="1342"/>
      <c r="U381" s="1342"/>
      <c r="V381" s="1342"/>
      <c r="W381" s="1342"/>
      <c r="X381" s="1342"/>
      <c r="Y381" s="1342"/>
    </row>
    <row r="382" spans="1:25" s="267" customFormat="1" ht="17.850000000000001" hidden="1" customHeight="1" x14ac:dyDescent="0.25">
      <c r="A382" s="512" t="s">
        <v>542</v>
      </c>
      <c r="D382" s="512">
        <f ca="1">' K3 PP'!O33</f>
        <v>60</v>
      </c>
      <c r="E382" s="508"/>
      <c r="F382" s="509"/>
      <c r="G382" s="509"/>
      <c r="H382" s="510"/>
      <c r="I382" s="438"/>
      <c r="J382" s="2319"/>
      <c r="K382" s="2319"/>
      <c r="L382" s="2320"/>
      <c r="M382" s="1342"/>
      <c r="N382" s="1342"/>
      <c r="O382" s="1342"/>
      <c r="P382" s="1342"/>
      <c r="Q382" s="1342"/>
      <c r="R382" s="1342"/>
      <c r="S382" s="1342"/>
      <c r="T382" s="1342"/>
      <c r="U382" s="1342"/>
      <c r="V382" s="1342"/>
      <c r="W382" s="1342"/>
      <c r="X382" s="1342"/>
      <c r="Y382" s="1342"/>
    </row>
    <row r="383" spans="1:25" s="267" customFormat="1" ht="17.850000000000001" hidden="1" customHeight="1" x14ac:dyDescent="0.25">
      <c r="A383" s="514" t="s">
        <v>543</v>
      </c>
      <c r="B383" s="512">
        <f ca="1">' K3 PP'!O34</f>
        <v>5.86</v>
      </c>
      <c r="C383" s="507">
        <f>IF(AND(F360&lt;&gt;"",F354&lt;&gt;"Nein"),IF(F356="als €",ROUND(-F360,3),ROUND(-F360*H281/100,3)),0)</f>
        <v>0</v>
      </c>
      <c r="D383" s="512">
        <f ca="1">B383+C383</f>
        <v>5.86</v>
      </c>
      <c r="E383" s="508" t="s">
        <v>76</v>
      </c>
      <c r="F383" s="509"/>
      <c r="H383" s="509" t="s">
        <v>611</v>
      </c>
      <c r="I383" s="438"/>
      <c r="J383" s="2319"/>
      <c r="K383" s="2319"/>
      <c r="L383" s="2320"/>
      <c r="M383" s="1342"/>
      <c r="N383" s="1342"/>
      <c r="O383" s="1342"/>
      <c r="P383" s="1342"/>
      <c r="Q383" s="1342"/>
      <c r="R383" s="1342"/>
      <c r="S383" s="1342"/>
      <c r="T383" s="1342"/>
      <c r="U383" s="1342"/>
      <c r="V383" s="1342"/>
      <c r="W383" s="1342"/>
      <c r="X383" s="1342"/>
      <c r="Y383" s="1342"/>
    </row>
    <row r="384" spans="1:25" s="267" customFormat="1" ht="17.850000000000001" hidden="1" customHeight="1" x14ac:dyDescent="0.25">
      <c r="A384" s="514" t="s">
        <v>544</v>
      </c>
      <c r="B384" s="512"/>
      <c r="C384" s="513"/>
      <c r="D384" s="512">
        <f ca="1">D382+D383</f>
        <v>65.86</v>
      </c>
      <c r="E384" s="512">
        <f ca="1">' K3 PP'!M39</f>
        <v>1.02</v>
      </c>
      <c r="F384" s="512">
        <f ca="1">SUM(D384,E384)</f>
        <v>66.88</v>
      </c>
      <c r="G384" s="752" t="str">
        <f>IF(F354="Kosten",IF(F355=H379,ROUNDUP(F384,0),IF(F355=F379,ROUNDUP(F384,1),IF(F355=G379,(ROUNDUP(F384/0.5,0)*0.5),""))),"")</f>
        <v/>
      </c>
      <c r="H384" s="667" t="str">
        <f>IF(F360="","",IF(F354="Kosten",G384-E384,""))</f>
        <v/>
      </c>
      <c r="I384" s="438"/>
      <c r="J384" s="2319"/>
      <c r="K384" s="2319"/>
      <c r="L384" s="2320"/>
      <c r="M384" s="1342"/>
      <c r="N384" s="1342"/>
      <c r="O384" s="1342"/>
      <c r="P384" s="1342"/>
      <c r="Q384" s="1342"/>
      <c r="R384" s="1342"/>
      <c r="S384" s="1342"/>
      <c r="T384" s="1342"/>
      <c r="U384" s="1342"/>
      <c r="V384" s="1342"/>
      <c r="W384" s="1342"/>
      <c r="X384" s="1342"/>
      <c r="Y384" s="1342"/>
    </row>
    <row r="385" spans="1:25" s="267" customFormat="1" ht="17.850000000000001" hidden="1" customHeight="1" x14ac:dyDescent="0.25">
      <c r="A385" s="514" t="s">
        <v>418</v>
      </c>
      <c r="B385" s="512"/>
      <c r="C385" s="666">
        <f>' K3 PP'!K43</f>
        <v>0.28999999999999998</v>
      </c>
      <c r="D385" s="512">
        <f ca="1">C385*D384</f>
        <v>19.100000000000001</v>
      </c>
      <c r="E385" s="512">
        <f ca="1">' K3 PP'!M43</f>
        <v>0.3</v>
      </c>
      <c r="F385" s="512">
        <f ca="1">SUM(D385,E385)</f>
        <v>19.399999999999999</v>
      </c>
      <c r="G385" s="509"/>
      <c r="H385" s="510"/>
      <c r="I385" s="438"/>
      <c r="J385" s="2319"/>
      <c r="K385" s="2319"/>
      <c r="L385" s="2320"/>
      <c r="M385" s="1342"/>
      <c r="N385" s="1342"/>
      <c r="O385" s="1342"/>
      <c r="P385" s="1342"/>
      <c r="Q385" s="1342"/>
      <c r="R385" s="1342"/>
      <c r="S385" s="1342"/>
      <c r="T385" s="1342"/>
      <c r="U385" s="1342"/>
      <c r="V385" s="1342"/>
      <c r="W385" s="1342"/>
      <c r="X385" s="1342"/>
      <c r="Y385" s="1342"/>
    </row>
    <row r="386" spans="1:25" s="267" customFormat="1" ht="17.850000000000001" hidden="1" customHeight="1" x14ac:dyDescent="0.25">
      <c r="A386" s="514" t="s">
        <v>544</v>
      </c>
      <c r="B386" s="512"/>
      <c r="C386" s="513"/>
      <c r="D386" s="512">
        <f ca="1">SUM(D384:D385)</f>
        <v>84.96</v>
      </c>
      <c r="E386" s="512">
        <f ca="1">SUM(E384,E385)</f>
        <v>1.32</v>
      </c>
      <c r="F386" s="512">
        <f ca="1">D386+E386</f>
        <v>86.28</v>
      </c>
      <c r="G386" s="752" t="str">
        <f>IF(F354="Preis",IF(F355=H379,ROUNDUP(F386,0),IF(F355=F379,ROUNDUP(F386,1),IF(F355=G379,(ROUNDUP(F386/0.5,0)*0.5),""))),"")</f>
        <v/>
      </c>
      <c r="H386" s="667" t="str">
        <f>IF(F360="","",IF(F354="Preis",G386-E386,""))</f>
        <v/>
      </c>
      <c r="I386" s="438"/>
      <c r="J386" s="2319"/>
      <c r="K386" s="2319"/>
      <c r="L386" s="2320"/>
      <c r="M386" s="1342"/>
      <c r="N386" s="1342"/>
      <c r="O386" s="1342"/>
      <c r="P386" s="1342"/>
      <c r="Q386" s="1342"/>
      <c r="R386" s="1342"/>
      <c r="S386" s="1342"/>
      <c r="T386" s="1342"/>
      <c r="U386" s="1342"/>
      <c r="V386" s="1342"/>
      <c r="W386" s="1342"/>
      <c r="X386" s="1342"/>
      <c r="Y386" s="1342"/>
    </row>
    <row r="387" spans="1:25" s="267" customFormat="1" ht="17.850000000000001" hidden="1" customHeight="1" x14ac:dyDescent="0.25">
      <c r="A387" s="514"/>
      <c r="B387" s="512"/>
      <c r="C387" s="513"/>
      <c r="D387" s="512"/>
      <c r="E387" s="512"/>
      <c r="F387" s="512"/>
      <c r="G387" s="509" t="s">
        <v>612</v>
      </c>
      <c r="H387" s="668">
        <f>' K3 PP'!X45</f>
        <v>0</v>
      </c>
      <c r="I387" s="438"/>
      <c r="J387" s="2319"/>
      <c r="K387" s="2319"/>
      <c r="L387" s="2320"/>
      <c r="M387" s="1342"/>
      <c r="N387" s="1342"/>
      <c r="O387" s="1342"/>
      <c r="P387" s="1342"/>
      <c r="Q387" s="1342"/>
      <c r="R387" s="1342"/>
      <c r="S387" s="1342"/>
      <c r="T387" s="1342"/>
      <c r="U387" s="1342"/>
      <c r="V387" s="1342"/>
      <c r="W387" s="1342"/>
      <c r="X387" s="1342"/>
      <c r="Y387" s="1342"/>
    </row>
    <row r="388" spans="1:25" s="267" customFormat="1" ht="17.850000000000001" hidden="1" customHeight="1" x14ac:dyDescent="0.25">
      <c r="A388" s="514"/>
      <c r="B388" s="512" t="s">
        <v>540</v>
      </c>
      <c r="C388" s="753" t="s">
        <v>549</v>
      </c>
      <c r="D388" s="512"/>
      <c r="E388" s="508" t="s">
        <v>553</v>
      </c>
      <c r="F388" s="514" t="s">
        <v>552</v>
      </c>
      <c r="G388" s="754"/>
      <c r="H388" s="510"/>
      <c r="I388" s="438"/>
      <c r="J388" s="2319"/>
      <c r="K388" s="2319"/>
      <c r="L388" s="2320"/>
      <c r="M388" s="1342"/>
      <c r="N388" s="1342"/>
      <c r="O388" s="1342"/>
      <c r="P388" s="1342"/>
      <c r="Q388" s="1342"/>
      <c r="R388" s="1342"/>
      <c r="S388" s="1342"/>
      <c r="T388" s="1342"/>
      <c r="U388" s="1342"/>
      <c r="V388" s="1342"/>
      <c r="W388" s="1342"/>
      <c r="X388" s="1342"/>
      <c r="Y388" s="1342"/>
    </row>
    <row r="389" spans="1:25" s="267" customFormat="1" ht="17.850000000000001" hidden="1" customHeight="1" x14ac:dyDescent="0.25">
      <c r="A389" s="506" t="str">
        <f>IF(F354="Kosten",F384,IF(F354="Preis",F386,""))</f>
        <v/>
      </c>
      <c r="B389" s="506" t="e">
        <f>IF(F355=H379,ROUNDUP(A389,0),IF(F355=F379,ROUNDUP(A389,1),IF(F355=G379,(ROUNDUP(A389/0.5,0)*0.5),"")))</f>
        <v>#VALUE!</v>
      </c>
      <c r="C389" s="506" t="str">
        <f>IF(F354="Kosten",' K3 PP'!U40,IF(F354="Preis",' K3 PP'!U45,""))</f>
        <v/>
      </c>
      <c r="D389" s="515"/>
      <c r="F389" s="755" t="str">
        <f>IF(F$354="Kosten","Kosten",IF(F$354="Preis","Preis","Keine Auswahl"))</f>
        <v>Keine Auswahl</v>
      </c>
      <c r="G389" s="755"/>
      <c r="H389" s="510"/>
      <c r="I389" s="438"/>
      <c r="J389" s="2319"/>
      <c r="K389" s="2319"/>
      <c r="L389" s="2320"/>
      <c r="M389" s="1342"/>
      <c r="N389" s="1342"/>
      <c r="O389" s="1342"/>
      <c r="P389" s="1342"/>
      <c r="Q389" s="1342"/>
      <c r="R389" s="1342"/>
      <c r="S389" s="1342"/>
      <c r="T389" s="1342"/>
      <c r="U389" s="1342"/>
      <c r="V389" s="1342"/>
      <c r="W389" s="1342"/>
      <c r="X389" s="1342"/>
      <c r="Y389" s="1342"/>
    </row>
    <row r="390" spans="1:25" s="267" customFormat="1" ht="17.850000000000001" hidden="1" customHeight="1" x14ac:dyDescent="0.25">
      <c r="A390" s="512" t="s">
        <v>546</v>
      </c>
      <c r="B390" s="506" t="str">
        <f>IF(F354="Kosten",B389-SUM(' K3 PP'!M39),IF(F354="Preis",B389-SUM(' K3 PP'!M44),""))</f>
        <v/>
      </c>
      <c r="C390" s="513"/>
      <c r="D390" s="511"/>
      <c r="E390" s="508"/>
      <c r="F390" s="755">
        <f ca="1">IF(F$354="Kosten",' K3 PP'!X39,IF(F$354="Preis",' K3 PP'!X43,SUM(' K3 PP'!X39,' K3 PP'!X44)))</f>
        <v>0</v>
      </c>
      <c r="G390" s="756"/>
      <c r="H390" s="510"/>
      <c r="I390" s="438"/>
      <c r="J390" s="2319"/>
      <c r="K390" s="2319"/>
      <c r="L390" s="2320"/>
      <c r="M390" s="1342"/>
      <c r="N390" s="1342"/>
      <c r="O390" s="1342"/>
      <c r="P390" s="1342"/>
      <c r="Q390" s="1342"/>
      <c r="R390" s="1342"/>
      <c r="S390" s="1342"/>
      <c r="T390" s="1342"/>
      <c r="U390" s="1342"/>
      <c r="V390" s="1342"/>
      <c r="W390" s="1342"/>
      <c r="X390" s="1342"/>
      <c r="Y390" s="1342"/>
    </row>
    <row r="391" spans="1:25" s="267" customFormat="1" ht="17.850000000000001" hidden="1" customHeight="1" x14ac:dyDescent="0.25">
      <c r="A391" s="517"/>
      <c r="C391" s="516"/>
      <c r="D391" s="517"/>
      <c r="E391" s="505"/>
      <c r="F391" s="505"/>
      <c r="G391" s="278"/>
      <c r="H391" s="278"/>
      <c r="I391" s="438"/>
      <c r="J391" s="2319"/>
      <c r="K391" s="2319"/>
      <c r="L391" s="2320"/>
      <c r="M391" s="1342"/>
      <c r="N391" s="1342"/>
      <c r="O391" s="1342"/>
      <c r="P391" s="1342"/>
      <c r="Q391" s="1342"/>
      <c r="R391" s="1342"/>
      <c r="S391" s="1342"/>
      <c r="T391" s="1342"/>
      <c r="U391" s="1342"/>
      <c r="V391" s="1342"/>
      <c r="W391" s="1342"/>
      <c r="X391" s="1342"/>
      <c r="Y391" s="1342"/>
    </row>
    <row r="392" spans="1:25" s="267" customFormat="1" ht="17.850000000000001" hidden="1" customHeight="1" x14ac:dyDescent="0.25">
      <c r="A392" s="505" t="s">
        <v>545</v>
      </c>
      <c r="B392" s="505"/>
      <c r="C392" s="517" t="str">
        <f>IF(AND(F354="Kosten",F360&lt;&gt;""),B390,"")</f>
        <v/>
      </c>
      <c r="D392" s="505"/>
      <c r="E392" s="505"/>
      <c r="F392" s="505"/>
      <c r="G392" s="278"/>
      <c r="H392" s="278"/>
      <c r="I392" s="438"/>
      <c r="J392" s="2319"/>
      <c r="K392" s="2319"/>
      <c r="L392" s="2320"/>
      <c r="M392" s="1342"/>
      <c r="N392" s="1342"/>
      <c r="O392" s="1342"/>
      <c r="P392" s="1342"/>
      <c r="Q392" s="1342"/>
      <c r="R392" s="1342"/>
      <c r="S392" s="1342"/>
      <c r="T392" s="1342"/>
      <c r="U392" s="1342"/>
      <c r="V392" s="1342"/>
      <c r="W392" s="1342"/>
      <c r="X392" s="1342"/>
      <c r="Y392" s="1342"/>
    </row>
    <row r="393" spans="1:25" s="267" customFormat="1" ht="17.850000000000001" hidden="1" customHeight="1" x14ac:dyDescent="0.25">
      <c r="A393" s="505" t="s">
        <v>547</v>
      </c>
      <c r="B393" s="505"/>
      <c r="C393" s="517" t="str">
        <f>IF(AND(F354="Preis",F360&lt;&gt;""),B390,"")</f>
        <v/>
      </c>
      <c r="D393" s="505">
        <f ca="1">' K3 PP'!O39</f>
        <v>65.86</v>
      </c>
      <c r="E393" s="757" t="str">
        <f ca="1">IFERROR(C393-D393,"")</f>
        <v/>
      </c>
      <c r="F393" s="505"/>
      <c r="G393" s="505"/>
      <c r="H393" s="505"/>
      <c r="I393" s="438"/>
      <c r="J393" s="2319"/>
      <c r="K393" s="2319"/>
      <c r="L393" s="2320"/>
      <c r="M393" s="1342"/>
      <c r="N393" s="1342"/>
      <c r="O393" s="1342"/>
      <c r="P393" s="1342"/>
      <c r="Q393" s="1342"/>
      <c r="R393" s="1342"/>
      <c r="S393" s="1342"/>
      <c r="T393" s="1342"/>
      <c r="U393" s="1342"/>
      <c r="V393" s="1342"/>
      <c r="W393" s="1342"/>
      <c r="X393" s="1342"/>
      <c r="Y393" s="1342"/>
    </row>
    <row r="394" spans="1:25" s="267" customFormat="1" ht="17.850000000000001" hidden="1" customHeight="1" x14ac:dyDescent="0.25">
      <c r="A394" s="518"/>
      <c r="B394" s="518"/>
      <c r="C394" s="518"/>
      <c r="D394" s="518"/>
      <c r="E394" s="518"/>
      <c r="F394" s="518"/>
      <c r="G394" s="519" t="s">
        <v>399</v>
      </c>
      <c r="H394" s="518"/>
      <c r="I394" s="438"/>
      <c r="J394" s="2319"/>
      <c r="K394" s="2319"/>
      <c r="L394" s="2320"/>
      <c r="M394" s="2060"/>
      <c r="N394" s="1342"/>
      <c r="O394" s="1342"/>
      <c r="P394" s="1342"/>
      <c r="Q394" s="1342"/>
      <c r="R394" s="1342"/>
      <c r="S394" s="1342"/>
      <c r="T394" s="1342"/>
      <c r="U394" s="1342"/>
      <c r="V394" s="1342"/>
      <c r="W394" s="1342"/>
      <c r="X394" s="1342"/>
      <c r="Y394" s="1342"/>
    </row>
    <row r="395" spans="1:25" s="267" customFormat="1" ht="17.850000000000001" hidden="1" customHeight="1" x14ac:dyDescent="0.25">
      <c r="A395" s="267" t="s">
        <v>554</v>
      </c>
      <c r="B395" s="1293" t="str">
        <f ca="1">IFERROR(IF(E408&gt;1,"Die  Eingabe unter J3.d ist höher gewählt, als zum Rundungssausgleich erforderlich wäre! Löschen Sie die Eingabe in J3.d und tragen Sie den angezeigten Wert erneut ein! ",""),KALKULATION!$M$288)</f>
        <v/>
      </c>
      <c r="C395" s="1293"/>
      <c r="D395" s="1293"/>
      <c r="E395" s="1293"/>
      <c r="F395" s="1293"/>
      <c r="G395" s="1293"/>
      <c r="H395" s="1293"/>
      <c r="I395" s="438"/>
      <c r="J395" s="2319"/>
      <c r="K395" s="2319"/>
      <c r="L395" s="2320"/>
      <c r="M395" s="2060"/>
      <c r="N395" s="1342"/>
      <c r="O395" s="1342"/>
      <c r="P395" s="1342"/>
      <c r="Q395" s="1342"/>
      <c r="R395" s="1342"/>
      <c r="S395" s="1342"/>
      <c r="T395" s="1342"/>
      <c r="U395" s="1342"/>
      <c r="V395" s="1342"/>
      <c r="W395" s="1342"/>
      <c r="X395" s="1342"/>
      <c r="Y395" s="1342"/>
    </row>
    <row r="396" spans="1:25" s="267" customFormat="1" ht="17.850000000000001" hidden="1" customHeight="1" x14ac:dyDescent="0.25">
      <c r="B396" s="1293"/>
      <c r="C396" s="1293"/>
      <c r="D396" s="1293"/>
      <c r="E396" s="1293"/>
      <c r="F396" s="1293"/>
      <c r="G396" s="1293"/>
      <c r="H396" s="1293"/>
      <c r="I396" s="438"/>
      <c r="J396" s="2319"/>
      <c r="K396" s="2319"/>
      <c r="L396" s="2320"/>
      <c r="M396" s="1342"/>
      <c r="N396" s="1342"/>
      <c r="O396" s="1342"/>
      <c r="P396" s="1342"/>
      <c r="Q396" s="1342"/>
      <c r="R396" s="1342"/>
      <c r="S396" s="1342"/>
      <c r="T396" s="1342"/>
      <c r="U396" s="1342"/>
      <c r="V396" s="1342"/>
      <c r="W396" s="1342"/>
      <c r="X396" s="1342"/>
      <c r="Y396" s="1342"/>
    </row>
    <row r="397" spans="1:25" s="267" customFormat="1" ht="17.850000000000001" hidden="1" customHeight="1" x14ac:dyDescent="0.25">
      <c r="B397" s="1293"/>
      <c r="C397" s="1293"/>
      <c r="D397" s="1293"/>
      <c r="E397" s="1293"/>
      <c r="F397" s="1293"/>
      <c r="G397" s="1293"/>
      <c r="H397" s="1293"/>
      <c r="I397" s="438"/>
      <c r="J397" s="2319"/>
      <c r="K397" s="2319"/>
      <c r="L397" s="2320"/>
      <c r="M397" s="1342"/>
      <c r="N397" s="1342"/>
      <c r="O397" s="1342"/>
      <c r="P397" s="1342"/>
      <c r="Q397" s="1342"/>
      <c r="R397" s="1342"/>
      <c r="S397" s="1342"/>
      <c r="T397" s="1342"/>
      <c r="U397" s="1342"/>
      <c r="V397" s="1342"/>
      <c r="W397" s="1342"/>
      <c r="X397" s="1342"/>
      <c r="Y397" s="1342"/>
    </row>
    <row r="398" spans="1:25" s="267" customFormat="1" ht="17.850000000000001" hidden="1" customHeight="1" x14ac:dyDescent="0.25">
      <c r="B398" s="1293"/>
      <c r="C398" s="1293"/>
      <c r="D398" s="1293"/>
      <c r="E398" s="1293"/>
      <c r="F398" s="1293"/>
      <c r="G398" s="1293"/>
      <c r="H398" s="1293"/>
      <c r="I398" s="438"/>
      <c r="J398" s="2319"/>
      <c r="K398" s="2319"/>
      <c r="L398" s="2320"/>
      <c r="M398" s="1342"/>
      <c r="N398" s="1342"/>
      <c r="O398" s="1342"/>
      <c r="P398" s="1342"/>
      <c r="Q398" s="1342"/>
      <c r="R398" s="1342"/>
      <c r="S398" s="1342"/>
      <c r="T398" s="1342"/>
      <c r="U398" s="1342"/>
      <c r="V398" s="1342"/>
      <c r="W398" s="1342"/>
      <c r="X398" s="1342"/>
      <c r="Y398" s="1342"/>
    </row>
    <row r="399" spans="1:25" s="267" customFormat="1" ht="17.850000000000001" hidden="1" customHeight="1" x14ac:dyDescent="0.25">
      <c r="B399" s="1293"/>
      <c r="C399" s="1293"/>
      <c r="D399" s="1293"/>
      <c r="E399" s="1293"/>
      <c r="F399" s="1293"/>
      <c r="G399" s="1293"/>
      <c r="H399" s="1293"/>
      <c r="I399" s="438"/>
      <c r="J399" s="2319"/>
      <c r="K399" s="2319"/>
      <c r="L399" s="2320"/>
      <c r="M399" s="1342"/>
      <c r="N399" s="1342"/>
      <c r="O399" s="1342"/>
      <c r="P399" s="1342"/>
      <c r="Q399" s="1342"/>
      <c r="R399" s="1342"/>
      <c r="S399" s="1342"/>
      <c r="T399" s="1342"/>
      <c r="U399" s="1342"/>
      <c r="V399" s="1342"/>
      <c r="W399" s="1342"/>
      <c r="X399" s="1342"/>
      <c r="Y399" s="1342"/>
    </row>
    <row r="400" spans="1:25" s="267" customFormat="1" ht="17.850000000000001" hidden="1" customHeight="1" x14ac:dyDescent="0.25">
      <c r="A400" s="518" t="s">
        <v>555</v>
      </c>
      <c r="B400" s="1293" t="str">
        <f>IFERROR(IF(H387=0,"",IF(H387&gt;0.01,"
Eine Ungenauigkeit in Hv "&amp;TEXT(H387,"0,00€")&amp;" ergibt sich aus der Nachrechnung des K3-Blatts. Das ist wahrscheinlich auf nachträgliche Änderungen in der Kalkulation  zurückzuführen. Löschen Sie die Eingabe in J3.d und tragen Sie den angezeigten Wert erneut ein. "&amp;"Löst sich die Ungenauigkeit nicht auf, kann aufgrund der eingestellten Excel-Rundungsregeln, keine exakte Rundung durch Veränderung der Personalgemeinkosten (G2) erzielt werden. Ab einer Ungenauigkeit von 0,02€ wird im K-Blatt kein Ergebnis angezeigt!","")),KALKULATION!$M$288)</f>
        <v/>
      </c>
      <c r="C400" s="1293"/>
      <c r="D400" s="1293"/>
      <c r="E400" s="1293"/>
      <c r="F400" s="1293"/>
      <c r="G400" s="1293"/>
      <c r="H400" s="1293"/>
      <c r="I400" s="438"/>
      <c r="J400" s="2319"/>
      <c r="K400" s="2319"/>
      <c r="L400" s="2320"/>
      <c r="M400" s="1342"/>
      <c r="N400" s="1342"/>
      <c r="O400" s="1342"/>
      <c r="P400" s="1342"/>
      <c r="Q400" s="1342"/>
      <c r="R400" s="1342"/>
      <c r="S400" s="1342"/>
      <c r="T400" s="1342"/>
      <c r="U400" s="1342"/>
      <c r="V400" s="1342"/>
      <c r="W400" s="1342"/>
      <c r="X400" s="1342"/>
      <c r="Y400" s="1342"/>
    </row>
    <row r="401" spans="1:25" s="267" customFormat="1" ht="17.850000000000001" hidden="1" customHeight="1" x14ac:dyDescent="0.25">
      <c r="B401" s="1293"/>
      <c r="C401" s="1293"/>
      <c r="D401" s="1293"/>
      <c r="E401" s="1293"/>
      <c r="F401" s="1293"/>
      <c r="G401" s="1293"/>
      <c r="H401" s="1293"/>
      <c r="I401" s="438"/>
      <c r="J401" s="2319"/>
      <c r="K401" s="2319"/>
      <c r="L401" s="2320"/>
      <c r="M401" s="1342"/>
      <c r="N401" s="1342"/>
      <c r="O401" s="1342"/>
      <c r="P401" s="1342"/>
      <c r="Q401" s="1342"/>
      <c r="R401" s="1342"/>
      <c r="S401" s="1342"/>
      <c r="T401" s="1342"/>
      <c r="U401" s="1342"/>
      <c r="V401" s="1342"/>
      <c r="W401" s="1342"/>
      <c r="X401" s="1342"/>
      <c r="Y401" s="1342"/>
    </row>
    <row r="402" spans="1:25" s="267" customFormat="1" ht="17.850000000000001" hidden="1" customHeight="1" x14ac:dyDescent="0.25">
      <c r="B402" s="1293"/>
      <c r="C402" s="1293"/>
      <c r="D402" s="1293"/>
      <c r="E402" s="1293"/>
      <c r="F402" s="1293"/>
      <c r="G402" s="1293"/>
      <c r="H402" s="1293"/>
      <c r="I402" s="438"/>
      <c r="J402" s="2319"/>
      <c r="K402" s="2319"/>
      <c r="L402" s="2320"/>
      <c r="M402" s="1342"/>
      <c r="N402" s="1342"/>
      <c r="O402" s="1342"/>
      <c r="P402" s="1342"/>
      <c r="Q402" s="1342"/>
      <c r="R402" s="1342"/>
      <c r="S402" s="1342"/>
      <c r="T402" s="1342"/>
      <c r="U402" s="1342"/>
      <c r="V402" s="1342"/>
      <c r="W402" s="1342"/>
      <c r="X402" s="1342"/>
      <c r="Y402" s="1342"/>
    </row>
    <row r="403" spans="1:25" s="267" customFormat="1" ht="17.850000000000001" hidden="1" customHeight="1" x14ac:dyDescent="0.25">
      <c r="B403" s="1293"/>
      <c r="C403" s="1293"/>
      <c r="D403" s="1293"/>
      <c r="E403" s="1293"/>
      <c r="F403" s="1293"/>
      <c r="G403" s="1293"/>
      <c r="H403" s="1293"/>
      <c r="I403" s="438"/>
      <c r="J403" s="2319"/>
      <c r="K403" s="2319"/>
      <c r="L403" s="2320"/>
      <c r="M403" s="1342"/>
      <c r="N403" s="1342"/>
      <c r="O403" s="1342"/>
      <c r="P403" s="1342"/>
      <c r="Q403" s="1342"/>
      <c r="R403" s="1342"/>
      <c r="S403" s="1342"/>
      <c r="T403" s="1342"/>
      <c r="U403" s="1342"/>
      <c r="V403" s="1342"/>
      <c r="W403" s="1342"/>
      <c r="X403" s="1342"/>
      <c r="Y403" s="1342"/>
    </row>
    <row r="404" spans="1:25" s="267" customFormat="1" ht="17.850000000000001" hidden="1" customHeight="1" x14ac:dyDescent="0.25">
      <c r="C404" s="518"/>
      <c r="D404" s="518"/>
      <c r="E404" s="518"/>
      <c r="F404" s="505"/>
      <c r="G404" s="278"/>
      <c r="H404" s="278"/>
      <c r="I404" s="438"/>
      <c r="J404" s="2319"/>
      <c r="K404" s="2319"/>
      <c r="L404" s="2320"/>
      <c r="M404" s="1342"/>
      <c r="N404" s="2045" t="s">
        <v>381</v>
      </c>
      <c r="O404" s="1342"/>
      <c r="P404" s="1342"/>
      <c r="Q404" s="1342"/>
      <c r="R404" s="1342"/>
      <c r="S404" s="1342"/>
      <c r="T404" s="1342"/>
      <c r="U404" s="1342"/>
      <c r="V404" s="1342"/>
      <c r="W404" s="1342"/>
      <c r="X404" s="1342"/>
      <c r="Y404" s="1342"/>
    </row>
    <row r="405" spans="1:25" s="267" customFormat="1" ht="17.850000000000001" hidden="1" customHeight="1" x14ac:dyDescent="0.25">
      <c r="A405" s="1294">
        <f ca="1">IF(F356="als €",F360,F360*H281/100)</f>
        <v>0</v>
      </c>
      <c r="B405" s="518">
        <f ca="1">IF(AND($A405&gt;0.1,$F$354="Kosten"),1,0)</f>
        <v>0</v>
      </c>
      <c r="C405" s="518">
        <f ca="1">IF(AND($A405&gt;0.5,$F$354="Kosten"),1,0)</f>
        <v>0</v>
      </c>
      <c r="D405" s="518">
        <f ca="1">IF(AND($A405&gt;1,$F$354="Kosten"),1,0)</f>
        <v>0</v>
      </c>
      <c r="E405" s="518"/>
      <c r="F405" s="518"/>
      <c r="G405" s="518"/>
      <c r="H405" s="518"/>
      <c r="I405" s="438"/>
      <c r="J405" s="2319"/>
      <c r="K405" s="2319"/>
      <c r="L405" s="2320"/>
      <c r="M405" s="1342"/>
      <c r="N405" s="1342"/>
      <c r="O405" s="1342"/>
      <c r="P405" s="1342"/>
      <c r="Q405" s="1342"/>
      <c r="R405" s="1342"/>
      <c r="S405" s="1342"/>
      <c r="T405" s="1342"/>
      <c r="U405" s="1342"/>
      <c r="V405" s="1342"/>
      <c r="W405" s="1342"/>
      <c r="X405" s="1342"/>
      <c r="Y405" s="1342"/>
    </row>
    <row r="406" spans="1:25" s="267" customFormat="1" ht="17.850000000000001" hidden="1" customHeight="1" x14ac:dyDescent="0.25">
      <c r="A406" s="1295">
        <f ca="1">A405*(1+G345)</f>
        <v>0</v>
      </c>
      <c r="B406" s="518">
        <f ca="1">IF(AND($A406&gt;0.1,$F$354="Preis"),1,0)</f>
        <v>0</v>
      </c>
      <c r="C406" s="518">
        <f ca="1">IF(AND($A406&gt;0.5,$F$354="Preis"),1,0)</f>
        <v>0</v>
      </c>
      <c r="D406" s="518">
        <f ca="1">IF(AND($A406&gt;1,$F$354="Preis"),1,0)</f>
        <v>0</v>
      </c>
      <c r="E406" s="518"/>
      <c r="F406" s="518"/>
      <c r="G406" s="518"/>
      <c r="H406" s="518"/>
      <c r="I406" s="438"/>
      <c r="J406" s="2319"/>
      <c r="K406" s="2319"/>
      <c r="L406" s="2320"/>
      <c r="M406" s="1342"/>
      <c r="N406" s="1342"/>
      <c r="O406" s="1342"/>
      <c r="P406" s="1342"/>
      <c r="Q406" s="1342"/>
      <c r="R406" s="1342"/>
      <c r="S406" s="1342"/>
      <c r="T406" s="1342"/>
      <c r="U406" s="1342"/>
      <c r="V406" s="1342"/>
      <c r="W406" s="1342"/>
      <c r="X406" s="1342"/>
      <c r="Y406" s="1342"/>
    </row>
    <row r="407" spans="1:25" s="267" customFormat="1" ht="17.850000000000001" hidden="1" customHeight="1" x14ac:dyDescent="0.25">
      <c r="A407" s="518"/>
      <c r="B407" s="518">
        <f>IF($F$355=F379,1,0)</f>
        <v>0</v>
      </c>
      <c r="C407" s="518">
        <f>IF($F$355=G379,1,0)</f>
        <v>0</v>
      </c>
      <c r="D407" s="518">
        <f>IF($F$355=H379,1,0)</f>
        <v>1</v>
      </c>
      <c r="E407" s="518"/>
      <c r="F407" s="518"/>
      <c r="G407" s="518"/>
      <c r="H407" s="518"/>
      <c r="I407" s="438"/>
      <c r="J407" s="2319"/>
      <c r="K407" s="2319"/>
      <c r="L407" s="2320"/>
      <c r="M407" s="1342"/>
      <c r="N407" s="1342"/>
      <c r="O407" s="1342"/>
      <c r="P407" s="1342"/>
      <c r="Q407" s="1342"/>
      <c r="R407" s="1342"/>
      <c r="S407" s="1342"/>
      <c r="T407" s="1342"/>
      <c r="U407" s="1342"/>
      <c r="V407" s="1342"/>
      <c r="W407" s="1342"/>
      <c r="X407" s="1342"/>
      <c r="Y407" s="1342"/>
    </row>
    <row r="408" spans="1:25" s="267" customFormat="1" ht="17.850000000000001" hidden="1" customHeight="1" thickBot="1" x14ac:dyDescent="0.3">
      <c r="A408" s="1305" t="s">
        <v>377</v>
      </c>
      <c r="B408" s="1305">
        <f ca="1">SUM(B405:B407)</f>
        <v>0</v>
      </c>
      <c r="C408" s="1305">
        <f t="shared" ref="C408:D408" ca="1" si="43">SUM(C405:C407)</f>
        <v>0</v>
      </c>
      <c r="D408" s="1305">
        <f t="shared" ca="1" si="43"/>
        <v>1</v>
      </c>
      <c r="E408" s="1305">
        <f ca="1">MAX(B408:D408)</f>
        <v>1</v>
      </c>
      <c r="F408" s="1305"/>
      <c r="G408" s="1305"/>
      <c r="H408" s="1305"/>
      <c r="I408" s="438"/>
      <c r="J408" s="2319"/>
      <c r="K408" s="2319"/>
      <c r="L408" s="2320"/>
      <c r="M408" s="1342"/>
      <c r="N408" s="1342"/>
      <c r="O408" s="1342"/>
      <c r="P408" s="1342"/>
      <c r="Q408" s="1342"/>
      <c r="R408" s="1342"/>
      <c r="S408" s="1342"/>
      <c r="T408" s="1342"/>
      <c r="U408" s="1342"/>
      <c r="V408" s="1342"/>
      <c r="W408" s="1342"/>
      <c r="X408" s="1342"/>
      <c r="Y408" s="1342"/>
    </row>
    <row r="409" spans="1:25" ht="17.850000000000001" customHeight="1" x14ac:dyDescent="0.25">
      <c r="A409" s="217" t="str">
        <f>' K3 PP'!B40</f>
        <v>Mittellohnkosten</v>
      </c>
      <c r="B409" s="385"/>
      <c r="C409" s="385"/>
      <c r="D409" s="385"/>
      <c r="E409" s="2796" t="str">
        <f ca="1">IFERROR(' K3 PP'!N40,KALKULATION!$M$288)</f>
        <v>66,88 €/Std</v>
      </c>
      <c r="F409" s="2796"/>
      <c r="G409" s="2796"/>
      <c r="H409" s="2796"/>
      <c r="I409" s="438"/>
      <c r="J409" s="2319"/>
      <c r="K409" s="2319"/>
      <c r="L409" s="2320"/>
      <c r="M409" s="2061" t="s">
        <v>1053</v>
      </c>
    </row>
    <row r="410" spans="1:25" ht="17.850000000000001" customHeight="1" x14ac:dyDescent="0.25">
      <c r="A410" s="386" t="str">
        <f>' K3 PP'!B45</f>
        <v>Mittellohnpreis</v>
      </c>
      <c r="B410" s="387"/>
      <c r="C410" s="387"/>
      <c r="D410" s="387"/>
      <c r="E410" s="2348" t="str">
        <f ca="1">IFERROR(' K3 PP'!N45,KALKULATION!$M$288)</f>
        <v>86,28 €/Std</v>
      </c>
      <c r="F410" s="2348"/>
      <c r="G410" s="2348"/>
      <c r="H410" s="2348"/>
      <c r="I410" s="438"/>
      <c r="L410" s="216"/>
      <c r="M410" s="2062" t="s">
        <v>1027</v>
      </c>
      <c r="O410" s="1342" t="s">
        <v>1028</v>
      </c>
      <c r="P410" s="1342" t="s">
        <v>1029</v>
      </c>
    </row>
    <row r="411" spans="1:25" ht="17.850000000000001" customHeight="1" x14ac:dyDescent="0.25">
      <c r="A411" s="1296" t="s">
        <v>1015</v>
      </c>
      <c r="B411" s="1145"/>
      <c r="C411" s="2212">
        <f ca="1">H6</f>
        <v>-699</v>
      </c>
      <c r="D411" s="2212"/>
      <c r="E411" s="2213" t="str">
        <f ca="1">IF(C411&lt;30,"Lizenzverlängerung www.bauwesen.at/k3","")</f>
        <v>Lizenzverlängerung www.bauwesen.at/k3</v>
      </c>
      <c r="F411" s="2213"/>
      <c r="G411" s="2213"/>
      <c r="H411" s="2213"/>
      <c r="I411" s="438"/>
      <c r="L411" s="216"/>
      <c r="M411" s="2062" t="s">
        <v>1026</v>
      </c>
    </row>
    <row r="412" spans="1:25" ht="17.850000000000001" customHeight="1" x14ac:dyDescent="0.25">
      <c r="A412" s="2812"/>
      <c r="B412" s="2812"/>
      <c r="C412" s="2812"/>
      <c r="D412" s="2812"/>
      <c r="E412" s="2812"/>
      <c r="F412" s="2812"/>
      <c r="G412" s="2812"/>
      <c r="H412" s="2812"/>
      <c r="I412" s="2812"/>
      <c r="L412" s="216"/>
      <c r="M412" s="1342" t="s">
        <v>1031</v>
      </c>
      <c r="O412" s="1342">
        <f ca="1">IFERROR(SUM(' K3 PP'!M39,' K3 PP'!O39),"?")</f>
        <v>66.88</v>
      </c>
      <c r="P412" s="1343">
        <f>D$363</f>
        <v>0</v>
      </c>
      <c r="Q412" s="2063">
        <f ca="1">IFERROR(P412-O412,"?")</f>
        <v>-66.88</v>
      </c>
    </row>
    <row r="413" spans="1:25" ht="17.850000000000001" customHeight="1" x14ac:dyDescent="0.3">
      <c r="A413" s="1896" t="str">
        <f>IF($C$28=$M$31,"Regielohnpreis","Regiegehaltspreis")</f>
        <v>Regielohnpreis</v>
      </c>
      <c r="B413" s="59"/>
      <c r="C413" s="2793" t="str">
        <f>A413&amp;"kalkulation"</f>
        <v>Regielohnpreiskalkulation</v>
      </c>
      <c r="D413" s="2793"/>
      <c r="E413" s="2793"/>
      <c r="F413" s="2793"/>
      <c r="G413" s="59"/>
      <c r="H413" s="59"/>
      <c r="I413" s="1897"/>
      <c r="L413" s="216"/>
      <c r="M413" s="1342" t="s">
        <v>1032</v>
      </c>
      <c r="O413" s="2006">
        <f ca="1">IFERROR(SUM(' K3 PP'!M44,' K3 PP'!O44),"?")</f>
        <v>86.28</v>
      </c>
      <c r="P413" s="1343">
        <f>D$363</f>
        <v>0</v>
      </c>
      <c r="Q413" s="2064">
        <f ca="1">IFERROR((P413-O413)/(1+G345),"?")</f>
        <v>-66.883700000000005</v>
      </c>
    </row>
    <row r="414" spans="1:25" ht="17.850000000000001" customHeight="1" x14ac:dyDescent="0.25">
      <c r="A414" s="2582" t="s">
        <v>1120</v>
      </c>
      <c r="B414" s="2411"/>
      <c r="C414" s="2411"/>
      <c r="D414" s="2411"/>
      <c r="E414" s="2411"/>
      <c r="F414" s="2411"/>
      <c r="G414" s="2411"/>
      <c r="H414" s="2411"/>
      <c r="I414" s="2794"/>
      <c r="L414" s="216"/>
    </row>
    <row r="415" spans="1:25" ht="17.850000000000001" customHeight="1" x14ac:dyDescent="0.25">
      <c r="A415" s="2583"/>
      <c r="B415" s="2584"/>
      <c r="C415" s="2584"/>
      <c r="D415" s="2584"/>
      <c r="E415" s="2584"/>
      <c r="F415" s="2584"/>
      <c r="G415" s="2584"/>
      <c r="H415" s="2584"/>
      <c r="I415" s="2795"/>
      <c r="L415" s="216"/>
      <c r="M415" s="2843" t="s">
        <v>1119</v>
      </c>
      <c r="N415" s="2844"/>
      <c r="O415" s="2844"/>
      <c r="P415" s="2844"/>
      <c r="Q415" s="2844"/>
      <c r="R415" s="2844"/>
      <c r="S415" s="2844"/>
      <c r="T415" s="2844"/>
      <c r="U415" s="2844"/>
    </row>
    <row r="416" spans="1:25" ht="17.850000000000001" customHeight="1" x14ac:dyDescent="0.25">
      <c r="A416" s="2753"/>
      <c r="B416" s="2754"/>
      <c r="C416" s="2754"/>
      <c r="D416" s="2754"/>
      <c r="E416" s="2754"/>
      <c r="F416" s="2754"/>
      <c r="G416" s="2754"/>
      <c r="H416" s="2754"/>
      <c r="I416" s="2754"/>
      <c r="L416" s="216"/>
      <c r="M416" s="2843"/>
      <c r="N416" s="2844"/>
      <c r="O416" s="2844"/>
      <c r="P416" s="2844"/>
      <c r="Q416" s="2844"/>
      <c r="R416" s="2844"/>
      <c r="S416" s="2844"/>
      <c r="T416" s="2844"/>
      <c r="U416" s="2844"/>
    </row>
    <row r="417" spans="1:21" ht="25.15" customHeight="1" x14ac:dyDescent="0.25">
      <c r="A417" s="2311" t="str">
        <f ca="1">$A$413&amp;" 1"&amp;IF(A421=""," [keine Beschäftigungsgruppe ausgewählt]",IF(D421=KALKULATION!$M$283," - [nicht vorhandene Beschäftigungsgruppe]"," - kalkuliert für ["&amp;LEFT(A421,40)&amp;"]"))</f>
        <v>Regielohnpreis 1 - kalkuliert für [IIa.    Vorarbeiter]</v>
      </c>
      <c r="B417" s="2312"/>
      <c r="C417" s="2312"/>
      <c r="D417" s="2312"/>
      <c r="E417" s="2312"/>
      <c r="F417" s="2312"/>
      <c r="G417" s="2312"/>
      <c r="H417" s="2312"/>
      <c r="I417" s="1188"/>
      <c r="J417" s="59"/>
      <c r="K417" s="59"/>
      <c r="L417" s="593"/>
      <c r="M417" s="2843"/>
      <c r="N417" s="2844"/>
      <c r="O417" s="2844"/>
      <c r="P417" s="2844"/>
      <c r="Q417" s="2844"/>
      <c r="R417" s="2844"/>
      <c r="S417" s="2844"/>
      <c r="T417" s="2844"/>
      <c r="U417" s="2844"/>
    </row>
    <row r="418" spans="1:21" ht="17.850000000000001" customHeight="1" x14ac:dyDescent="0.25">
      <c r="A418" s="2116" t="s">
        <v>533</v>
      </c>
      <c r="B418" s="2403"/>
      <c r="C418" s="2404"/>
      <c r="D418" s="2384" t="s">
        <v>936</v>
      </c>
      <c r="E418" s="2385"/>
      <c r="F418" s="2385"/>
      <c r="G418" s="2385"/>
      <c r="H418" s="2385"/>
      <c r="I418" s="641"/>
      <c r="L418" s="216"/>
      <c r="M418" s="2843"/>
      <c r="N418" s="2844"/>
      <c r="O418" s="2844"/>
      <c r="P418" s="2844"/>
      <c r="Q418" s="2844"/>
      <c r="R418" s="2844"/>
      <c r="S418" s="2844"/>
      <c r="T418" s="2844"/>
      <c r="U418" s="2844"/>
    </row>
    <row r="419" spans="1:21" ht="17.850000000000001" customHeight="1" x14ac:dyDescent="0.25">
      <c r="A419" s="2405"/>
      <c r="B419" s="2406"/>
      <c r="C419" s="2407"/>
      <c r="D419" s="2386"/>
      <c r="E419" s="2387"/>
      <c r="F419" s="2387"/>
      <c r="G419" s="2387"/>
      <c r="H419" s="2387"/>
      <c r="I419" s="641"/>
      <c r="L419" s="216"/>
      <c r="M419" s="1342" t="s">
        <v>1054</v>
      </c>
    </row>
    <row r="420" spans="1:21" ht="17.850000000000001" customHeight="1" thickBot="1" x14ac:dyDescent="0.3">
      <c r="A420" s="2266" t="s">
        <v>380</v>
      </c>
      <c r="B420" s="2266"/>
      <c r="C420" s="2266"/>
      <c r="D420" s="2783"/>
      <c r="E420" s="1117" t="s">
        <v>18</v>
      </c>
      <c r="F420" s="1117" t="s">
        <v>68</v>
      </c>
      <c r="G420" s="982" t="s">
        <v>72</v>
      </c>
      <c r="H420" s="983" t="s">
        <v>73</v>
      </c>
      <c r="I420" s="641"/>
      <c r="L420" s="216"/>
      <c r="M420" s="1342" t="str">
        <f ca="1">"J4.b) Der erforderliche Übertrag ist__________________"&amp;TEXT(VLOOKUP(B362,M411:Q413,5,FALSE)/H281,"0,000%")&amp;" oder "&amp;TEXT(VLOOKUP(B362,M411:Q413,5,FALSE),"0,000€")</f>
        <v>J4.b) Der erforderliche Übertrag ist__________________0,000% oder 0,000€</v>
      </c>
    </row>
    <row r="421" spans="1:21" ht="17.850000000000001" customHeight="1" thickTop="1" thickBot="1" x14ac:dyDescent="0.3">
      <c r="A421" s="2214" t="s">
        <v>1134</v>
      </c>
      <c r="B421" s="2215"/>
      <c r="C421" s="2216"/>
      <c r="D421" s="51">
        <f ca="1">IFERROR(VLOOKUP(A421,Stammdaten!A$7:D$33,4,FALSE),KALKULATION!$M$283)</f>
        <v>21.96</v>
      </c>
      <c r="E421" s="520">
        <v>1</v>
      </c>
      <c r="F421" s="521">
        <v>1</v>
      </c>
      <c r="G421" s="349">
        <f ca="1">IFERROR(VLOOKUP(A421,Stammdaten!A$7:F$33,4,FALSE)*F421,"")</f>
        <v>21.96</v>
      </c>
      <c r="H421" s="522">
        <f ca="1">IFERROR(VLOOKUP(A421,Stammdaten!A$7:F$33,6,FALSE)*F421,"")</f>
        <v>3.29</v>
      </c>
      <c r="I421" s="641"/>
      <c r="J421" s="2178" t="str">
        <f ca="1">IF(D421=KALKULATION!$M$283,"Auswahl erneut vornehmen (ungültiger Verweis)!","")</f>
        <v/>
      </c>
      <c r="K421" s="2178"/>
      <c r="L421" s="2179"/>
      <c r="M421" s="1141"/>
    </row>
    <row r="422" spans="1:21" ht="17.850000000000001" customHeight="1" x14ac:dyDescent="0.25">
      <c r="A422" s="2323" t="s">
        <v>92</v>
      </c>
      <c r="B422" s="2324"/>
      <c r="C422" s="2324"/>
      <c r="D422" s="2325"/>
      <c r="E422" s="49">
        <f>SUM(E421:E421)</f>
        <v>1</v>
      </c>
      <c r="F422" s="50">
        <v>1</v>
      </c>
      <c r="G422" s="151">
        <f ca="1">IF(AND(_OK?="OK!",_OK_KV?="OK_KV!"),SUM(G421),ROUNDUP(G421,0))</f>
        <v>22</v>
      </c>
      <c r="H422" s="84">
        <f ca="1">SUM(H421:H421)</f>
        <v>3.29</v>
      </c>
      <c r="I422" s="366" t="str">
        <f ca="1">IF(OR(_OK?&lt;&gt;"OK!",_OK_KV?&lt;&gt;"OK_KV!"),"X","")</f>
        <v>X</v>
      </c>
      <c r="J422" s="1112"/>
      <c r="K422" s="1112"/>
      <c r="L422" s="270"/>
      <c r="M422" s="1141"/>
    </row>
    <row r="423" spans="1:21" ht="17.850000000000001" customHeight="1" x14ac:dyDescent="0.25">
      <c r="A423" s="2142" t="s">
        <v>894</v>
      </c>
      <c r="B423" s="2143"/>
      <c r="C423" s="2143"/>
      <c r="D423" s="2143"/>
      <c r="E423" s="2143"/>
      <c r="F423" s="2143"/>
      <c r="G423" s="2143"/>
      <c r="H423" s="2143"/>
      <c r="I423" s="641"/>
      <c r="J423" s="1112"/>
      <c r="K423" s="1112"/>
      <c r="L423" s="216"/>
      <c r="M423" s="1342" t="s">
        <v>1047</v>
      </c>
    </row>
    <row r="424" spans="1:21" ht="17.850000000000001" customHeight="1" thickBot="1" x14ac:dyDescent="0.3">
      <c r="A424" s="2395"/>
      <c r="B424" s="2396"/>
      <c r="C424" s="2397"/>
      <c r="D424" s="60">
        <f ca="1">IFERROR(VLOOKUP(A424,Stammdaten!A$7:D$33,4,FALSE),KALKULATION!$M$283)</f>
        <v>0</v>
      </c>
      <c r="E424" s="359"/>
      <c r="F424" s="53" t="str">
        <f>IFERROR(IF(A424&lt;&gt;"",E424/E425,""),"")</f>
        <v/>
      </c>
      <c r="G424" s="60" t="str">
        <f ca="1">IFERROR(VLOOKUP(A424,Stammdaten!A$7:F$33,4,FALSE)*F424,"")</f>
        <v/>
      </c>
      <c r="H424" s="571" t="str">
        <f ca="1">IFERROR(VLOOKUP(A424,Stammdaten!A$7:F$33,6,FALSE)*F424,"")</f>
        <v/>
      </c>
      <c r="I424" s="641"/>
      <c r="J424" s="2178" t="str">
        <f ca="1">IF(OR(COUNTA(A424,E424)=2,COUNTA(A424,E424)=0),IF(D424=KALKULATION!$M$283,"Auswahl erneut vornehmen (ungültiger Verweis)!",""),"Eingabe unvollständig (ergänzen oder löschen)!")</f>
        <v/>
      </c>
      <c r="K424" s="2178"/>
      <c r="L424" s="2179"/>
      <c r="M424" s="1342" t="s">
        <v>1048</v>
      </c>
    </row>
    <row r="425" spans="1:21" ht="17.850000000000001" customHeight="1" x14ac:dyDescent="0.25">
      <c r="A425" s="392" t="s">
        <v>92</v>
      </c>
      <c r="B425" s="373"/>
      <c r="C425" s="373"/>
      <c r="D425" s="212"/>
      <c r="E425" s="64">
        <f>SUM(E424:E424)</f>
        <v>0</v>
      </c>
      <c r="F425" s="50">
        <f>SUM(F424:F424)</f>
        <v>0</v>
      </c>
      <c r="G425" s="51">
        <f ca="1">SUM(G424:G424)</f>
        <v>0</v>
      </c>
      <c r="H425" s="84">
        <f ca="1">SUM(H424:H424)</f>
        <v>0</v>
      </c>
      <c r="I425" s="641"/>
      <c r="J425" s="2178" t="str">
        <f ca="1">IF(E425&gt;=E422,"Unzulässige Umlage (R2 größer/gleich R1)!!!",IF(AND(E425&lt;&gt;0,G422=0),"Beschäftigungsgruppe in R1 wählen!",""))</f>
        <v/>
      </c>
      <c r="K425" s="2178"/>
      <c r="L425" s="2179"/>
      <c r="M425" s="1342" t="s">
        <v>1044</v>
      </c>
    </row>
    <row r="426" spans="1:21" ht="17.850000000000001" customHeight="1" x14ac:dyDescent="0.25">
      <c r="A426" s="2134" t="s">
        <v>699</v>
      </c>
      <c r="B426" s="2135"/>
      <c r="C426" s="2135"/>
      <c r="D426" s="2135"/>
      <c r="E426" s="2135"/>
      <c r="F426" s="2135"/>
      <c r="G426" s="2135"/>
      <c r="H426" s="572">
        <v>0</v>
      </c>
      <c r="I426" s="642"/>
      <c r="J426" s="2176" t="str">
        <f>IF(AND(ISBLANK(H426),E425&lt;&gt;0),"Kennzeichen eingeben! Es sind unprod. Zeiten kalkuliert.","")</f>
        <v/>
      </c>
      <c r="K426" s="2176"/>
      <c r="L426" s="2177"/>
      <c r="M426" s="1342" t="s">
        <v>1043</v>
      </c>
    </row>
    <row r="427" spans="1:21" ht="17.850000000000001" customHeight="1" x14ac:dyDescent="0.25">
      <c r="A427" s="2287" t="str">
        <f>IFERROR("Info: Kalk. 'Regiestunde' ist zu "&amp;TEXT(G427,"0,0")&amp;" Std prod. und "&amp;TEXT(H427,"0,0")&amp;" Std unproduktiv ("&amp;TEXT(H427/G427,"0,0%")&amp;")","Unzulässige Division durch 0 - Berechnung kann nicht fortgesetzt werden!")</f>
        <v>Info: Kalk. 'Regiestunde' ist zu 1,0 Std prod. und 0,0 Std unproduktiv (0,0%)</v>
      </c>
      <c r="B427" s="2288"/>
      <c r="C427" s="2288"/>
      <c r="D427" s="2288"/>
      <c r="E427" s="2288"/>
      <c r="F427" s="2288"/>
      <c r="G427" s="367">
        <f>IF(H426=1,E422,E422-E425)</f>
        <v>1</v>
      </c>
      <c r="H427" s="367">
        <f>E425</f>
        <v>0</v>
      </c>
      <c r="I427" s="641"/>
      <c r="J427" s="2293" t="str">
        <f>IFERROR(IF(H427/G427&gt;Report!$F$7,"Hinweis: Unproduktiver Anteil erscheint hoch!",""),"Der unprod. Anteil löst eine Division mit 0 aus!")</f>
        <v/>
      </c>
      <c r="K427" s="2293"/>
      <c r="L427" s="2294"/>
    </row>
    <row r="428" spans="1:21" ht="17.850000000000001" customHeight="1" x14ac:dyDescent="0.25">
      <c r="A428" s="2284"/>
      <c r="B428" s="2285"/>
      <c r="C428" s="2285"/>
      <c r="D428" s="2285"/>
      <c r="E428" s="2285"/>
      <c r="F428" s="2285"/>
      <c r="G428" s="2285"/>
      <c r="H428" s="2285"/>
      <c r="I428" s="641"/>
      <c r="L428" s="216"/>
    </row>
    <row r="429" spans="1:21" ht="17.850000000000001" customHeight="1" thickBot="1" x14ac:dyDescent="0.3">
      <c r="A429" s="2388" t="s">
        <v>382</v>
      </c>
      <c r="B429" s="2389"/>
      <c r="C429" s="2390"/>
      <c r="D429" s="855" t="s">
        <v>72</v>
      </c>
      <c r="E429" s="856" t="s">
        <v>73</v>
      </c>
      <c r="F429" s="857" t="s">
        <v>118</v>
      </c>
      <c r="G429" s="855" t="s">
        <v>85</v>
      </c>
      <c r="H429" s="858" t="s">
        <v>73</v>
      </c>
      <c r="I429" s="641"/>
      <c r="L429" s="216"/>
      <c r="M429" s="1141"/>
    </row>
    <row r="430" spans="1:21" ht="17.850000000000001" customHeight="1" thickTop="1" x14ac:dyDescent="0.25">
      <c r="A430" s="679" t="s">
        <v>74</v>
      </c>
      <c r="B430" s="680"/>
      <c r="C430" s="681"/>
      <c r="D430" s="682">
        <f ca="1">G422*G427</f>
        <v>22</v>
      </c>
      <c r="E430" s="683">
        <f ca="1">G427*H422</f>
        <v>3.29</v>
      </c>
      <c r="F430" s="684" t="s">
        <v>59</v>
      </c>
      <c r="G430" s="685">
        <f ca="1">D430</f>
        <v>22</v>
      </c>
      <c r="H430" s="686">
        <f ca="1">IF(D433=_Ja,"",D432)</f>
        <v>22</v>
      </c>
      <c r="I430" s="641"/>
      <c r="L430" s="216"/>
    </row>
    <row r="431" spans="1:21" ht="17.850000000000001" customHeight="1" thickBot="1" x14ac:dyDescent="0.3">
      <c r="A431" s="687" t="s">
        <v>75</v>
      </c>
      <c r="B431" s="688"/>
      <c r="C431" s="689"/>
      <c r="D431" s="690">
        <f ca="1">H427*G425</f>
        <v>0</v>
      </c>
      <c r="E431" s="691">
        <f ca="1">H427*H425</f>
        <v>0</v>
      </c>
      <c r="F431" s="692" t="s">
        <v>203</v>
      </c>
      <c r="G431" s="693">
        <f ca="1">D431</f>
        <v>0</v>
      </c>
      <c r="H431" s="694">
        <f ca="1">IF(D433=_Ja,"",E432)</f>
        <v>3.29</v>
      </c>
      <c r="I431" s="641"/>
      <c r="L431" s="216"/>
    </row>
    <row r="432" spans="1:21" ht="17.850000000000001" customHeight="1" thickBot="1" x14ac:dyDescent="0.3">
      <c r="A432" s="695"/>
      <c r="B432" s="696"/>
      <c r="C432" s="697" t="s">
        <v>56</v>
      </c>
      <c r="D432" s="698">
        <f ca="1">SUM(D430:D431)</f>
        <v>22</v>
      </c>
      <c r="E432" s="699">
        <f ca="1">SUM(E430:E431)</f>
        <v>3.29</v>
      </c>
      <c r="F432" s="700" t="s">
        <v>86</v>
      </c>
      <c r="G432" s="701">
        <f ca="1">G431/G430</f>
        <v>0</v>
      </c>
      <c r="H432" s="702">
        <f ca="1">IF(D433=_Ja,$H$73,H431/H430)</f>
        <v>0.14949999999999999</v>
      </c>
      <c r="I432" s="366" t="str">
        <f>IF(D433=_Ja,"X","")</f>
        <v/>
      </c>
      <c r="L432" s="216"/>
    </row>
    <row r="433" spans="1:18" ht="17.850000000000001" customHeight="1" thickBot="1" x14ac:dyDescent="0.3">
      <c r="A433" s="2134" t="str">
        <f ca="1">"Ø AKV gem Pkt B  "&amp;TEXT($H$73,"0,00%")&amp;". Beibehalten?"</f>
        <v>Ø AKV gem Pkt B  14,40%. Beibehalten?</v>
      </c>
      <c r="B433" s="2135"/>
      <c r="C433" s="2136"/>
      <c r="D433" s="826" t="s">
        <v>193</v>
      </c>
      <c r="E433" s="2208" t="s">
        <v>383</v>
      </c>
      <c r="F433" s="2209"/>
      <c r="G433" s="357"/>
      <c r="H433" s="358"/>
      <c r="I433" s="366" t="str">
        <f>IF(OR(G433&lt;&gt;0,H433&lt;&gt;0),"X","")</f>
        <v/>
      </c>
      <c r="L433" s="216"/>
    </row>
    <row r="434" spans="1:18" ht="17.850000000000001" customHeight="1" x14ac:dyDescent="0.25">
      <c r="A434" s="2217"/>
      <c r="B434" s="2218"/>
      <c r="C434" s="2218"/>
      <c r="D434" s="2219"/>
      <c r="E434" s="2187" t="s">
        <v>556</v>
      </c>
      <c r="F434" s="2188"/>
      <c r="G434" s="86">
        <f ca="1">SUM(G432,G433)</f>
        <v>0</v>
      </c>
      <c r="H434" s="154">
        <f ca="1">SUM(H432,H433)</f>
        <v>0.14949999999999999</v>
      </c>
      <c r="I434" s="641"/>
      <c r="L434" s="216"/>
    </row>
    <row r="435" spans="1:18" ht="17.850000000000001" customHeight="1" x14ac:dyDescent="0.25">
      <c r="A435" s="2210"/>
      <c r="B435" s="2211"/>
      <c r="C435" s="2211"/>
      <c r="D435" s="2220"/>
      <c r="E435" s="87"/>
      <c r="F435" s="644"/>
      <c r="G435" s="368" t="s">
        <v>121</v>
      </c>
      <c r="H435" s="369" t="s">
        <v>122</v>
      </c>
      <c r="I435" s="641"/>
      <c r="L435" s="216"/>
    </row>
    <row r="436" spans="1:18" ht="17.850000000000001" customHeight="1" x14ac:dyDescent="0.25">
      <c r="A436" s="1189" t="s">
        <v>384</v>
      </c>
      <c r="B436" s="844"/>
      <c r="C436" s="844"/>
      <c r="D436" s="2755" t="str">
        <f>IF(A421=0,"Beschäftigungsgruppe wählen!",A421)</f>
        <v>IIa.    Vorarbeiter</v>
      </c>
      <c r="E436" s="2755"/>
      <c r="F436" s="2755"/>
      <c r="G436" s="2755"/>
      <c r="H436" s="846">
        <f ca="1">IFERROR(' K3 Regie1'!N45,"??")</f>
        <v>80.38</v>
      </c>
      <c r="I436" s="641"/>
      <c r="L436" s="216"/>
    </row>
    <row r="437" spans="1:18" ht="17.850000000000001" customHeight="1" x14ac:dyDescent="0.25">
      <c r="A437" s="2289" t="s">
        <v>632</v>
      </c>
      <c r="B437" s="2290"/>
      <c r="C437" s="2290"/>
      <c r="D437" s="2290"/>
      <c r="E437" s="2290"/>
      <c r="F437" s="2290"/>
      <c r="G437" s="2290"/>
      <c r="H437" s="2290"/>
      <c r="I437" s="641"/>
      <c r="J437" s="2263" t="str">
        <f>IF(OR(I438="X",I443="X"),M$301,"")</f>
        <v/>
      </c>
      <c r="K437" s="2263"/>
      <c r="L437" s="2264"/>
      <c r="M437" s="1961" t="s">
        <v>775</v>
      </c>
      <c r="N437" s="1961"/>
    </row>
    <row r="438" spans="1:18" ht="17.850000000000001" customHeight="1" x14ac:dyDescent="0.25">
      <c r="A438" s="2134" t="s">
        <v>704</v>
      </c>
      <c r="B438" s="2135"/>
      <c r="C438" s="2136"/>
      <c r="D438" s="865" t="s">
        <v>702</v>
      </c>
      <c r="E438" s="2137" t="s">
        <v>902</v>
      </c>
      <c r="F438" s="2138"/>
      <c r="G438" s="2139"/>
      <c r="H438" s="998">
        <f>IFERROR(VLOOKUP(E438,M438:N440,2,FALSE),"")</f>
        <v>0</v>
      </c>
      <c r="I438" s="366" t="str">
        <f>IF(E438&lt;&gt;M438,"X","")</f>
        <v/>
      </c>
      <c r="J438" s="2263"/>
      <c r="K438" s="2263"/>
      <c r="L438" s="2264"/>
      <c r="M438" s="2065" t="s">
        <v>902</v>
      </c>
      <c r="N438" s="2005">
        <v>0</v>
      </c>
    </row>
    <row r="439" spans="1:18" ht="17.850000000000001" customHeight="1" thickBot="1" x14ac:dyDescent="0.3">
      <c r="A439" s="672" t="s">
        <v>630</v>
      </c>
      <c r="B439" s="673"/>
      <c r="C439" s="674" t="s">
        <v>629</v>
      </c>
      <c r="D439" s="674" t="s">
        <v>631</v>
      </c>
      <c r="E439" s="674" t="s">
        <v>159</v>
      </c>
      <c r="F439" s="674" t="s">
        <v>8</v>
      </c>
      <c r="G439" s="674" t="s">
        <v>9</v>
      </c>
      <c r="H439" s="675" t="s">
        <v>10</v>
      </c>
      <c r="I439" s="366"/>
      <c r="L439" s="216"/>
      <c r="M439" s="2065" t="s">
        <v>903</v>
      </c>
      <c r="N439" s="2005">
        <f ca="1">$H$167</f>
        <v>0.03</v>
      </c>
    </row>
    <row r="440" spans="1:18" ht="30" customHeight="1" thickTop="1" x14ac:dyDescent="0.25">
      <c r="A440" s="2185"/>
      <c r="B440" s="2186"/>
      <c r="C440" s="766">
        <v>1</v>
      </c>
      <c r="D440" s="871">
        <v>1</v>
      </c>
      <c r="E440" s="872" t="str">
        <f>IF(ISBLANK(A440),"",IF(L$27="",IFERROR(VLOOKUP(A440,Stammdaten!$A$70:$C$96,3,FALSE),KALKULATION!$M$283),"ungültig"))</f>
        <v/>
      </c>
      <c r="F440" s="676" t="str">
        <f>IFERROR(C440*D440*E440,"")</f>
        <v/>
      </c>
      <c r="G440" s="677">
        <f ca="1">IFERROR(VLOOKUP(A440,Stammdaten!$A$70:$C$96,2,FALSE),"")</f>
        <v>0</v>
      </c>
      <c r="H440" s="678">
        <f ca="1">IFERROR(C440*D440*G440,"")</f>
        <v>0</v>
      </c>
      <c r="I440" s="366"/>
      <c r="J440" s="2227" t="str">
        <f>VLOOKUP(E443,M443:Q446,5,FALSE)</f>
        <v>Hinweis zu R4.b - 1.) Wenn der Regiepreis keine Arbeitszeitzuschläge enthalten soll (Regelung gem ÖN B 2110) ist diese Einstellung (1.) zutreffend.</v>
      </c>
      <c r="K440" s="2227"/>
      <c r="L440" s="2228"/>
      <c r="M440" s="2065" t="s">
        <v>904</v>
      </c>
      <c r="N440" s="2005" t="s">
        <v>703</v>
      </c>
    </row>
    <row r="441" spans="1:18" ht="17.850000000000001" customHeight="1" x14ac:dyDescent="0.25">
      <c r="A441" s="866"/>
      <c r="B441" s="867"/>
      <c r="C441" s="867"/>
      <c r="D441" s="874" t="s">
        <v>705</v>
      </c>
      <c r="E441" s="873">
        <f ca="1">' K3 Regie1'!O$21</f>
        <v>22</v>
      </c>
      <c r="F441" s="870">
        <f ca="1">IFERROR(F440/E441,0)</f>
        <v>0</v>
      </c>
      <c r="G441" s="868" t="str">
        <f ca="1">IF(G440=0,"",$G$131)</f>
        <v/>
      </c>
      <c r="H441" s="1007">
        <f ca="1">IFERROR(H440*G441,0)</f>
        <v>0</v>
      </c>
      <c r="I441" s="366"/>
      <c r="J441" s="2227"/>
      <c r="K441" s="2227"/>
      <c r="L441" s="2228"/>
    </row>
    <row r="442" spans="1:18" ht="17.850000000000001" customHeight="1" x14ac:dyDescent="0.25">
      <c r="A442" s="2221" t="s">
        <v>768</v>
      </c>
      <c r="B442" s="2222"/>
      <c r="C442" s="2222"/>
      <c r="D442" s="2222"/>
      <c r="E442" s="2222"/>
      <c r="F442" s="498"/>
      <c r="G442" s="346"/>
      <c r="H442" s="92">
        <f>IF(E438=M440,SUM(F441,H441),H438)</f>
        <v>0</v>
      </c>
      <c r="I442" s="366"/>
      <c r="J442" s="2227"/>
      <c r="K442" s="2227"/>
      <c r="L442" s="2228"/>
      <c r="M442" s="1958" t="s">
        <v>776</v>
      </c>
      <c r="N442" s="1958"/>
      <c r="O442" s="2066" t="s">
        <v>867</v>
      </c>
      <c r="P442" s="1950" t="s">
        <v>876</v>
      </c>
      <c r="Q442" s="1950" t="s">
        <v>877</v>
      </c>
      <c r="R442" s="1960" t="s">
        <v>879</v>
      </c>
    </row>
    <row r="443" spans="1:18" ht="17.850000000000001" customHeight="1" x14ac:dyDescent="0.25">
      <c r="A443" s="2142" t="s">
        <v>767</v>
      </c>
      <c r="B443" s="2143"/>
      <c r="C443" s="2143"/>
      <c r="D443" s="924" t="s">
        <v>769</v>
      </c>
      <c r="E443" s="2137" t="s">
        <v>882</v>
      </c>
      <c r="F443" s="2138"/>
      <c r="G443" s="2138"/>
      <c r="H443" s="1033">
        <f>IFERROR(VLOOKUP(E443,M443:N446,2,FALSE),"")</f>
        <v>0</v>
      </c>
      <c r="I443" s="366" t="str">
        <f>IF(E443&lt;&gt;M443,"X","")</f>
        <v/>
      </c>
      <c r="J443" s="2227"/>
      <c r="K443" s="2227"/>
      <c r="L443" s="2228"/>
      <c r="M443" s="2014" t="s">
        <v>882</v>
      </c>
      <c r="N443" s="1999">
        <v>0</v>
      </c>
      <c r="O443" s="2067"/>
      <c r="P443" s="1950" t="s">
        <v>143</v>
      </c>
      <c r="Q443" s="1950" t="s">
        <v>933</v>
      </c>
      <c r="R443" s="1965"/>
    </row>
    <row r="444" spans="1:18" ht="17.850000000000001" customHeight="1" x14ac:dyDescent="0.25">
      <c r="A444" s="2321" t="s">
        <v>563</v>
      </c>
      <c r="B444" s="2322"/>
      <c r="C444" s="2322"/>
      <c r="D444" s="2322"/>
      <c r="E444" s="553" t="s">
        <v>378</v>
      </c>
      <c r="F444" s="524" t="s">
        <v>192</v>
      </c>
      <c r="G444" s="925">
        <v>1</v>
      </c>
      <c r="H444" s="607"/>
      <c r="I444" s="366" t="str">
        <f>IF(AND(E443=M446,F444=_Ja),"X","")</f>
        <v/>
      </c>
      <c r="J444" s="2176" t="str">
        <f>IF(OR(F444=$Q$31,F444=$Q$32),"","Bitte Ja oder Nein wählen!")</f>
        <v/>
      </c>
      <c r="K444" s="2176"/>
      <c r="L444" s="2177"/>
      <c r="M444" s="2014" t="s">
        <v>1128</v>
      </c>
      <c r="N444" s="1999">
        <f ca="1">H$115</f>
        <v>4.2999999999999997E-2</v>
      </c>
      <c r="O444" s="2067"/>
      <c r="P444" s="2068" t="s">
        <v>1129</v>
      </c>
      <c r="Q444" s="1950" t="s">
        <v>884</v>
      </c>
      <c r="R444" s="1965"/>
    </row>
    <row r="445" spans="1:18" ht="17.850000000000001" customHeight="1" x14ac:dyDescent="0.25">
      <c r="A445" s="540" t="s">
        <v>379</v>
      </c>
      <c r="B445" s="2122"/>
      <c r="C445" s="2123"/>
      <c r="D445" s="2124"/>
      <c r="E445" s="542" t="str">
        <f>IF(OR(ISBLANK(B445),F444=_Nein),"",IFERROR(VLOOKUP(B445,Stammdaten!A$39:C$48,3,FALSE),KALKULATION!$M$283))</f>
        <v/>
      </c>
      <c r="F445" s="1101"/>
      <c r="G445" s="544"/>
      <c r="H445" s="608"/>
      <c r="I445" s="643"/>
      <c r="J445" s="2178" t="str">
        <f>IF(F444&lt;&gt;$Q$31,"",IF(AND(E445=KALKULATION!$M$283,F444=$Q$31),"Auswahl erneut vornehmen (ungültiger Verweis)!",IF(OR(AND(F444=$Q$31,B445=""),AND(F444=$Q$32,B445&lt;&gt;"")),"Eingabe unvollständig (ergänzen,  löschen od Nein wählen)!","")))</f>
        <v>Eingabe unvollständig (ergänzen,  löschen od Nein wählen)!</v>
      </c>
      <c r="K445" s="2178"/>
      <c r="L445" s="2179"/>
      <c r="M445" s="2014" t="s">
        <v>883</v>
      </c>
      <c r="N445" s="1999">
        <f ca="1">$Q$113</f>
        <v>0.6</v>
      </c>
      <c r="O445" s="2067"/>
      <c r="P445" s="2068" t="s">
        <v>881</v>
      </c>
      <c r="Q445" s="1950" t="s">
        <v>885</v>
      </c>
      <c r="R445" s="1965"/>
    </row>
    <row r="446" spans="1:18" ht="17.850000000000001" customHeight="1" x14ac:dyDescent="0.25">
      <c r="A446" s="2297" t="s">
        <v>135</v>
      </c>
      <c r="B446" s="2298"/>
      <c r="C446" s="2298"/>
      <c r="D446" s="2298"/>
      <c r="E446" s="541">
        <f ca="1">IFERROR(IF(VLOOKUP(B445,Stammdaten!A$39:C$48,2,FALSE)=0,1,(VLOOKUP(B445,Stammdaten!A$39:C$48,2,FALSE))),"")</f>
        <v>1</v>
      </c>
      <c r="F446" s="1101"/>
      <c r="G446" s="545"/>
      <c r="H446" s="609"/>
      <c r="I446" s="643"/>
      <c r="L446" s="216"/>
      <c r="M446" s="2014" t="s">
        <v>878</v>
      </c>
      <c r="N446" s="1999" t="s">
        <v>703</v>
      </c>
      <c r="O446" s="2067"/>
      <c r="P446" s="1950"/>
      <c r="Q446" s="1950" t="s">
        <v>886</v>
      </c>
      <c r="R446" s="1965"/>
    </row>
    <row r="447" spans="1:18" ht="17.850000000000001" customHeight="1" x14ac:dyDescent="0.25">
      <c r="A447" s="2233" t="s">
        <v>560</v>
      </c>
      <c r="B447" s="2234"/>
      <c r="C447" s="2234"/>
      <c r="D447" s="2234"/>
      <c r="E447" s="2235"/>
      <c r="F447" s="351">
        <v>1</v>
      </c>
      <c r="G447" s="546">
        <f>IF(F447=1,1,IF(F447=2,((' K3 Regie1'!O$23+' K3 Regie1'!O$24)/' K3 Regie1'!O$23),IF(F447&gt;2,((' K3 Regie1'!O$23+' K3 Regie1'!O$24+' K3 Regie1'!O$25)/' K3 Regie1'!O$23),"")))</f>
        <v>1</v>
      </c>
      <c r="H447" s="608" t="str">
        <f ca="1">IFERROR(IF(AND(F444=$Q$31,F447&gt;0),(E445*E446*G447),""),"??")</f>
        <v>??</v>
      </c>
      <c r="I447" s="643"/>
      <c r="J447" s="1090" t="str">
        <f>IF(F444&lt;&gt;$Q$31,"",IF(AND(ISBLANK(F447),F444=$Q$31),"Kennzeichen setzen!",""))</f>
        <v/>
      </c>
      <c r="K447" s="1090"/>
      <c r="L447" s="365"/>
      <c r="M447" s="2069" t="s">
        <v>866</v>
      </c>
      <c r="R447" s="1965"/>
    </row>
    <row r="448" spans="1:18" ht="17.850000000000001" customHeight="1" x14ac:dyDescent="0.25">
      <c r="A448" s="2321" t="s">
        <v>565</v>
      </c>
      <c r="B448" s="2322"/>
      <c r="C448" s="2322"/>
      <c r="D448" s="2322"/>
      <c r="E448" s="553" t="s">
        <v>378</v>
      </c>
      <c r="F448" s="524" t="s">
        <v>192</v>
      </c>
      <c r="G448" s="543"/>
      <c r="H448" s="607"/>
      <c r="I448" s="366" t="str">
        <f>IF(AND(E443=M446,F448=_Ja),"X","")</f>
        <v/>
      </c>
      <c r="J448" s="2176"/>
      <c r="K448" s="2176"/>
      <c r="L448" s="2177"/>
      <c r="M448" s="1342" t="s">
        <v>859</v>
      </c>
      <c r="N448" s="2070" t="str">
        <f>IF(E443=M444,P444,IF(E443=M445,P445,IF(AND(E443=M446,F444=_Ja),B445,P443)))</f>
        <v>Regiestunde</v>
      </c>
      <c r="O448" s="2065"/>
      <c r="P448" s="1999" t="str">
        <f>IF(AND(E443=M446,F444=_Ja),TEXT(E445,"0%"),IF(N448=P444,TEXT(N444,"0,00%"),IF(N448=P445,TEXT($P$113,"0%"),"")))</f>
        <v/>
      </c>
      <c r="R448" s="1965"/>
    </row>
    <row r="449" spans="1:28" ht="17.850000000000001" customHeight="1" x14ac:dyDescent="0.25">
      <c r="A449" s="540" t="s">
        <v>379</v>
      </c>
      <c r="B449" s="2122"/>
      <c r="C449" s="2123"/>
      <c r="D449" s="2124"/>
      <c r="E449" s="549" t="str">
        <f>IF(OR(ISBLANK(B449),F448=_Nein),"",IFERROR(VLOOKUP(B449,Stammdaten!A$50:C$54,3,FALSE),KALKULATION!$M$283))</f>
        <v/>
      </c>
      <c r="F449" s="1101"/>
      <c r="G449" s="544"/>
      <c r="H449" s="608"/>
      <c r="I449" s="643"/>
      <c r="J449" s="2178" t="str">
        <f>IF(F448&lt;&gt;$Q$31,"",IF(AND(E449=KALKULATION!$M$283,F448=$Q$31),"Auswahl erneut vornehmen (ungültiger Verweis)!",IF(OR(AND(F448=$Q$31,B449=""),AND(F448=$Q$32,B449&lt;&gt;"")),"Eingabe unvollständig (ergänzen,  löschen od Nein wählen)!","")))</f>
        <v>Eingabe unvollständig (ergänzen,  löschen od Nein wählen)!</v>
      </c>
      <c r="K449" s="2178"/>
      <c r="L449" s="2179"/>
      <c r="M449" s="1342" t="s">
        <v>863</v>
      </c>
      <c r="N449" s="2071" t="str">
        <f>IF(AND(E443=M446,F448=_Ja),B449,"")</f>
        <v/>
      </c>
      <c r="O449" s="2072"/>
      <c r="P449" s="1999" t="str">
        <f>IF(N449="","",E449)</f>
        <v/>
      </c>
      <c r="Q449" s="1951"/>
      <c r="R449" s="2073"/>
      <c r="S449" s="1951"/>
      <c r="T449" s="1951"/>
      <c r="U449" s="1951"/>
    </row>
    <row r="450" spans="1:28" ht="17.850000000000001" customHeight="1" x14ac:dyDescent="0.25">
      <c r="A450" s="2241" t="s">
        <v>198</v>
      </c>
      <c r="B450" s="2242"/>
      <c r="C450" s="2242"/>
      <c r="D450" s="2242"/>
      <c r="E450" s="541" t="str">
        <f ca="1">IFERROR(IF(VLOOKUP(B449,Stammdaten!A$50:C$54,2,FALSE)=0,1,(VLOOKUP(B449,Stammdaten!A$50:C$54,2,FALSE))),"")</f>
        <v/>
      </c>
      <c r="F450" s="1101"/>
      <c r="G450" s="545"/>
      <c r="H450" s="609"/>
      <c r="I450" s="643"/>
      <c r="L450" s="216"/>
      <c r="M450" s="1342" t="s">
        <v>864</v>
      </c>
      <c r="N450" s="2071" t="str">
        <f>IF(AND(E443=M446,F452=_Ja),B453,"")</f>
        <v/>
      </c>
      <c r="O450" s="2014"/>
      <c r="P450" s="2074" t="str">
        <f>IF(N450="","",E453)</f>
        <v/>
      </c>
      <c r="Q450" s="1951"/>
      <c r="R450" s="2073"/>
      <c r="S450" s="1951"/>
      <c r="T450" s="1951"/>
      <c r="U450" s="1951"/>
    </row>
    <row r="451" spans="1:28" ht="17.850000000000001" customHeight="1" x14ac:dyDescent="0.25">
      <c r="A451" s="2233" t="str">
        <f>A447</f>
        <v xml:space="preserve">  Basis für die Aufzahlung in % (siehe Pkt C0; KZ = 1, 2, 3 od. 4):  ↓</v>
      </c>
      <c r="B451" s="2234"/>
      <c r="C451" s="2234"/>
      <c r="D451" s="2234"/>
      <c r="E451" s="2235"/>
      <c r="F451" s="351">
        <v>1</v>
      </c>
      <c r="G451" s="546">
        <f>IF(F451=1,1,IF(F451=2,((' K3 Regie1'!O$23+' K3 Regie1'!O$24)/' K3 Regie1'!O$23),IF(F451&gt;2,((' K3 Regie1'!O$23+' K3 Regie1'!O$24+' K3 Regie1'!O$25)/' K3 Regie1'!O$23),"")))</f>
        <v>1</v>
      </c>
      <c r="H451" s="608" t="str">
        <f ca="1">IFERROR(IF(F448=$Q$31,(E449*E450*G451),""),"??")</f>
        <v>??</v>
      </c>
      <c r="I451" s="643"/>
      <c r="J451" s="2176" t="str">
        <f>IF(F448&lt;&gt;$Q$31,"",IF(AND(ISBLANK(F451),F448=$Q$31),"Kennzeichen setzen!",""))</f>
        <v/>
      </c>
      <c r="K451" s="2176"/>
      <c r="L451" s="360"/>
      <c r="M451" s="1342" t="s">
        <v>868</v>
      </c>
      <c r="N451" s="1342">
        <f>IF(AND(N449&lt;&gt;"",N450&lt;&gt;""),2,IF(N449&amp;N450="",0,1))</f>
        <v>0</v>
      </c>
      <c r="R451" s="1965"/>
    </row>
    <row r="452" spans="1:28" ht="17.850000000000001" customHeight="1" x14ac:dyDescent="0.25">
      <c r="A452" s="2321" t="s">
        <v>566</v>
      </c>
      <c r="B452" s="2322"/>
      <c r="C452" s="2322"/>
      <c r="D452" s="2322"/>
      <c r="E452" s="553" t="s">
        <v>378</v>
      </c>
      <c r="F452" s="524" t="s">
        <v>192</v>
      </c>
      <c r="G452" s="547"/>
      <c r="H452" s="610"/>
      <c r="I452" s="366" t="str">
        <f>IF(AND(E443=M446,F452=_Ja),"X","")</f>
        <v/>
      </c>
      <c r="J452" s="2176"/>
      <c r="K452" s="2176"/>
      <c r="L452" s="2177"/>
      <c r="M452" s="1967"/>
      <c r="N452" s="2075" t="str">
        <f>IF(N451=2," "&amp;N449&amp;" "&amp;", "&amp;N450,IF(N451=1," "&amp;N449&amp;N450,""))</f>
        <v/>
      </c>
      <c r="O452" s="2075"/>
      <c r="P452" s="1967"/>
      <c r="Q452" s="1967"/>
      <c r="R452" s="1974"/>
    </row>
    <row r="453" spans="1:28" ht="17.850000000000001" customHeight="1" x14ac:dyDescent="0.25">
      <c r="A453" s="552" t="s">
        <v>379</v>
      </c>
      <c r="B453" s="2123"/>
      <c r="C453" s="2123"/>
      <c r="D453" s="2123"/>
      <c r="E453" s="550" t="str">
        <f>IF(OR(ISBLANK(B453),F452=_Nein),"",IFERROR(VLOOKUP(B453,Stammdaten!A$57:C$61,2,FALSE),KALKULATION!$M$283))</f>
        <v/>
      </c>
      <c r="F453" s="758" t="s">
        <v>197</v>
      </c>
      <c r="G453" s="759">
        <f ca="1">' K3 Regie1'!$O$21</f>
        <v>22</v>
      </c>
      <c r="H453" s="760" t="str">
        <f ca="1">IFERROR(IF(F452=$Q$31,E453/G453,""),"??")</f>
        <v>??</v>
      </c>
      <c r="I453" s="643"/>
      <c r="J453" s="271" t="str">
        <f>IF(AND(F452=$Q$31,B453=""),"Eingabe unvollständig (ergänzen od Nein wählen)!","")</f>
        <v>Eingabe unvollständig (ergänzen od Nein wählen)!</v>
      </c>
      <c r="L453" s="216"/>
    </row>
    <row r="454" spans="1:28" ht="17.850000000000001" customHeight="1" x14ac:dyDescent="0.25">
      <c r="A454" s="2134" t="s">
        <v>391</v>
      </c>
      <c r="B454" s="2135"/>
      <c r="C454" s="2135"/>
      <c r="D454" s="2135"/>
      <c r="E454" s="67"/>
      <c r="F454" s="1001"/>
      <c r="G454" s="377" t="str">
        <f ca="1">IF(F448=$Q$31,TEXT(H451,"0%"),IF(F452=$Q$31,TEXT(G453,"0,00€"),""))</f>
        <v>??</v>
      </c>
      <c r="H454" s="612">
        <f>IF(E443=M446,SUM(H444:H453),H443)</f>
        <v>0</v>
      </c>
      <c r="I454" s="643"/>
      <c r="L454" s="216"/>
    </row>
    <row r="455" spans="1:28" ht="17.850000000000001" customHeight="1" x14ac:dyDescent="0.25">
      <c r="A455" s="2199" t="s">
        <v>857</v>
      </c>
      <c r="B455" s="2200"/>
      <c r="C455" s="2200"/>
      <c r="D455" s="2201"/>
      <c r="E455" s="2196" t="s">
        <v>774</v>
      </c>
      <c r="F455" s="2196"/>
      <c r="G455" s="2196" t="s">
        <v>772</v>
      </c>
      <c r="H455" s="2125" t="s">
        <v>762</v>
      </c>
      <c r="I455" s="643"/>
      <c r="L455" s="216"/>
    </row>
    <row r="456" spans="1:28" ht="17.850000000000001" customHeight="1" x14ac:dyDescent="0.25">
      <c r="A456" s="2202"/>
      <c r="B456" s="2203"/>
      <c r="C456" s="2203"/>
      <c r="D456" s="2204"/>
      <c r="E456" s="2197"/>
      <c r="F456" s="2197"/>
      <c r="G456" s="2197"/>
      <c r="H456" s="2126"/>
      <c r="I456" s="643"/>
      <c r="L456" s="216"/>
    </row>
    <row r="457" spans="1:28" ht="17.850000000000001" customHeight="1" thickBot="1" x14ac:dyDescent="0.3">
      <c r="A457" s="2205"/>
      <c r="B457" s="2206"/>
      <c r="C457" s="2206"/>
      <c r="D457" s="2207"/>
      <c r="E457" s="2198"/>
      <c r="F457" s="2198"/>
      <c r="G457" s="2198"/>
      <c r="H457" s="2127"/>
      <c r="I457" s="643"/>
      <c r="L457" s="216"/>
    </row>
    <row r="458" spans="1:28" ht="17.850000000000001" customHeight="1" thickTop="1" x14ac:dyDescent="0.25">
      <c r="A458" s="2221" t="s">
        <v>386</v>
      </c>
      <c r="B458" s="2222"/>
      <c r="C458" s="2222"/>
      <c r="D458" s="2306"/>
      <c r="E458" s="51">
        <f ca="1">$H$228</f>
        <v>1.4</v>
      </c>
      <c r="F458" s="1887">
        <f>H427/G427</f>
        <v>0</v>
      </c>
      <c r="G458" s="567"/>
      <c r="H458" s="361">
        <f ca="1">IF(ISBLANK(G458),E458*(1+F458),G458)</f>
        <v>1.4</v>
      </c>
      <c r="I458" s="366" t="str">
        <f>IF(ISBLANK(G458),"","X")</f>
        <v/>
      </c>
      <c r="L458" s="216"/>
      <c r="V458" s="1951"/>
      <c r="W458" s="1951"/>
      <c r="X458" s="1951"/>
      <c r="Y458" s="1951"/>
      <c r="Z458" s="66"/>
      <c r="AA458" s="66"/>
      <c r="AB458" s="66"/>
    </row>
    <row r="459" spans="1:28" s="66" customFormat="1" ht="17.850000000000001" customHeight="1" x14ac:dyDescent="0.25">
      <c r="A459" s="2134" t="s">
        <v>387</v>
      </c>
      <c r="B459" s="2135"/>
      <c r="C459" s="2135"/>
      <c r="D459" s="2136"/>
      <c r="E459" s="48">
        <f ca="1">IF(E438=M439,$G$227,$G$229)</f>
        <v>1.6</v>
      </c>
      <c r="F459" s="1888">
        <f>H427/G427</f>
        <v>0</v>
      </c>
      <c r="G459" s="567"/>
      <c r="H459" s="362">
        <f ca="1">IF(ISBLANK(G459),E459*(1+F459),G459)</f>
        <v>1.6</v>
      </c>
      <c r="I459" s="366" t="str">
        <f>IF(ISBLANK(G459),"","X")</f>
        <v/>
      </c>
      <c r="J459" s="42"/>
      <c r="K459" s="42"/>
      <c r="L459" s="216"/>
      <c r="M459" s="1342"/>
      <c r="N459" s="1342"/>
      <c r="O459" s="1342"/>
      <c r="P459" s="1342"/>
      <c r="Q459" s="1342"/>
      <c r="R459" s="1342"/>
      <c r="S459" s="1342"/>
      <c r="T459" s="1342"/>
      <c r="U459" s="1342"/>
      <c r="V459" s="1951"/>
      <c r="W459" s="1951"/>
      <c r="X459" s="1951"/>
      <c r="Y459" s="1951"/>
    </row>
    <row r="460" spans="1:28" s="66" customFormat="1" ht="17.850000000000001" customHeight="1" x14ac:dyDescent="0.25">
      <c r="A460" s="2134" t="s">
        <v>388</v>
      </c>
      <c r="B460" s="2135"/>
      <c r="C460" s="2135"/>
      <c r="D460" s="2136"/>
      <c r="E460" s="157">
        <f ca="1">$H$236</f>
        <v>0.28999999999999998</v>
      </c>
      <c r="F460" s="156"/>
      <c r="G460" s="337"/>
      <c r="H460" s="363">
        <f ca="1">IF(ISBLANK(G460),E460,G460)</f>
        <v>0.28999999999999998</v>
      </c>
      <c r="I460" s="366" t="str">
        <f ca="1">IF(OR(G460&lt;&gt;0,E460&lt;&gt;H460),"X","")</f>
        <v/>
      </c>
      <c r="J460" s="2293" t="str">
        <f>IF(G460="","","Hinweis: DPNK lassen sich genau bestimmen/nachrechnen!")</f>
        <v/>
      </c>
      <c r="K460" s="2293"/>
      <c r="L460" s="2294"/>
      <c r="M460" s="1342"/>
      <c r="N460" s="1342"/>
      <c r="O460" s="1342"/>
      <c r="P460" s="1342"/>
      <c r="Q460" s="1342"/>
      <c r="R460" s="1342"/>
      <c r="S460" s="1342"/>
      <c r="T460" s="1342"/>
      <c r="U460" s="1342"/>
      <c r="V460" s="1342"/>
      <c r="W460" s="1342"/>
      <c r="X460" s="1342"/>
      <c r="Y460" s="1342"/>
      <c r="Z460" s="42"/>
      <c r="AA460" s="42"/>
      <c r="AB460" s="42"/>
    </row>
    <row r="461" spans="1:28" ht="17.850000000000001" customHeight="1" x14ac:dyDescent="0.25">
      <c r="A461" s="2134" t="s">
        <v>389</v>
      </c>
      <c r="B461" s="2135"/>
      <c r="C461" s="2135"/>
      <c r="D461" s="2136"/>
      <c r="E461" s="157">
        <f ca="1">$H$265</f>
        <v>0.77</v>
      </c>
      <c r="F461" s="156"/>
      <c r="G461" s="337"/>
      <c r="H461" s="363">
        <f ca="1">IF(ISBLANK(G461),E461,G461)</f>
        <v>0.77</v>
      </c>
      <c r="I461" s="366" t="str">
        <f ca="1">IF(OR(G461&lt;&gt;0,E461&lt;&gt;H461),"X","")</f>
        <v/>
      </c>
      <c r="L461" s="216"/>
    </row>
    <row r="462" spans="1:28" ht="17.850000000000001" customHeight="1" x14ac:dyDescent="0.25">
      <c r="A462" s="2134" t="s">
        <v>390</v>
      </c>
      <c r="B462" s="2135"/>
      <c r="C462" s="2135"/>
      <c r="D462" s="2136"/>
      <c r="E462" s="48">
        <f ca="1">H$276</f>
        <v>7.0000000000000007E-2</v>
      </c>
      <c r="F462" s="156"/>
      <c r="G462" s="567"/>
      <c r="H462" s="362">
        <f ca="1">IF(ISBLANK(G462),E462,G462)</f>
        <v>7.0000000000000007E-2</v>
      </c>
      <c r="I462" s="366" t="str">
        <f ca="1">IF(OR(G462&lt;&gt;0,E462&lt;&gt;H462),"X","")</f>
        <v/>
      </c>
      <c r="L462" s="216"/>
    </row>
    <row r="463" spans="1:28" ht="17.850000000000001" customHeight="1" x14ac:dyDescent="0.25">
      <c r="A463" s="2134" t="s">
        <v>594</v>
      </c>
      <c r="B463" s="2136"/>
      <c r="C463" s="199">
        <f>$E$306</f>
        <v>0.06</v>
      </c>
      <c r="D463" s="54">
        <f ca="1">$F$307</f>
        <v>2.262</v>
      </c>
      <c r="E463" s="338"/>
      <c r="F463" s="567"/>
      <c r="G463" s="363">
        <f>IF(ISBLANK(E463),C463,E463)</f>
        <v>0.06</v>
      </c>
      <c r="H463" s="361">
        <f ca="1">IF(ISBLANK(F463),D463,F463)</f>
        <v>2.2599999999999998</v>
      </c>
      <c r="I463" s="366" t="str">
        <f>IF(OR(F463&lt;&gt;0,E463&lt;&gt;0),"X","")</f>
        <v/>
      </c>
      <c r="L463" s="216"/>
    </row>
    <row r="464" spans="1:28" ht="17.850000000000001" customHeight="1" x14ac:dyDescent="0.25">
      <c r="A464" s="2208" t="str">
        <f ca="1">"R5)"&amp;IF($G$327=0," Keine Umlagen unter Pkt H1 bzw H2 angelgt!"," Umlagen (K3 Spalte A)")</f>
        <v>R5) Umlagen (K3 Spalte A)</v>
      </c>
      <c r="B464" s="2305"/>
      <c r="C464" s="2305"/>
      <c r="D464" s="2305"/>
      <c r="E464" s="2305"/>
      <c r="F464" s="2305"/>
      <c r="G464" s="2305"/>
      <c r="H464" s="2305"/>
      <c r="I464" s="643"/>
      <c r="L464" s="216"/>
      <c r="O464" s="2045" t="s">
        <v>381</v>
      </c>
      <c r="P464" s="2045" t="s">
        <v>392</v>
      </c>
    </row>
    <row r="465" spans="1:20" ht="17.850000000000001" customHeight="1" thickBot="1" x14ac:dyDescent="0.3">
      <c r="A465" s="2314" t="s">
        <v>562</v>
      </c>
      <c r="B465" s="2315"/>
      <c r="C465" s="2315"/>
      <c r="D465" s="2316"/>
      <c r="E465" s="811" t="str">
        <f ca="1">IF(SUM(F466:G468)&lt;&gt;$H$327,"!","")</f>
        <v>!</v>
      </c>
      <c r="F465" s="715" t="s">
        <v>69</v>
      </c>
      <c r="G465" s="747" t="s">
        <v>673</v>
      </c>
      <c r="H465" s="1008">
        <f ca="1">IFERROR(' K3 Regie1'!O33,"")</f>
        <v>56.65</v>
      </c>
      <c r="I465" s="643"/>
      <c r="J465" s="2319" t="str">
        <f ca="1">IF(E465="!","Hinweis: Es sind nicht alle oder andere Umlagen wie unter Pkt H für K3_PP ausgewählt! Berechnung erfolgt mit den hier ausgewählten Umlagen.","")</f>
        <v>Hinweis: Es sind nicht alle oder andere Umlagen wie unter Pkt H für K3_PP ausgewählt! Berechnung erfolgt mit den hier ausgewählten Umlagen.</v>
      </c>
      <c r="K465" s="2319"/>
      <c r="L465" s="2320"/>
    </row>
    <row r="466" spans="1:20" ht="17.850000000000001" customHeight="1" thickTop="1" x14ac:dyDescent="0.25">
      <c r="A466" s="2370"/>
      <c r="B466" s="2370"/>
      <c r="C466" s="2370"/>
      <c r="D466" s="2370"/>
      <c r="E466" s="2370"/>
      <c r="F466" s="85" t="str">
        <f>IF(A466="","",IFERROR(VLOOKUP(A466,A$329:E$333,2,FALSE),KALKULATION!$M$283))</f>
        <v/>
      </c>
      <c r="G466" s="812" t="str">
        <f>IF(A466="","",IFERROR(VLOOKUP(A466,A$329:E$333,3,FALSE),""))</f>
        <v/>
      </c>
      <c r="H466" s="218" t="str">
        <f t="shared" ref="H466" si="44">IF(OR(G466="",G466=0),"",G466*H$465)</f>
        <v/>
      </c>
      <c r="I466" s="643"/>
      <c r="J466" s="2319"/>
      <c r="K466" s="2319"/>
      <c r="L466" s="2320"/>
    </row>
    <row r="467" spans="1:20" ht="17.850000000000001" customHeight="1" x14ac:dyDescent="0.25">
      <c r="A467" s="2265"/>
      <c r="B467" s="2265"/>
      <c r="C467" s="2265"/>
      <c r="D467" s="2265"/>
      <c r="E467" s="2265"/>
      <c r="F467" s="85" t="str">
        <f>IF(A467="","",IFERROR(VLOOKUP(A467,A$329:E$333,2,FALSE),KALKULATION!$M$283))</f>
        <v/>
      </c>
      <c r="G467" s="158" t="str">
        <f t="shared" ref="G467:G468" si="45">IF(A467="","",IFERROR(VLOOKUP(A467,A$329:E$333,3,FALSE),""))</f>
        <v/>
      </c>
      <c r="H467" s="218" t="str">
        <f>IF(OR(G467="",G467=0),"",G467*H$465)</f>
        <v/>
      </c>
      <c r="I467" s="643"/>
      <c r="J467" s="2319"/>
      <c r="K467" s="2319"/>
      <c r="L467" s="2320"/>
      <c r="M467" s="2076" t="s">
        <v>643</v>
      </c>
      <c r="N467" s="2076" t="str">
        <f>$A$413&amp;" gesamt"</f>
        <v>Regielohnpreis gesamt</v>
      </c>
      <c r="O467" s="2076"/>
      <c r="P467" s="2077"/>
    </row>
    <row r="468" spans="1:20" ht="17.850000000000001" customHeight="1" x14ac:dyDescent="0.25">
      <c r="A468" s="2265"/>
      <c r="B468" s="2265"/>
      <c r="C468" s="2265"/>
      <c r="D468" s="2265"/>
      <c r="E468" s="2265"/>
      <c r="F468" s="84" t="str">
        <f>IF(A468="","",IFERROR(VLOOKUP(A468,A$329:E$333,2,FALSE),KALKULATION!$M$283))</f>
        <v/>
      </c>
      <c r="G468" s="50" t="str">
        <f t="shared" si="45"/>
        <v/>
      </c>
      <c r="H468" s="73" t="str">
        <f>IF(OR(G468="",G468=0),"",G468*H$465)</f>
        <v/>
      </c>
      <c r="I468" s="643"/>
      <c r="L468" s="216"/>
      <c r="M468" s="2076" t="s">
        <v>414</v>
      </c>
      <c r="N468" s="2076" t="str">
        <f>IF(A421="","",A421)</f>
        <v>IIa.    Vorarbeiter</v>
      </c>
      <c r="O468" s="2078"/>
      <c r="P468" s="2079"/>
    </row>
    <row r="469" spans="1:20" ht="17.850000000000001" customHeight="1" x14ac:dyDescent="0.25">
      <c r="A469" s="2180" t="str">
        <f>IF(SUM(F466:H468)=0,"R5.b) GZ auf UMLAGEN - keine Umlagen ausgewählt (oder in Pkt H1 angelegt)","R5.b) GZ auf Umlagen")</f>
        <v>R5.b) GZ auf UMLAGEN - keine Umlagen ausgewählt (oder in Pkt H1 angelegt)</v>
      </c>
      <c r="B469" s="2181"/>
      <c r="C469" s="2181"/>
      <c r="D469" s="2181"/>
      <c r="E469" s="2181"/>
      <c r="F469" s="2182"/>
      <c r="G469" s="2182"/>
      <c r="H469" s="2181"/>
      <c r="I469" s="643"/>
      <c r="L469" s="216"/>
      <c r="M469" s="2080" t="s">
        <v>723</v>
      </c>
      <c r="N469" s="2080" t="str">
        <f>IF(C478="","",C478)</f>
        <v/>
      </c>
      <c r="O469" s="2076"/>
      <c r="P469" s="2077"/>
    </row>
    <row r="470" spans="1:20" ht="17.850000000000001" customHeight="1" x14ac:dyDescent="0.25">
      <c r="A470" s="2221" t="s">
        <v>561</v>
      </c>
      <c r="B470" s="2222"/>
      <c r="C470" s="2306"/>
      <c r="D470" s="2137"/>
      <c r="E470" s="2138"/>
      <c r="F470" s="2139"/>
      <c r="G470" s="199" t="str">
        <f>IF(D470="","",IFERROR(VLOOKUP(D470,'K2 GZ'!I$25:M$32,5,FALSE),KALKULATION!$M$283))</f>
        <v/>
      </c>
      <c r="H470" s="1009" t="str">
        <f ca="1">IF($G$327=0,"",IF(G470=KALKULATION!$M$283,"",IF(SUM(F466:H468)=0,"",IF(D470="",$G$346,G470))))</f>
        <v/>
      </c>
      <c r="I470" s="366" t="str">
        <f>IF(AND(D470&lt;&gt;"",SUM(F466:H468)&lt;&gt;0),"X","")</f>
        <v/>
      </c>
      <c r="J470" s="2178" t="str">
        <f ca="1">IF(G470=KALKULATION!$M$283,"Auswahl erneut vornehmen (ungült. Verweis)/Text löschen!",IF(AND(H470="",SUM(F466:G468)&lt;&gt;0),"GZ fehlt oder gleich 0!)",""))</f>
        <v/>
      </c>
      <c r="K470" s="2178"/>
      <c r="L470" s="2179"/>
      <c r="M470" s="2080" t="s">
        <v>724</v>
      </c>
      <c r="N470" s="2080" t="str">
        <f>IF(N469=""," für ["&amp;N468&amp;"]"," für ["&amp;N469&amp;"]")</f>
        <v xml:space="preserve"> für [IIa.    Vorarbeiter]</v>
      </c>
      <c r="O470" s="2080"/>
      <c r="P470" s="2080" t="str">
        <f>IF(N469="",""," für ["&amp;N469&amp;" | "&amp;N468&amp;"]")</f>
        <v/>
      </c>
    </row>
    <row r="471" spans="1:20" ht="17.850000000000001" customHeight="1" x14ac:dyDescent="0.25">
      <c r="A471" s="2351"/>
      <c r="B471" s="2352"/>
      <c r="C471" s="2352"/>
      <c r="D471" s="2352"/>
      <c r="E471" s="2352"/>
      <c r="F471" s="2352"/>
      <c r="G471" s="2352"/>
      <c r="H471" s="2352"/>
      <c r="I471" s="366"/>
      <c r="L471" s="216"/>
      <c r="M471" s="2080" t="s">
        <v>641</v>
      </c>
      <c r="N471" s="2081" t="str">
        <f ca="1">IF(AND(E443=M446,H447&lt;&gt;"")," als ["&amp;B445&amp;TEXT(E445," (0%)")&amp;"]",IF(E443=M444," mit [Ø Zuschlag gem K3 Mittelpersonalpreis Z 8]",IF(E443=M445," mit [Aufzahlung pro Std gem K3 Mittelpersonalpreis]","")))</f>
        <v/>
      </c>
      <c r="O471" s="2080"/>
      <c r="P471" s="2082"/>
    </row>
    <row r="472" spans="1:20" ht="17.850000000000001" customHeight="1" x14ac:dyDescent="0.25">
      <c r="A472" s="2180" t="s">
        <v>646</v>
      </c>
      <c r="B472" s="2181"/>
      <c r="C472" s="2181"/>
      <c r="D472" s="2313"/>
      <c r="E472" s="2313"/>
      <c r="F472" s="2313"/>
      <c r="G472" s="2313"/>
      <c r="H472" s="2313"/>
      <c r="I472" s="641"/>
      <c r="L472" s="216"/>
      <c r="M472" s="2083" t="s">
        <v>642</v>
      </c>
      <c r="N472" s="2084" t="str">
        <f>IF(N452="",""," in ["&amp;N452&amp;"]")</f>
        <v/>
      </c>
      <c r="O472" s="2083"/>
      <c r="P472" s="2085"/>
    </row>
    <row r="473" spans="1:20" ht="17.850000000000001" customHeight="1" x14ac:dyDescent="0.25">
      <c r="A473" s="2221" t="s">
        <v>561</v>
      </c>
      <c r="B473" s="2222"/>
      <c r="C473" s="2222"/>
      <c r="D473" s="2137"/>
      <c r="E473" s="2138"/>
      <c r="F473" s="2139"/>
      <c r="G473" s="196" t="str">
        <f>IF(D473="","",IFERROR(VLOOKUP(D473,'K2 GZ'!I$25:M$32,5,FALSE),KALKULATION!$M$283))</f>
        <v/>
      </c>
      <c r="H473" s="1057">
        <f>IF(G473=KALKULATION!$M$283,"",IF(D473="",$G$345,G473))</f>
        <v>0.28999999999999998</v>
      </c>
      <c r="I473" s="366" t="str">
        <f>IF(D473&lt;&gt;"","X","")</f>
        <v/>
      </c>
      <c r="J473" s="2178" t="str">
        <f>IF(G473=KALKULATION!$M$283,"Auswahl erneut vornehmen (ungültiger Verweis)!",IF(H473=KALKULATION!$M$283,"GZ aus K2-Blatt wählen!",""))</f>
        <v/>
      </c>
      <c r="K473" s="2178"/>
      <c r="L473" s="2179"/>
      <c r="M473" s="2080"/>
      <c r="N473" s="2086"/>
      <c r="O473" s="2080"/>
      <c r="P473" s="2082"/>
    </row>
    <row r="474" spans="1:20" ht="20.100000000000001" customHeight="1" x14ac:dyDescent="0.25">
      <c r="A474" s="1189" t="s">
        <v>393</v>
      </c>
      <c r="B474" s="844"/>
      <c r="C474" s="2755" t="str">
        <f>D436</f>
        <v>IIa.    Vorarbeiter</v>
      </c>
      <c r="D474" s="2755"/>
      <c r="E474" s="2755"/>
      <c r="F474" s="640" t="s">
        <v>259</v>
      </c>
      <c r="G474" s="845">
        <f ca="1">H474/D421-1</f>
        <v>2.6602999999999999</v>
      </c>
      <c r="H474" s="846">
        <f ca="1">IFERROR(' K3 Regie1'!N45,"??")</f>
        <v>80.38</v>
      </c>
      <c r="I474" s="641"/>
      <c r="J474" s="47"/>
      <c r="K474" s="47"/>
      <c r="L474" s="594"/>
      <c r="M474" s="2078"/>
      <c r="N474" s="2087"/>
      <c r="O474" s="2078"/>
      <c r="P474" s="2079"/>
      <c r="R474" s="2752"/>
      <c r="S474" s="2752"/>
      <c r="T474" s="2752"/>
    </row>
    <row r="475" spans="1:20" ht="17.850000000000001" customHeight="1" x14ac:dyDescent="0.25">
      <c r="A475" s="2116" t="s">
        <v>726</v>
      </c>
      <c r="B475" s="2267"/>
      <c r="C475" s="2190" t="str">
        <f>IFERROR(VLOOKUP(A477,M476:N482,2,FALSE),KALKULATION!$M$283)</f>
        <v>Regielohnpreis gesamt für [IIa.    Vorarbeiter]</v>
      </c>
      <c r="D475" s="2191"/>
      <c r="E475" s="2191"/>
      <c r="F475" s="2191"/>
      <c r="G475" s="2191"/>
      <c r="H475" s="2191"/>
      <c r="I475" s="641"/>
      <c r="J475" s="2326" t="str">
        <f ca="1">IF(OR(H473&lt;Report!$G$13,KALKULATION!H473&gt;Report!$F$13,AND(SUM(KALKULATION!F466:H468)&lt;&gt;0,OR(H470&lt;Report!$G$13,KALKULATION!H470&gt;Report!$F$13))),"Hinweis: GZ in R5.b oder R6 liegt außerhalb der empfohlenen Grenzwerte gem Blatt REPORT!","")</f>
        <v/>
      </c>
      <c r="K475" s="2326"/>
      <c r="L475" s="2327"/>
      <c r="M475" s="2088" t="s">
        <v>679</v>
      </c>
      <c r="N475" s="2088"/>
    </row>
    <row r="476" spans="1:20" ht="17.850000000000001" customHeight="1" x14ac:dyDescent="0.25">
      <c r="A476" s="2268"/>
      <c r="B476" s="2269"/>
      <c r="C476" s="2192"/>
      <c r="D476" s="2193"/>
      <c r="E476" s="2193"/>
      <c r="F476" s="2193"/>
      <c r="G476" s="2193"/>
      <c r="H476" s="2193"/>
      <c r="I476" s="641"/>
      <c r="J476" s="2328"/>
      <c r="K476" s="2328"/>
      <c r="L476" s="2329"/>
      <c r="M476" s="2088" t="s">
        <v>717</v>
      </c>
      <c r="N476" s="2088" t="str">
        <f>N467</f>
        <v>Regielohnpreis gesamt</v>
      </c>
    </row>
    <row r="477" spans="1:20" ht="17.850000000000001" customHeight="1" x14ac:dyDescent="0.25">
      <c r="A477" s="2270" t="s">
        <v>718</v>
      </c>
      <c r="B477" s="2271"/>
      <c r="C477" s="2194"/>
      <c r="D477" s="2195"/>
      <c r="E477" s="2195"/>
      <c r="F477" s="2195"/>
      <c r="G477" s="2195"/>
      <c r="H477" s="2195"/>
      <c r="I477" s="641"/>
      <c r="L477" s="216"/>
      <c r="M477" s="2088" t="s">
        <v>718</v>
      </c>
      <c r="N477" s="2088" t="str">
        <f>N467&amp;N470</f>
        <v>Regielohnpreis gesamt für [IIa.    Vorarbeiter]</v>
      </c>
    </row>
    <row r="478" spans="1:20" ht="17.850000000000001" customHeight="1" x14ac:dyDescent="0.25">
      <c r="A478" s="2134" t="s">
        <v>725</v>
      </c>
      <c r="B478" s="2136"/>
      <c r="C478" s="2307"/>
      <c r="D478" s="2308"/>
      <c r="E478" s="2308"/>
      <c r="F478" s="2308"/>
      <c r="G478" s="2308"/>
      <c r="H478" s="2308"/>
      <c r="I478" s="366" t="str">
        <f>IF(B478&lt;&gt;"","X","")</f>
        <v/>
      </c>
      <c r="L478" s="216"/>
      <c r="M478" s="2088" t="s">
        <v>719</v>
      </c>
      <c r="N478" s="2088" t="str">
        <f>N467&amp;P470</f>
        <v>Regielohnpreis gesamt</v>
      </c>
    </row>
    <row r="479" spans="1:20" ht="17.850000000000001" customHeight="1" x14ac:dyDescent="0.25">
      <c r="A479" s="2116" t="s">
        <v>727</v>
      </c>
      <c r="B479" s="2267"/>
      <c r="C479" s="2309"/>
      <c r="D479" s="2276"/>
      <c r="E479" s="2276"/>
      <c r="F479" s="2276"/>
      <c r="G479" s="2276"/>
      <c r="H479" s="2276"/>
      <c r="I479" s="641"/>
      <c r="L479" s="216"/>
      <c r="M479" s="2088" t="s">
        <v>720</v>
      </c>
      <c r="N479" s="2088" t="str">
        <f ca="1">N476&amp;N471&amp;N472</f>
        <v>Regielohnpreis gesamt</v>
      </c>
    </row>
    <row r="480" spans="1:20" ht="17.850000000000001" customHeight="1" x14ac:dyDescent="0.25">
      <c r="A480" s="2117"/>
      <c r="B480" s="2310"/>
      <c r="C480" s="2122"/>
      <c r="D480" s="2123"/>
      <c r="E480" s="2123"/>
      <c r="F480" s="2123"/>
      <c r="G480" s="2123"/>
      <c r="H480" s="2123"/>
      <c r="I480" s="641"/>
      <c r="L480" s="216"/>
      <c r="M480" s="2088" t="s">
        <v>721</v>
      </c>
      <c r="N480" s="2088" t="str">
        <f ca="1">N477&amp;N471&amp;N472</f>
        <v>Regielohnpreis gesamt für [IIa.    Vorarbeiter]</v>
      </c>
    </row>
    <row r="481" spans="1:15" ht="20.100000000000001" customHeight="1" x14ac:dyDescent="0.25">
      <c r="A481" s="2813"/>
      <c r="B481" s="2814"/>
      <c r="C481" s="2814"/>
      <c r="D481" s="2814"/>
      <c r="E481" s="2814"/>
      <c r="F481" s="2814"/>
      <c r="G481" s="2814"/>
      <c r="H481" s="2814"/>
      <c r="I481" s="2814"/>
      <c r="L481" s="216"/>
      <c r="M481" s="2088" t="s">
        <v>722</v>
      </c>
      <c r="N481" s="2088" t="str">
        <f ca="1">N478&amp;N471&amp;N472</f>
        <v>Regielohnpreis gesamt</v>
      </c>
    </row>
    <row r="482" spans="1:15" ht="17.850000000000001" customHeight="1" x14ac:dyDescent="0.25">
      <c r="A482" s="2116" t="s">
        <v>672</v>
      </c>
      <c r="B482" s="2118"/>
      <c r="C482" s="2119"/>
      <c r="D482" s="2119"/>
      <c r="E482" s="2119"/>
      <c r="F482" s="2119"/>
      <c r="G482" s="2119"/>
      <c r="H482" s="2119"/>
      <c r="I482" s="2119"/>
      <c r="L482" s="216"/>
      <c r="M482" s="2088" t="s">
        <v>858</v>
      </c>
      <c r="N482" s="2088" t="str">
        <f>IF(C479="","",C479)</f>
        <v/>
      </c>
    </row>
    <row r="483" spans="1:15" ht="17.850000000000001" customHeight="1" x14ac:dyDescent="0.25">
      <c r="A483" s="2117"/>
      <c r="B483" s="2120"/>
      <c r="C483" s="2121"/>
      <c r="D483" s="2121"/>
      <c r="E483" s="2121"/>
      <c r="F483" s="2121"/>
      <c r="G483" s="2121"/>
      <c r="H483" s="2121"/>
      <c r="I483" s="2121"/>
      <c r="J483" s="47"/>
      <c r="K483" s="47"/>
      <c r="L483" s="594"/>
    </row>
    <row r="484" spans="1:15" ht="17.850000000000001" customHeight="1" x14ac:dyDescent="0.25">
      <c r="A484" s="2240"/>
      <c r="B484" s="2240"/>
      <c r="C484" s="2240"/>
      <c r="D484" s="2240"/>
      <c r="E484" s="2240"/>
      <c r="F484" s="2240"/>
      <c r="G484" s="2240"/>
      <c r="H484" s="2240"/>
      <c r="I484" s="2240"/>
      <c r="L484" s="216"/>
    </row>
    <row r="485" spans="1:15" ht="25.15" customHeight="1" x14ac:dyDescent="0.25">
      <c r="A485" s="2855" t="str">
        <f ca="1">$A$413&amp;" 2"&amp;IF(A489=""," [keine Beschäftigungsgruppe ausgewählt]",IF(D489=KALKULATION!$M$283," - [nicht vorhandene Beschäftigungsgruppe]"," - kalkuliert für ["&amp;LEFT(A489,40)&amp;"]"))</f>
        <v>Regielohnpreis 2 - kalkuliert für [IIb.   Facharbeiter]</v>
      </c>
      <c r="B485" s="2856"/>
      <c r="C485" s="2856"/>
      <c r="D485" s="2856"/>
      <c r="E485" s="2856"/>
      <c r="F485" s="2856"/>
      <c r="G485" s="2856"/>
      <c r="H485" s="2856"/>
      <c r="I485" s="1218"/>
      <c r="J485" s="59"/>
      <c r="K485" s="59"/>
      <c r="L485" s="593"/>
    </row>
    <row r="486" spans="1:15" ht="17.850000000000001" customHeight="1" x14ac:dyDescent="0.25">
      <c r="A486" s="2116" t="s">
        <v>533</v>
      </c>
      <c r="B486" s="2403"/>
      <c r="C486" s="2404"/>
      <c r="D486" s="2384" t="s">
        <v>937</v>
      </c>
      <c r="E486" s="2385"/>
      <c r="F486" s="2385"/>
      <c r="G486" s="2385"/>
      <c r="H486" s="2385"/>
      <c r="I486" s="637"/>
      <c r="L486" s="216"/>
    </row>
    <row r="487" spans="1:15" ht="17.850000000000001" customHeight="1" x14ac:dyDescent="0.25">
      <c r="A487" s="2405"/>
      <c r="B487" s="2406"/>
      <c r="C487" s="2407"/>
      <c r="D487" s="2386"/>
      <c r="E487" s="2387"/>
      <c r="F487" s="2387"/>
      <c r="G487" s="2387"/>
      <c r="H487" s="2387"/>
      <c r="I487" s="637"/>
      <c r="L487" s="216"/>
    </row>
    <row r="488" spans="1:15" ht="17.850000000000001" customHeight="1" thickBot="1" x14ac:dyDescent="0.3">
      <c r="A488" s="2266" t="s">
        <v>380</v>
      </c>
      <c r="B488" s="2266"/>
      <c r="C488" s="2266"/>
      <c r="D488" s="2266"/>
      <c r="E488" s="715" t="s">
        <v>18</v>
      </c>
      <c r="F488" s="715" t="s">
        <v>68</v>
      </c>
      <c r="G488" s="1011" t="s">
        <v>72</v>
      </c>
      <c r="H488" s="1120" t="s">
        <v>73</v>
      </c>
      <c r="I488" s="637"/>
      <c r="L488" s="216"/>
    </row>
    <row r="489" spans="1:15" ht="17.850000000000001" customHeight="1" thickTop="1" thickBot="1" x14ac:dyDescent="0.3">
      <c r="A489" s="2214" t="s">
        <v>1135</v>
      </c>
      <c r="B489" s="2215"/>
      <c r="C489" s="2216"/>
      <c r="D489" s="51">
        <f ca="1">IFERROR(VLOOKUP(A489,Stammdaten!A$7:D$33,4,FALSE),$M$283)</f>
        <v>19.989999999999998</v>
      </c>
      <c r="E489" s="520">
        <v>1</v>
      </c>
      <c r="F489" s="521">
        <v>1</v>
      </c>
      <c r="G489" s="349">
        <f ca="1">IFERROR(VLOOKUP(A489,Stammdaten!A$7:F$33,4,FALSE)*F489,"")</f>
        <v>19.989999999999998</v>
      </c>
      <c r="H489" s="522">
        <f ca="1">IFERROR(VLOOKUP(A489,Stammdaten!A$7:F$33,6,FALSE)*F489,"")</f>
        <v>3</v>
      </c>
      <c r="I489" s="637"/>
      <c r="J489" s="2178" t="str">
        <f ca="1">IF(D489=KALKULATION!$M$283,"Auswahl erneut vornehmen (ungültiger Verweis)!","")</f>
        <v/>
      </c>
      <c r="K489" s="2178"/>
      <c r="L489" s="2179"/>
      <c r="O489" s="2089"/>
    </row>
    <row r="490" spans="1:15" ht="17.850000000000001" customHeight="1" x14ac:dyDescent="0.25">
      <c r="A490" s="2323" t="s">
        <v>92</v>
      </c>
      <c r="B490" s="2324"/>
      <c r="C490" s="2324"/>
      <c r="D490" s="2325"/>
      <c r="E490" s="49">
        <f>E489</f>
        <v>1</v>
      </c>
      <c r="F490" s="50">
        <v>1</v>
      </c>
      <c r="G490" s="51">
        <f ca="1">IF(AND(_OK?="OK!",_OK_KV?="OK_KV!"),SUM(G489),ROUNDUP(G489,0))</f>
        <v>20</v>
      </c>
      <c r="H490" s="84">
        <f ca="1">SUM(H489:H489)</f>
        <v>3</v>
      </c>
      <c r="I490" s="372" t="str">
        <f ca="1">IF(OR(_OK?&lt;&gt;"OK!",_OK_KV?&lt;&gt;"OK_KV!"),"X","")</f>
        <v>X</v>
      </c>
      <c r="J490" s="1112"/>
      <c r="K490" s="1112"/>
      <c r="L490" s="270"/>
    </row>
    <row r="491" spans="1:15" ht="17.850000000000001" customHeight="1" x14ac:dyDescent="0.25">
      <c r="A491" s="2142" t="s">
        <v>894</v>
      </c>
      <c r="B491" s="2143"/>
      <c r="C491" s="2143"/>
      <c r="D491" s="2143"/>
      <c r="E491" s="2143"/>
      <c r="F491" s="2143"/>
      <c r="G491" s="2143"/>
      <c r="H491" s="2143"/>
      <c r="I491" s="637"/>
      <c r="J491" s="1112"/>
      <c r="K491" s="1112"/>
      <c r="L491" s="216"/>
    </row>
    <row r="492" spans="1:15" ht="17.850000000000001" customHeight="1" thickBot="1" x14ac:dyDescent="0.3">
      <c r="A492" s="2395"/>
      <c r="B492" s="2396"/>
      <c r="C492" s="2397"/>
      <c r="D492" s="60">
        <f ca="1">IFERROR(VLOOKUP(A492,Stammdaten!A$7:D$33,4,FALSE),$M$283)</f>
        <v>0</v>
      </c>
      <c r="E492" s="359"/>
      <c r="F492" s="53" t="str">
        <f>IFERROR(IF(A492&lt;&gt;"",E492/E493,""),"")</f>
        <v/>
      </c>
      <c r="G492" s="60" t="str">
        <f ca="1">IFERROR(VLOOKUP(A492,Stammdaten!A$7:F$33,4,FALSE)*F492,"")</f>
        <v/>
      </c>
      <c r="H492" s="571" t="str">
        <f ca="1">IFERROR(VLOOKUP(A492,Stammdaten!A$7:F$33,6,FALSE)*F492,"")</f>
        <v/>
      </c>
      <c r="I492" s="637"/>
      <c r="J492" s="2178" t="str">
        <f ca="1">IF(OR(COUNTA(A492,E492)=2,COUNTA(A492,E492)=0),IF(D492=KALKULATION!$M$283,"Auswahl erneut vornehmen (ungültiger Verweis)!",""),"Eingabe unvollständig (ergänzen oder löschen)!")</f>
        <v/>
      </c>
      <c r="K492" s="2178"/>
      <c r="L492" s="2179"/>
    </row>
    <row r="493" spans="1:15" ht="17.850000000000001" customHeight="1" x14ac:dyDescent="0.25">
      <c r="A493" s="392" t="s">
        <v>92</v>
      </c>
      <c r="B493" s="373"/>
      <c r="C493" s="373"/>
      <c r="D493" s="212"/>
      <c r="E493" s="64">
        <f>SUM(E492:E492)</f>
        <v>0</v>
      </c>
      <c r="F493" s="50">
        <f>SUM(F492:F492)</f>
        <v>0</v>
      </c>
      <c r="G493" s="51">
        <f ca="1">SUM(G492)</f>
        <v>0</v>
      </c>
      <c r="H493" s="84">
        <f ca="1">SUM(H492:H492)</f>
        <v>0</v>
      </c>
      <c r="I493" s="637"/>
      <c r="J493" s="2178" t="str">
        <f ca="1">IF(E493&gt;=E490,"Unzulässige Umlage (R2 größer/gleich R1)!!!",IF(AND(E493&lt;&gt;0,G490=0),"Beschäftigungsgruppe in R1 wählen!",""))</f>
        <v/>
      </c>
      <c r="K493" s="2178"/>
      <c r="L493" s="2179"/>
    </row>
    <row r="494" spans="1:15" ht="17.850000000000001" customHeight="1" x14ac:dyDescent="0.25">
      <c r="A494" s="2134" t="s">
        <v>700</v>
      </c>
      <c r="B494" s="2135"/>
      <c r="C494" s="2135"/>
      <c r="D494" s="2135"/>
      <c r="E494" s="2135"/>
      <c r="F494" s="2135"/>
      <c r="G494" s="2135"/>
      <c r="H494" s="572">
        <v>0</v>
      </c>
      <c r="I494" s="638"/>
      <c r="J494" s="2176" t="str">
        <f>IF(AND(ISBLANK(H494),E493&lt;&gt;0),"Kennzeichen eingeben! Es sind unprod. Zeiten kalkuliert.","")</f>
        <v/>
      </c>
      <c r="K494" s="2176"/>
      <c r="L494" s="2177"/>
    </row>
    <row r="495" spans="1:15" ht="17.850000000000001" customHeight="1" x14ac:dyDescent="0.25">
      <c r="A495" s="2287" t="str">
        <f>IFERROR("Info: Kalk. 'Regiestunde' ist zu "&amp;TEXT(G495,"0,0")&amp;" Std prod. und "&amp;TEXT(H495,"0,0")&amp;" Std unproduktiv ("&amp;TEXT(H495/G495,"0,0%")&amp;")","Unzulässige Division durch 0 - Berechnung kann nicht fortgesetzt werden!")</f>
        <v>Info: Kalk. 'Regiestunde' ist zu 1,0 Std prod. und 0,0 Std unproduktiv (0,0%)</v>
      </c>
      <c r="B495" s="2288"/>
      <c r="C495" s="2288"/>
      <c r="D495" s="2288"/>
      <c r="E495" s="2288"/>
      <c r="F495" s="2288"/>
      <c r="G495" s="367">
        <f>IF(H494=1,E490,E490-E493)</f>
        <v>1</v>
      </c>
      <c r="H495" s="367">
        <f>E493</f>
        <v>0</v>
      </c>
      <c r="I495" s="637"/>
      <c r="J495" s="2280" t="str">
        <f>IFERROR(IF(H495/G495&gt;Report!$F$7,"Hinweis: Unproduktiver Anteil erscheint hoch!",""),"Der unprod. Anteil löst eine Division mit 0 aus!")</f>
        <v/>
      </c>
      <c r="K495" s="2280"/>
      <c r="L495" s="2281"/>
    </row>
    <row r="496" spans="1:15" ht="17.850000000000001" customHeight="1" thickBot="1" x14ac:dyDescent="0.3">
      <c r="A496" s="2343"/>
      <c r="B496" s="2344"/>
      <c r="C496" s="2344"/>
      <c r="D496" s="2344"/>
      <c r="E496" s="2344"/>
      <c r="F496" s="2344"/>
      <c r="G496" s="2344"/>
      <c r="H496" s="2344"/>
      <c r="I496" s="637"/>
      <c r="L496" s="216"/>
    </row>
    <row r="497" spans="1:17" ht="17.850000000000001" customHeight="1" thickBot="1" x14ac:dyDescent="0.3">
      <c r="A497" s="2142" t="s">
        <v>382</v>
      </c>
      <c r="B497" s="2143"/>
      <c r="C497" s="2414"/>
      <c r="D497" s="717" t="s">
        <v>72</v>
      </c>
      <c r="E497" s="718" t="s">
        <v>73</v>
      </c>
      <c r="F497" s="721" t="s">
        <v>118</v>
      </c>
      <c r="G497" s="719" t="s">
        <v>85</v>
      </c>
      <c r="H497" s="720" t="s">
        <v>73</v>
      </c>
      <c r="I497" s="637"/>
      <c r="L497" s="216"/>
    </row>
    <row r="498" spans="1:17" ht="17.850000000000001" customHeight="1" x14ac:dyDescent="0.25">
      <c r="A498" s="703" t="s">
        <v>706</v>
      </c>
      <c r="B498" s="704"/>
      <c r="C498" s="705"/>
      <c r="D498" s="706">
        <f ca="1">G490*G495</f>
        <v>20</v>
      </c>
      <c r="E498" s="707">
        <f ca="1">G495*H490</f>
        <v>3</v>
      </c>
      <c r="F498" s="708" t="s">
        <v>204</v>
      </c>
      <c r="G498" s="685">
        <f ca="1">D498</f>
        <v>20</v>
      </c>
      <c r="H498" s="686">
        <f ca="1">IF(D501=_Ja,"",D500)</f>
        <v>20</v>
      </c>
      <c r="I498" s="637"/>
      <c r="L498" s="216"/>
    </row>
    <row r="499" spans="1:17" ht="17.850000000000001" customHeight="1" thickBot="1" x14ac:dyDescent="0.3">
      <c r="A499" s="687" t="s">
        <v>707</v>
      </c>
      <c r="B499" s="688"/>
      <c r="C499" s="689"/>
      <c r="D499" s="690">
        <f ca="1">H495*G493</f>
        <v>0</v>
      </c>
      <c r="E499" s="691">
        <f ca="1">H495*H493</f>
        <v>0</v>
      </c>
      <c r="F499" s="709" t="s">
        <v>203</v>
      </c>
      <c r="G499" s="693">
        <f ca="1">D499</f>
        <v>0</v>
      </c>
      <c r="H499" s="694">
        <f ca="1">IF(D501=_Ja,"",E500)</f>
        <v>3</v>
      </c>
      <c r="I499" s="637"/>
      <c r="L499" s="216"/>
    </row>
    <row r="500" spans="1:17" ht="17.850000000000001" customHeight="1" x14ac:dyDescent="0.25">
      <c r="A500" s="695"/>
      <c r="B500" s="696"/>
      <c r="C500" s="697" t="s">
        <v>56</v>
      </c>
      <c r="D500" s="698">
        <f ca="1">SUM(D498:D499)</f>
        <v>20</v>
      </c>
      <c r="E500" s="699">
        <f ca="1">SUM(E498:E499)</f>
        <v>3</v>
      </c>
      <c r="F500" s="710" t="s">
        <v>86</v>
      </c>
      <c r="G500" s="711">
        <f ca="1">G499/G498</f>
        <v>0</v>
      </c>
      <c r="H500" s="712">
        <f ca="1">IF(D501=_Ja,$H$73,H499/H498)</f>
        <v>0.15</v>
      </c>
      <c r="I500" s="372" t="str">
        <f>IF(D501=_Ja,"X","")</f>
        <v/>
      </c>
      <c r="L500" s="216"/>
    </row>
    <row r="501" spans="1:17" ht="17.850000000000001" customHeight="1" thickBot="1" x14ac:dyDescent="0.3">
      <c r="A501" s="2134" t="str">
        <f ca="1">"Ø AKV gem Pkt B "&amp;TEXT($H$73,"0,00%")&amp;". Beibehalten?"</f>
        <v>Ø AKV gem Pkt B 14,40%. Beibehalten?</v>
      </c>
      <c r="B501" s="2135"/>
      <c r="C501" s="2136"/>
      <c r="D501" s="826" t="s">
        <v>193</v>
      </c>
      <c r="E501" s="2421" t="s">
        <v>383</v>
      </c>
      <c r="F501" s="2422"/>
      <c r="G501" s="378"/>
      <c r="H501" s="379"/>
      <c r="I501" s="372" t="str">
        <f>IF(OR(G501&lt;&gt;0,H501&lt;&gt;0),"X","")</f>
        <v/>
      </c>
      <c r="L501" s="216"/>
    </row>
    <row r="502" spans="1:17" ht="17.850000000000001" customHeight="1" x14ac:dyDescent="0.25">
      <c r="A502" s="2217"/>
      <c r="B502" s="2218"/>
      <c r="C502" s="2218"/>
      <c r="D502" s="2219"/>
      <c r="E502" s="2187" t="s">
        <v>556</v>
      </c>
      <c r="F502" s="2188"/>
      <c r="G502" s="86">
        <f ca="1">SUM(G500,G501)</f>
        <v>0</v>
      </c>
      <c r="H502" s="154">
        <f ca="1">SUM(H500,H501)</f>
        <v>0.15</v>
      </c>
      <c r="I502" s="637"/>
      <c r="L502" s="216"/>
    </row>
    <row r="503" spans="1:17" ht="17.850000000000001" customHeight="1" x14ac:dyDescent="0.25">
      <c r="A503" s="2210"/>
      <c r="B503" s="2211"/>
      <c r="C503" s="2211"/>
      <c r="D503" s="2220"/>
      <c r="E503" s="2210"/>
      <c r="F503" s="2220"/>
      <c r="G503" s="368" t="s">
        <v>121</v>
      </c>
      <c r="H503" s="369" t="s">
        <v>122</v>
      </c>
      <c r="I503" s="637"/>
      <c r="L503" s="216"/>
    </row>
    <row r="504" spans="1:17" ht="17.850000000000001" customHeight="1" x14ac:dyDescent="0.25">
      <c r="A504" s="1190" t="s">
        <v>384</v>
      </c>
      <c r="B504" s="843"/>
      <c r="C504" s="843"/>
      <c r="D504" s="2423" t="str">
        <f>IF(A489=0,"Beschäftigungsgruppe wählen!",A489)</f>
        <v>IIb.   Facharbeiter</v>
      </c>
      <c r="E504" s="2423"/>
      <c r="F504" s="2423"/>
      <c r="G504" s="2423"/>
      <c r="H504" s="842">
        <f ca="1">' K3 Regie2'!N$45</f>
        <v>73.94</v>
      </c>
      <c r="I504" s="637"/>
      <c r="L504" s="216"/>
    </row>
    <row r="505" spans="1:17" ht="20.100000000000001" customHeight="1" x14ac:dyDescent="0.25">
      <c r="A505" s="2289" t="s">
        <v>632</v>
      </c>
      <c r="B505" s="2290"/>
      <c r="C505" s="2290"/>
      <c r="D505" s="2290"/>
      <c r="E505" s="2290"/>
      <c r="F505" s="2290"/>
      <c r="G505" s="2290"/>
      <c r="H505" s="2290"/>
      <c r="I505" s="637"/>
      <c r="J505" s="2227" t="str">
        <f>IF(OR(I506="X",I511="X"),M$301,"")</f>
        <v/>
      </c>
      <c r="K505" s="2227"/>
      <c r="L505" s="2228"/>
    </row>
    <row r="506" spans="1:17" ht="20.100000000000001" customHeight="1" x14ac:dyDescent="0.25">
      <c r="A506" s="2134" t="s">
        <v>704</v>
      </c>
      <c r="B506" s="2135"/>
      <c r="C506" s="2136"/>
      <c r="D506" s="865" t="s">
        <v>702</v>
      </c>
      <c r="E506" s="2137" t="s">
        <v>902</v>
      </c>
      <c r="F506" s="2138"/>
      <c r="G506" s="2139"/>
      <c r="H506" s="1010">
        <f>IFERROR(VLOOKUP(E506,M506:N508,2,FALSE),"")</f>
        <v>0</v>
      </c>
      <c r="I506" s="372" t="str">
        <f>IF(E506&lt;&gt;M506,"X","")</f>
        <v/>
      </c>
      <c r="J506" s="2227"/>
      <c r="K506" s="2227"/>
      <c r="L506" s="2228"/>
      <c r="M506" s="2014" t="str">
        <f>M$438</f>
        <v>1. Standard (ÖN B 2110) ohne Zulagen</v>
      </c>
      <c r="N506" s="1999">
        <f>N$438</f>
        <v>0</v>
      </c>
    </row>
    <row r="507" spans="1:17" ht="20.100000000000001" customHeight="1" thickBot="1" x14ac:dyDescent="0.3">
      <c r="A507" s="672" t="s">
        <v>630</v>
      </c>
      <c r="B507" s="673"/>
      <c r="C507" s="674" t="s">
        <v>629</v>
      </c>
      <c r="D507" s="674" t="s">
        <v>631</v>
      </c>
      <c r="E507" s="674" t="s">
        <v>159</v>
      </c>
      <c r="F507" s="674" t="s">
        <v>8</v>
      </c>
      <c r="G507" s="674" t="s">
        <v>9</v>
      </c>
      <c r="H507" s="675" t="s">
        <v>10</v>
      </c>
      <c r="I507" s="637"/>
      <c r="L507" s="216"/>
      <c r="M507" s="2014" t="str">
        <f>M$439</f>
        <v>2. Wert gem Kalkulation Pkt D (K3_PP)</v>
      </c>
      <c r="N507" s="1999">
        <f ca="1">N$439</f>
        <v>0.03</v>
      </c>
    </row>
    <row r="508" spans="1:17" ht="30" customHeight="1" thickTop="1" x14ac:dyDescent="0.25">
      <c r="A508" s="2185"/>
      <c r="B508" s="2186"/>
      <c r="C508" s="766">
        <v>1</v>
      </c>
      <c r="D508" s="871">
        <v>1</v>
      </c>
      <c r="E508" s="872" t="str">
        <f>IF(ISBLANK(A508),"",IF(L$27="",IFERROR(VLOOKUP(A508,Stammdaten!$A$70:$C$96,3,FALSE),KALKULATION!$M$283),"ungültig"))</f>
        <v/>
      </c>
      <c r="F508" s="676" t="str">
        <f>IFERROR(C508*D508*E508,"")</f>
        <v/>
      </c>
      <c r="G508" s="677">
        <f ca="1">IFERROR(VLOOKUP(A508,Stammdaten!$A$70:$C$96,2,FALSE),"")</f>
        <v>0</v>
      </c>
      <c r="H508" s="678">
        <f ca="1">IFERROR(C508*D508*G508,"")</f>
        <v>0</v>
      </c>
      <c r="I508" s="637"/>
      <c r="J508" s="2227" t="str">
        <f>VLOOKUP(E511,M511:Q514,5,FALSE)</f>
        <v>Hinweis zu R4.b - 1.) Wenn der Regiepreis keine Arbeitszeitzuschläge enthalten soll (Regelung gem ÖN B 2110) ist diese Einstellung (1.) zutreffend.</v>
      </c>
      <c r="K508" s="2227"/>
      <c r="L508" s="2228"/>
      <c r="M508" s="2014" t="str">
        <f>M$440</f>
        <v>3. Eigene Kalkulation für den Regiepreis</v>
      </c>
      <c r="N508" s="1999" t="str">
        <f>N$440</f>
        <v>berechnen:</v>
      </c>
    </row>
    <row r="509" spans="1:17" ht="20.100000000000001" customHeight="1" x14ac:dyDescent="0.25">
      <c r="A509" s="866"/>
      <c r="B509" s="867"/>
      <c r="C509" s="867"/>
      <c r="D509" s="874" t="s">
        <v>705</v>
      </c>
      <c r="E509" s="873">
        <f ca="1">' K3 Regie2'!O$21</f>
        <v>20</v>
      </c>
      <c r="F509" s="870">
        <f ca="1">IFERROR(F508/E509,0)</f>
        <v>0</v>
      </c>
      <c r="G509" s="868" t="str">
        <f ca="1">IF(G508=0,"",$G$131)</f>
        <v/>
      </c>
      <c r="H509" s="1007">
        <f ca="1">IFERROR(H508*G509,0)</f>
        <v>0</v>
      </c>
      <c r="I509" s="637"/>
      <c r="J509" s="2227"/>
      <c r="K509" s="2227"/>
      <c r="L509" s="2228"/>
      <c r="N509" s="2018"/>
    </row>
    <row r="510" spans="1:17" ht="20.100000000000001" customHeight="1" x14ac:dyDescent="0.25">
      <c r="A510" s="392" t="s">
        <v>768</v>
      </c>
      <c r="B510" s="67"/>
      <c r="C510" s="346"/>
      <c r="D510" s="346"/>
      <c r="E510" s="346"/>
      <c r="F510" s="498"/>
      <c r="G510" s="346"/>
      <c r="H510" s="92">
        <f>IF(E506=M508,SUM(F509,H509),H506)</f>
        <v>0</v>
      </c>
      <c r="I510" s="637"/>
      <c r="J510" s="2227"/>
      <c r="K510" s="2227"/>
      <c r="L510" s="2228"/>
      <c r="M510" s="1961" t="str">
        <f>M$442</f>
        <v>DD Arbeitszeitzuschläge</v>
      </c>
      <c r="N510" s="1961"/>
      <c r="O510" s="1961"/>
      <c r="P510" s="1961" t="str">
        <f t="shared" ref="P510" si="46">P$442</f>
        <v>Text in K3</v>
      </c>
      <c r="Q510" s="1961" t="str">
        <f>Q$442</f>
        <v>Text in Kalk</v>
      </c>
    </row>
    <row r="511" spans="1:17" ht="20.100000000000001" customHeight="1" x14ac:dyDescent="0.25">
      <c r="A511" s="2142" t="s">
        <v>767</v>
      </c>
      <c r="B511" s="2143"/>
      <c r="C511" s="2143"/>
      <c r="D511" s="923" t="s">
        <v>769</v>
      </c>
      <c r="E511" s="2137" t="s">
        <v>882</v>
      </c>
      <c r="F511" s="2138"/>
      <c r="G511" s="2139"/>
      <c r="H511" s="1010">
        <f>IFERROR(VLOOKUP(E511,M511:N513,2,FALSE),"")</f>
        <v>0</v>
      </c>
      <c r="I511" s="372" t="str">
        <f>IF(E511&lt;&gt;M511,"X","")</f>
        <v/>
      </c>
      <c r="J511" s="2227"/>
      <c r="K511" s="2227"/>
      <c r="L511" s="2228"/>
      <c r="M511" s="2014" t="str">
        <f>M$443</f>
        <v>1. Standard (ÖN B 2110) ohne Zuschlag</v>
      </c>
      <c r="N511" s="1999">
        <f t="shared" ref="N511:Q511" si="47">N$443</f>
        <v>0</v>
      </c>
      <c r="O511" s="1950"/>
      <c r="P511" s="1950" t="str">
        <f t="shared" si="47"/>
        <v>Regiestunde</v>
      </c>
      <c r="Q511" s="1950" t="str">
        <f t="shared" si="47"/>
        <v>Hinweis zu R4.b - 1.) Wenn der Regiepreis keine Arbeitszeitzuschläge enthalten soll (Regelung gem ÖN B 2110) ist diese Einstellung (1.) zutreffend.</v>
      </c>
    </row>
    <row r="512" spans="1:17" ht="17.850000000000001" customHeight="1" x14ac:dyDescent="0.25">
      <c r="A512" s="2321" t="s">
        <v>563</v>
      </c>
      <c r="B512" s="2322"/>
      <c r="C512" s="2322"/>
      <c r="D512" s="2322"/>
      <c r="E512" s="553" t="s">
        <v>378</v>
      </c>
      <c r="F512" s="524" t="s">
        <v>192</v>
      </c>
      <c r="G512" s="926">
        <v>1</v>
      </c>
      <c r="H512" s="607"/>
      <c r="I512" s="372" t="str">
        <f>IF(AND(E511=M514,F512=_Ja),"X","")</f>
        <v/>
      </c>
      <c r="J512" s="2176" t="str">
        <f>IF(OR(F512=$Q$31,F512=$Q$32),"","Bitte Ja oder Nein wählen!")</f>
        <v/>
      </c>
      <c r="K512" s="2176"/>
      <c r="L512" s="2177"/>
      <c r="M512" s="2014" t="str">
        <f>M$444</f>
        <v>2. Regie mit Ø-Zuschlag wie K3 Zeile 8</v>
      </c>
      <c r="N512" s="1999">
        <f t="shared" ref="N512:Q512" ca="1" si="48">N$444</f>
        <v>4.2999999999999997E-2</v>
      </c>
      <c r="O512" s="1950"/>
      <c r="P512" s="1950" t="str">
        <f t="shared" si="48"/>
        <v>Regiestd. (Ø-% wie K3 Z 8)</v>
      </c>
      <c r="Q512" s="1950" t="str">
        <f t="shared" si="48"/>
        <v>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v>
      </c>
    </row>
    <row r="513" spans="1:18" ht="17.850000000000001" customHeight="1" x14ac:dyDescent="0.25">
      <c r="A513" s="540" t="s">
        <v>379</v>
      </c>
      <c r="B513" s="2122"/>
      <c r="C513" s="2123"/>
      <c r="D513" s="2124"/>
      <c r="E513" s="542" t="str">
        <f>IF(OR(ISBLANK(B513),F512=_Nein),"",IFERROR(VLOOKUP(B513,Stammdaten!A$39:C$48,3,FALSE),KALKULATION!$M$283))</f>
        <v/>
      </c>
      <c r="F513" s="1101"/>
      <c r="G513" s="544"/>
      <c r="H513" s="608"/>
      <c r="I513" s="372"/>
      <c r="J513" s="2178" t="str">
        <f>IF(F512&lt;&gt;$Q$31,"",IF(AND(E513=KALKULATION!$M$283,F512=$Q$31),"Auswahl erneut vornehmen (ungültiger Verweis)!",IF(OR(AND(F512=$Q$31,B513=""),AND(F512=$Q$32,B513&lt;&gt;"")),"Eingabe unvollständig (ergänzen,  löschen od Nein wählen)!","")))</f>
        <v>Eingabe unvollständig (ergänzen,  löschen od Nein wählen)!</v>
      </c>
      <c r="K513" s="2178"/>
      <c r="L513" s="2179"/>
      <c r="M513" s="2014" t="str">
        <f>M$445</f>
        <v>3. Regie mit Std-Zuschlag wie K3</v>
      </c>
      <c r="N513" s="1999">
        <f t="shared" ref="N513:Q513" ca="1" si="49">N$445</f>
        <v>0.6</v>
      </c>
      <c r="O513" s="1950"/>
      <c r="P513" s="1950" t="str">
        <f t="shared" si="49"/>
        <v>Regiestd. (Std-% analog K3)</v>
      </c>
      <c r="Q513" s="1950" t="str">
        <f t="shared" si="49"/>
        <v>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v>
      </c>
    </row>
    <row r="514" spans="1:18" ht="17.850000000000001" customHeight="1" x14ac:dyDescent="0.25">
      <c r="A514" s="2297" t="s">
        <v>135</v>
      </c>
      <c r="B514" s="2298"/>
      <c r="C514" s="2298"/>
      <c r="D514" s="2298"/>
      <c r="E514" s="541">
        <f ca="1">IFERROR(IF(VLOOKUP(B513,Stammdaten!A$39:C$48,2,FALSE)=0,1,(VLOOKUP(B513,Stammdaten!A$39:C$48,2,FALSE))),"")</f>
        <v>1</v>
      </c>
      <c r="F514" s="1101"/>
      <c r="G514" s="545"/>
      <c r="H514" s="609"/>
      <c r="I514" s="372"/>
      <c r="L514" s="216"/>
      <c r="M514" s="2014" t="str">
        <f>M$446</f>
        <v>4. Regie berechnen</v>
      </c>
      <c r="N514" s="1950" t="str">
        <f t="shared" ref="N514:Q514" si="50">N$446</f>
        <v>berechnen:</v>
      </c>
      <c r="O514" s="1950"/>
      <c r="P514" s="1950"/>
      <c r="Q514" s="1950" t="str">
        <f t="shared" si="50"/>
        <v>Hinweis zu R4.b - 4.) Wenn ein Regiepreis unter kalkulatorischer Beachtung zeitlicher Rahmenbedingungen zu nennen ist, ist diese Auswahl zutreffend. Mehrarbeitszuschläge und Verr.std.zuschläge lassen sich individuell getrennt erfassen.</v>
      </c>
    </row>
    <row r="515" spans="1:18" ht="17.850000000000001" customHeight="1" x14ac:dyDescent="0.25">
      <c r="A515" s="2233" t="s">
        <v>560</v>
      </c>
      <c r="B515" s="2234"/>
      <c r="C515" s="2234"/>
      <c r="D515" s="2234"/>
      <c r="E515" s="2235"/>
      <c r="F515" s="351">
        <v>1</v>
      </c>
      <c r="G515" s="546">
        <f>IF(F515=1,1,IF(F515=2,((' K3 Regie2'!O$23+' K3 Regie2'!O$24)/' K3 Regie2'!O$23),IF(F515&gt;2,((' K3 Regie2'!O$23+' K3 Regie2'!O$24+' K3 Regie2'!O$25)/' K3 Regie2'!O$23),"")))</f>
        <v>1</v>
      </c>
      <c r="H515" s="608" t="str">
        <f ca="1">IFERROR(IF(AND(F512=$Q$31,F515&gt;0),(E513*E514*G515),""),"??")</f>
        <v>??</v>
      </c>
      <c r="I515" s="372"/>
      <c r="J515" s="1090" t="str">
        <f>IF(F512&lt;&gt;$Q$31,"",IF(AND(ISBLANK(F515),F512=$Q$31),"Kennzeichen setzen!",""))</f>
        <v/>
      </c>
      <c r="K515" s="1090"/>
      <c r="L515" s="365"/>
      <c r="M515" s="2069" t="s">
        <v>866</v>
      </c>
      <c r="R515" s="1965"/>
    </row>
    <row r="516" spans="1:18" ht="17.850000000000001" customHeight="1" x14ac:dyDescent="0.25">
      <c r="A516" s="2321" t="s">
        <v>565</v>
      </c>
      <c r="B516" s="2322"/>
      <c r="C516" s="2322"/>
      <c r="D516" s="2322"/>
      <c r="E516" s="553" t="s">
        <v>378</v>
      </c>
      <c r="F516" s="524" t="s">
        <v>192</v>
      </c>
      <c r="G516" s="543"/>
      <c r="H516" s="607"/>
      <c r="I516" s="372" t="str">
        <f>IF(AND(E511=M514,F516=_Ja),"X","")</f>
        <v/>
      </c>
      <c r="J516" s="2176"/>
      <c r="K516" s="2176"/>
      <c r="L516" s="2177"/>
      <c r="M516" s="1342" t="s">
        <v>859</v>
      </c>
      <c r="N516" s="2070" t="str">
        <f>IF(E511=M512,P512,IF(E511=M513,P513,IF(AND(E511=M514,F512=_Ja),B513,P511)))</f>
        <v>Regiestunde</v>
      </c>
      <c r="O516" s="2065"/>
      <c r="P516" s="1999" t="str">
        <f>IF(AND(E511=M514,F512=_Ja),TEXT(E513,"0%"),IF(N516=P512,TEXT(N512,"0,00%"),IF(N516=P513,TEXT($P$113,"0%"),"")))</f>
        <v/>
      </c>
      <c r="R516" s="1965"/>
    </row>
    <row r="517" spans="1:18" ht="17.850000000000001" customHeight="1" x14ac:dyDescent="0.25">
      <c r="A517" s="540" t="s">
        <v>379</v>
      </c>
      <c r="B517" s="2122"/>
      <c r="C517" s="2123"/>
      <c r="D517" s="2124"/>
      <c r="E517" s="549" t="str">
        <f>IF(OR(ISBLANK(B517),F516=_Nein),"",IFERROR(VLOOKUP(B517,Stammdaten!A$50:C$54,3,FALSE),KALKULATION!$M$283))</f>
        <v/>
      </c>
      <c r="F517" s="1101"/>
      <c r="G517" s="544"/>
      <c r="H517" s="608"/>
      <c r="I517" s="372"/>
      <c r="J517" s="2178" t="str">
        <f>IF(F516&lt;&gt;$Q$31,"",IF(AND(E517=KALKULATION!$M$283,F516=$Q$31),"Auswahl erneut vornehmen (ungültiger Verweis)!",IF(OR(AND(F516=$Q$31,B517=""),AND(F516=$Q$32,B517&lt;&gt;"")),"Eingabe unvollständig (ergänzen,  löschen od Nein wählen)!","")))</f>
        <v>Eingabe unvollständig (ergänzen,  löschen od Nein wählen)!</v>
      </c>
      <c r="K517" s="2178"/>
      <c r="L517" s="2179"/>
      <c r="M517" s="1342" t="s">
        <v>863</v>
      </c>
      <c r="N517" s="2071" t="str">
        <f>IF(AND(E511=M514,F516=_Ja),B517,"")</f>
        <v/>
      </c>
      <c r="O517" s="2072"/>
      <c r="P517" s="1999" t="str">
        <f>IF(N517="","",E517)</f>
        <v/>
      </c>
      <c r="Q517" s="1951"/>
      <c r="R517" s="2073"/>
    </row>
    <row r="518" spans="1:18" ht="17.850000000000001" customHeight="1" x14ac:dyDescent="0.25">
      <c r="A518" s="2241" t="s">
        <v>198</v>
      </c>
      <c r="B518" s="2242"/>
      <c r="C518" s="2242"/>
      <c r="D518" s="2242"/>
      <c r="E518" s="541" t="str">
        <f ca="1">IFERROR(IF(VLOOKUP(B517,Stammdaten!A$50:C$54,2,FALSE)=0,1,(VLOOKUP(B517,Stammdaten!A$50:C$54,2,FALSE))),"")</f>
        <v/>
      </c>
      <c r="F518" s="1101"/>
      <c r="G518" s="545"/>
      <c r="H518" s="609"/>
      <c r="I518" s="372"/>
      <c r="L518" s="216"/>
      <c r="M518" s="1342" t="s">
        <v>864</v>
      </c>
      <c r="N518" s="2071" t="str">
        <f>IF(AND(E511=M514,F520=_Ja),B521,"")</f>
        <v/>
      </c>
      <c r="O518" s="2014"/>
      <c r="P518" s="2074" t="str">
        <f>IF(N518="","",E521)</f>
        <v/>
      </c>
      <c r="Q518" s="1951"/>
      <c r="R518" s="2073"/>
    </row>
    <row r="519" spans="1:18" ht="17.850000000000001" customHeight="1" x14ac:dyDescent="0.25">
      <c r="A519" s="2233" t="str">
        <f>A515</f>
        <v xml:space="preserve">  Basis für die Aufzahlung in % (siehe Pkt C0; KZ = 1, 2, 3 od. 4):  ↓</v>
      </c>
      <c r="B519" s="2234"/>
      <c r="C519" s="2234"/>
      <c r="D519" s="2234"/>
      <c r="E519" s="2235"/>
      <c r="F519" s="351">
        <v>1</v>
      </c>
      <c r="G519" s="546">
        <f>IF(F519=1,1,IF(F519=2,((' K3 Regie2'!O$23+' K3 Regie2'!O$24)/' K3 Regie2'!O$23),IF(F519&gt;2,((' K3 Regie2'!O$23+' K3 Regie2'!O$24+' K3 Regie2'!O$25)/' K3 Regie2'!O$23),"")))</f>
        <v>1</v>
      </c>
      <c r="H519" s="608" t="str">
        <f ca="1">IFERROR(IF(F516=$Q$31,(E517*E518*G519),""),"??")</f>
        <v>??</v>
      </c>
      <c r="I519" s="372"/>
      <c r="J519" s="2176" t="str">
        <f>IF(F516&lt;&gt;$Q$31,"",IF(AND(ISBLANK(F519),F516=$Q$31),"Kennzeichen setzen!",""))</f>
        <v/>
      </c>
      <c r="K519" s="2176"/>
      <c r="L519" s="360"/>
      <c r="M519" s="1342" t="s">
        <v>868</v>
      </c>
      <c r="N519" s="1342">
        <f>IF(AND(N517&lt;&gt;"",N518&lt;&gt;""),2,IF(N517&amp;N518="",0,1))</f>
        <v>0</v>
      </c>
      <c r="R519" s="1965"/>
    </row>
    <row r="520" spans="1:18" ht="17.850000000000001" customHeight="1" x14ac:dyDescent="0.25">
      <c r="A520" s="2321" t="s">
        <v>566</v>
      </c>
      <c r="B520" s="2322"/>
      <c r="C520" s="2322"/>
      <c r="D520" s="2322"/>
      <c r="E520" s="553" t="s">
        <v>378</v>
      </c>
      <c r="F520" s="524" t="s">
        <v>192</v>
      </c>
      <c r="G520" s="547"/>
      <c r="H520" s="610"/>
      <c r="I520" s="372" t="str">
        <f>IF(AND(E511=M514,F520=_Ja),"X","")</f>
        <v/>
      </c>
      <c r="J520" s="2176"/>
      <c r="K520" s="2176"/>
      <c r="L520" s="2177"/>
      <c r="M520" s="1967"/>
      <c r="N520" s="2075" t="str">
        <f>IF(N519=2," "&amp;N517&amp;" "&amp;", "&amp;N518,IF(N519=1," "&amp;N517&amp;N518,""))</f>
        <v/>
      </c>
      <c r="O520" s="2075"/>
      <c r="P520" s="1967"/>
      <c r="Q520" s="1967"/>
      <c r="R520" s="1974"/>
    </row>
    <row r="521" spans="1:18" ht="17.850000000000001" customHeight="1" x14ac:dyDescent="0.25">
      <c r="A521" s="552" t="s">
        <v>379</v>
      </c>
      <c r="B521" s="2123"/>
      <c r="C521" s="2123"/>
      <c r="D521" s="2123"/>
      <c r="E521" s="550" t="str">
        <f>IF(OR(ISBLANK(B521),F520=_Nein),"",IFERROR(VLOOKUP(B521,Stammdaten!A$57:C$61,2,FALSE),KALKULATION!$M$283))</f>
        <v/>
      </c>
      <c r="F521" s="551" t="s">
        <v>197</v>
      </c>
      <c r="G521" s="548">
        <f ca="1">' K3 Regie2'!$O$21</f>
        <v>20</v>
      </c>
      <c r="H521" s="611" t="str">
        <f ca="1">IFERROR(IF(F520=$Q$31,E521/G521,""),"??")</f>
        <v>??</v>
      </c>
      <c r="I521" s="372"/>
      <c r="J521" s="271" t="str">
        <f>IF(AND(F520=$Q$31,B521=""),"Eingabe unvollständig (ergänzen od Nein wählen)!","")</f>
        <v>Eingabe unvollständig (ergänzen od Nein wählen)!</v>
      </c>
      <c r="L521" s="216"/>
    </row>
    <row r="522" spans="1:18" ht="17.850000000000001" customHeight="1" x14ac:dyDescent="0.25">
      <c r="A522" s="2221" t="s">
        <v>391</v>
      </c>
      <c r="B522" s="2222"/>
      <c r="C522" s="2222"/>
      <c r="D522" s="2222"/>
      <c r="E522" s="373"/>
      <c r="F522" s="377">
        <f>IF(F516=$Q$31,B517,IF(F520=$Q$31,B521,""))</f>
        <v>0</v>
      </c>
      <c r="G522" s="377" t="str">
        <f ca="1">IF(F516=$Q$31,TEXT(H519,"0%"),IF(F520=$Q$31,TEXT(G521,"0,00€"),""))</f>
        <v>??</v>
      </c>
      <c r="H522" s="612">
        <f>IF(E511=M514,SUM(H512:H521),H511)</f>
        <v>0</v>
      </c>
      <c r="I522" s="639"/>
      <c r="L522" s="216"/>
    </row>
    <row r="523" spans="1:18" ht="17.850000000000001" customHeight="1" x14ac:dyDescent="0.25">
      <c r="A523" s="2199" t="str">
        <f>A$455</f>
        <v>Standardmäßig sind die Werte aus der Mittelpersonal-preiskalkulation (Blatt K3_PP) übernommen; sie sind überschreibbar.</v>
      </c>
      <c r="B523" s="2200"/>
      <c r="C523" s="2200"/>
      <c r="D523" s="2201"/>
      <c r="E523" s="2196" t="str">
        <f>E$455</f>
        <v xml:space="preserve">Standard-werte sind
</v>
      </c>
      <c r="F523" s="2196"/>
      <c r="G523" s="2196" t="str">
        <f>G$455</f>
        <v>Optional überschrei-ben mit:</v>
      </c>
      <c r="H523" s="2125" t="str">
        <f>H$455</f>
        <v>Übertrag in K3 Regie</v>
      </c>
      <c r="I523" s="639"/>
      <c r="L523" s="216"/>
    </row>
    <row r="524" spans="1:18" ht="17.850000000000001" customHeight="1" x14ac:dyDescent="0.25">
      <c r="A524" s="2202"/>
      <c r="B524" s="2203"/>
      <c r="C524" s="2203"/>
      <c r="D524" s="2204"/>
      <c r="E524" s="2197"/>
      <c r="F524" s="2197"/>
      <c r="G524" s="2197"/>
      <c r="H524" s="2126"/>
      <c r="I524" s="639"/>
      <c r="L524" s="216"/>
    </row>
    <row r="525" spans="1:18" ht="17.850000000000001" customHeight="1" thickBot="1" x14ac:dyDescent="0.3">
      <c r="A525" s="2205"/>
      <c r="B525" s="2206"/>
      <c r="C525" s="2206"/>
      <c r="D525" s="2207"/>
      <c r="E525" s="2198"/>
      <c r="F525" s="2198"/>
      <c r="G525" s="2198"/>
      <c r="H525" s="2127"/>
      <c r="I525" s="639"/>
      <c r="L525" s="216"/>
    </row>
    <row r="526" spans="1:18" ht="17.850000000000001" customHeight="1" thickTop="1" x14ac:dyDescent="0.25">
      <c r="A526" s="2221" t="s">
        <v>386</v>
      </c>
      <c r="B526" s="2222"/>
      <c r="C526" s="2222"/>
      <c r="D526" s="2306"/>
      <c r="E526" s="51">
        <f ca="1">$H$228</f>
        <v>1.4</v>
      </c>
      <c r="F526" s="1887">
        <f>H495/G495</f>
        <v>0</v>
      </c>
      <c r="G526" s="364"/>
      <c r="H526" s="361">
        <f ca="1">IF(ISBLANK(G526),E526*(1+F526),G526)</f>
        <v>1.4</v>
      </c>
      <c r="I526" s="372" t="str">
        <f>IF(ISBLANK(G526),"","X")</f>
        <v/>
      </c>
      <c r="L526" s="216"/>
    </row>
    <row r="527" spans="1:18" ht="17.850000000000001" customHeight="1" x14ac:dyDescent="0.25">
      <c r="A527" s="2134" t="s">
        <v>387</v>
      </c>
      <c r="B527" s="2135"/>
      <c r="C527" s="2135"/>
      <c r="D527" s="2136"/>
      <c r="E527" s="48">
        <f ca="1">IF(E506=M507,$G$227,$G$229)</f>
        <v>1.6</v>
      </c>
      <c r="F527" s="1888">
        <f>H495/G495</f>
        <v>0</v>
      </c>
      <c r="G527" s="341"/>
      <c r="H527" s="362">
        <f ca="1">IF(ISBLANK(G527),E527*(1+F527),G527)</f>
        <v>1.6</v>
      </c>
      <c r="I527" s="372" t="str">
        <f>IF(ISBLANK(G527),"","X")</f>
        <v/>
      </c>
      <c r="L527" s="216"/>
    </row>
    <row r="528" spans="1:18" ht="17.850000000000001" customHeight="1" x14ac:dyDescent="0.25">
      <c r="A528" s="2134" t="s">
        <v>388</v>
      </c>
      <c r="B528" s="2135"/>
      <c r="C528" s="2135"/>
      <c r="D528" s="2136"/>
      <c r="E528" s="157">
        <f ca="1">$H$236</f>
        <v>0.28999999999999998</v>
      </c>
      <c r="F528" s="156"/>
      <c r="G528" s="337"/>
      <c r="H528" s="363">
        <f ca="1">IF(ISBLANK(G528),E528,G528)</f>
        <v>0.28999999999999998</v>
      </c>
      <c r="I528" s="372" t="str">
        <f ca="1">IF(OR(G528&lt;&gt;0,E528&lt;&gt;H528),"X","")</f>
        <v/>
      </c>
      <c r="J528" s="2293" t="str">
        <f>IF(G528="","","Hinweis: DPNK lassen sich genau bestimmen/nachrechnen!")</f>
        <v/>
      </c>
      <c r="K528" s="2293"/>
      <c r="L528" s="2294"/>
    </row>
    <row r="529" spans="1:20" ht="17.850000000000001" customHeight="1" x14ac:dyDescent="0.25">
      <c r="A529" s="2134" t="s">
        <v>389</v>
      </c>
      <c r="B529" s="2135"/>
      <c r="C529" s="2135"/>
      <c r="D529" s="2136"/>
      <c r="E529" s="157">
        <f ca="1">$H$265</f>
        <v>0.77</v>
      </c>
      <c r="F529" s="156"/>
      <c r="G529" s="337"/>
      <c r="H529" s="363">
        <f ca="1">IF(ISBLANK(G529),E529,G529)</f>
        <v>0.77</v>
      </c>
      <c r="I529" s="372" t="str">
        <f ca="1">IF(OR(G529&lt;&gt;0,E529&lt;&gt;H529),"X","")</f>
        <v/>
      </c>
      <c r="L529" s="216"/>
    </row>
    <row r="530" spans="1:20" ht="17.850000000000001" customHeight="1" x14ac:dyDescent="0.25">
      <c r="A530" s="2134" t="s">
        <v>390</v>
      </c>
      <c r="B530" s="2135"/>
      <c r="C530" s="2135"/>
      <c r="D530" s="2136"/>
      <c r="E530" s="48">
        <f ca="1">H$276</f>
        <v>7.0000000000000007E-2</v>
      </c>
      <c r="F530" s="156"/>
      <c r="G530" s="567"/>
      <c r="H530" s="362">
        <f ca="1">IF(ISBLANK(G530),E530,G530)</f>
        <v>7.0000000000000007E-2</v>
      </c>
      <c r="I530" s="372" t="str">
        <f ca="1">IF(OR(G530&lt;&gt;0,E530&lt;&gt;H530),"X","")</f>
        <v/>
      </c>
      <c r="L530" s="216"/>
    </row>
    <row r="531" spans="1:20" ht="17.850000000000001" customHeight="1" x14ac:dyDescent="0.25">
      <c r="A531" s="2134" t="s">
        <v>773</v>
      </c>
      <c r="B531" s="2136"/>
      <c r="C531" s="199">
        <f>$E$306</f>
        <v>0.06</v>
      </c>
      <c r="D531" s="48">
        <f ca="1">$F$307</f>
        <v>2.2599999999999998</v>
      </c>
      <c r="E531" s="338"/>
      <c r="F531" s="364"/>
      <c r="G531" s="363">
        <f>IF(ISBLANK(E531),C531,E531)</f>
        <v>0.06</v>
      </c>
      <c r="H531" s="361">
        <f ca="1">IF(ISBLANK(F531),D531,F531)</f>
        <v>2.2599999999999998</v>
      </c>
      <c r="I531" s="372" t="str">
        <f>IF(OR(F531&lt;&gt;0,E531&lt;&gt;0),"X","")</f>
        <v/>
      </c>
      <c r="L531" s="216"/>
    </row>
    <row r="532" spans="1:20" ht="17.850000000000001" customHeight="1" x14ac:dyDescent="0.25">
      <c r="A532" s="2142" t="str">
        <f ca="1">"R5)"&amp;IF($G$327=0," Keine Umlagen unter Pkt H1 bzw H2 angelgt!"," Umlagen (K3 Spalte A)")</f>
        <v>R5) Umlagen (K3 Spalte A)</v>
      </c>
      <c r="B532" s="2143"/>
      <c r="C532" s="2143"/>
      <c r="D532" s="2143"/>
      <c r="E532" s="2143"/>
      <c r="F532" s="2143"/>
      <c r="G532" s="2143"/>
      <c r="H532" s="2143"/>
      <c r="I532" s="639"/>
      <c r="L532" s="216"/>
    </row>
    <row r="533" spans="1:20" ht="17.850000000000001" customHeight="1" thickBot="1" x14ac:dyDescent="0.3">
      <c r="A533" s="2314" t="s">
        <v>562</v>
      </c>
      <c r="B533" s="2315"/>
      <c r="C533" s="2315"/>
      <c r="D533" s="2315"/>
      <c r="E533" s="523" t="str">
        <f ca="1">IF(SUM(F534:G536)&lt;&gt;$H$327,"!","")</f>
        <v>!</v>
      </c>
      <c r="F533" s="715" t="s">
        <v>69</v>
      </c>
      <c r="G533" s="747" t="s">
        <v>673</v>
      </c>
      <c r="H533" s="1008">
        <f ca="1">' K3 Regie2'!O33</f>
        <v>51.94</v>
      </c>
      <c r="I533" s="639"/>
      <c r="J533" s="2319" t="str">
        <f ca="1">IF(E533="!","Hinweis: Es sind nicht alle oder andere Umlagen wie oben (Pkt H) für K3 ausgewählt! Berechnung erfolgt mit den hier ausgewählten Umlagen.","")</f>
        <v>Hinweis: Es sind nicht alle oder andere Umlagen wie oben (Pkt H) für K3 ausgewählt! Berechnung erfolgt mit den hier ausgewählten Umlagen.</v>
      </c>
      <c r="K533" s="2319"/>
      <c r="L533" s="2320"/>
    </row>
    <row r="534" spans="1:20" ht="17.850000000000001" customHeight="1" thickTop="1" x14ac:dyDescent="0.25">
      <c r="A534" s="2370"/>
      <c r="B534" s="2370"/>
      <c r="C534" s="2370"/>
      <c r="D534" s="2370"/>
      <c r="E534" s="2370"/>
      <c r="F534" s="85" t="str">
        <f>IF(A534="","",IFERROR(VLOOKUP(A534,A$329:E$333,2,FALSE),KALKULATION!$M$283))</f>
        <v/>
      </c>
      <c r="G534" s="158" t="str">
        <f>IF(A534="","",IFERROR(VLOOKUP(A534,A$329:E$333,3,FALSE),""))</f>
        <v/>
      </c>
      <c r="H534" s="85" t="str">
        <f>IF(OR(G534="",G534=0),"",G534*H$533)</f>
        <v/>
      </c>
      <c r="I534" s="639"/>
      <c r="J534" s="2319"/>
      <c r="K534" s="2319"/>
      <c r="L534" s="2320"/>
    </row>
    <row r="535" spans="1:20" ht="17.850000000000001" customHeight="1" x14ac:dyDescent="0.25">
      <c r="A535" s="2265"/>
      <c r="B535" s="2265"/>
      <c r="C535" s="2265"/>
      <c r="D535" s="2265"/>
      <c r="E535" s="2265"/>
      <c r="F535" s="85" t="str">
        <f>IF(A535="","",IFERROR(VLOOKUP(A535,A$329:E$333,2,FALSE),KALKULATION!$M$283))</f>
        <v/>
      </c>
      <c r="G535" s="158" t="str">
        <f t="shared" ref="G535:G536" si="51">IF(A535="","",IFERROR(VLOOKUP(A535,A$329:E$333,3,FALSE),""))</f>
        <v/>
      </c>
      <c r="H535" s="85" t="str">
        <f t="shared" ref="H535:H536" si="52">IF(OR(G535="",G535=0),"",G535*H$533)</f>
        <v/>
      </c>
      <c r="I535" s="639"/>
      <c r="J535" s="2319"/>
      <c r="K535" s="2319"/>
      <c r="L535" s="2320"/>
      <c r="M535" s="2076" t="s">
        <v>643</v>
      </c>
      <c r="N535" s="2076" t="str">
        <f>$A$413&amp;" gesamt"</f>
        <v>Regielohnpreis gesamt</v>
      </c>
      <c r="O535" s="2076"/>
      <c r="P535" s="2077"/>
    </row>
    <row r="536" spans="1:20" ht="17.850000000000001" customHeight="1" x14ac:dyDescent="0.25">
      <c r="A536" s="2265"/>
      <c r="B536" s="2265"/>
      <c r="C536" s="2265"/>
      <c r="D536" s="2265"/>
      <c r="E536" s="2265"/>
      <c r="F536" s="84" t="str">
        <f>IF(A536="","",IFERROR(VLOOKUP(A536,A$329:E$333,2,FALSE),KALKULATION!$M$283))</f>
        <v/>
      </c>
      <c r="G536" s="50" t="str">
        <f t="shared" si="51"/>
        <v/>
      </c>
      <c r="H536" s="84" t="str">
        <f t="shared" si="52"/>
        <v/>
      </c>
      <c r="I536" s="639"/>
      <c r="L536" s="216"/>
      <c r="M536" s="2076" t="s">
        <v>414</v>
      </c>
      <c r="N536" s="2076" t="str">
        <f>IF(A489="","",A489)</f>
        <v>IIb.   Facharbeiter</v>
      </c>
      <c r="O536" s="2078"/>
      <c r="P536" s="2079"/>
    </row>
    <row r="537" spans="1:20" ht="17.850000000000001" customHeight="1" x14ac:dyDescent="0.25">
      <c r="A537" s="2180" t="str">
        <f>IF(SUM(F534:H536)=0,"R5.b) GZ auf UMLAGEN - keine Umlagen ausgewählt (oder in Pkt H1 angelegt)","R5.b) GZ auf UMLAGEN")</f>
        <v>R5.b) GZ auf UMLAGEN - keine Umlagen ausgewählt (oder in Pkt H1 angelegt)</v>
      </c>
      <c r="B537" s="2181"/>
      <c r="C537" s="2181"/>
      <c r="D537" s="2181"/>
      <c r="E537" s="2181"/>
      <c r="F537" s="2182"/>
      <c r="G537" s="2182"/>
      <c r="H537" s="2181"/>
      <c r="I537" s="639"/>
      <c r="L537" s="216"/>
      <c r="M537" s="2080" t="s">
        <v>723</v>
      </c>
      <c r="N537" s="2080" t="str">
        <f>IF(C546="","",C546)</f>
        <v/>
      </c>
      <c r="O537" s="2076"/>
      <c r="P537" s="2077"/>
    </row>
    <row r="538" spans="1:20" ht="17.850000000000001" customHeight="1" x14ac:dyDescent="0.25">
      <c r="A538" s="392" t="s">
        <v>561</v>
      </c>
      <c r="B538" s="373"/>
      <c r="C538" s="373"/>
      <c r="D538" s="2137"/>
      <c r="E538" s="2138"/>
      <c r="F538" s="2139"/>
      <c r="G538" s="199" t="str">
        <f>IF(D538="","",IFERROR(VLOOKUP(D538,'K2 GZ'!I$25:M$32,5,FALSE),KALKULATION!$M$283))</f>
        <v/>
      </c>
      <c r="H538" s="1009" t="str">
        <f ca="1">IF($G$327=0,"",IF(G538=KALKULATION!$M$283,"",IF(SUM(F534:H536)=0,"",IF(D538="",$G$346,G538))))</f>
        <v/>
      </c>
      <c r="I538" s="372" t="str">
        <f>IF(AND(D538&lt;&gt;"",SUM(F534:H536)&lt;&gt;0),"X","")</f>
        <v/>
      </c>
      <c r="J538" s="2178" t="str">
        <f ca="1">IF(G538=KALKULATION!$M$283,"Auswahl erneut vornehmen (ungült. Verweis)/Text löschen!",IF(AND(H538="",SUM(F534:G536)&lt;&gt;0),"GZ fehlt oder gleich 0!)",""))</f>
        <v/>
      </c>
      <c r="K538" s="2178"/>
      <c r="L538" s="2179"/>
      <c r="M538" s="2080" t="s">
        <v>724</v>
      </c>
      <c r="N538" s="2080" t="str">
        <f>IF(N537=""," für ["&amp;N536&amp;"]"," für ["&amp;N537&amp;"]")</f>
        <v xml:space="preserve"> für [IIb.   Facharbeiter]</v>
      </c>
      <c r="O538" s="2080"/>
      <c r="P538" s="2080" t="str">
        <f>IF(N537="",""," für ["&amp;N537&amp;" | "&amp;N536&amp;"]")</f>
        <v/>
      </c>
    </row>
    <row r="539" spans="1:20" ht="17.850000000000001" customHeight="1" x14ac:dyDescent="0.25">
      <c r="A539" s="2330"/>
      <c r="B539" s="2331"/>
      <c r="C539" s="2331"/>
      <c r="D539" s="2331"/>
      <c r="E539" s="2331"/>
      <c r="F539" s="2331"/>
      <c r="G539" s="2331"/>
      <c r="H539" s="2331"/>
      <c r="I539" s="372"/>
      <c r="L539" s="216"/>
      <c r="M539" s="2080" t="s">
        <v>641</v>
      </c>
      <c r="N539" s="2081" t="str">
        <f ca="1">IF(AND(E511=M514,H515&lt;&gt;"")," als ["&amp;B513&amp;TEXT(E513," (0%)")&amp;"]",IF(E511=M512," mit [Ø Zuschlag gem K3 Mittelpersonalpreis Z 8]",IF(E511=M513," mit [Aufzahlung pro Std gem K3 Mittelpersonalpreis]","")))</f>
        <v/>
      </c>
      <c r="O539" s="2080"/>
      <c r="P539" s="2082"/>
    </row>
    <row r="540" spans="1:20" ht="17.850000000000001" customHeight="1" x14ac:dyDescent="0.25">
      <c r="A540" s="2180" t="str">
        <f>A$472</f>
        <v>R6) GZ auf PERSONALKOSTEN (K3 Spalte B)</v>
      </c>
      <c r="B540" s="2181"/>
      <c r="C540" s="2181"/>
      <c r="D540" s="2181"/>
      <c r="E540" s="2181"/>
      <c r="F540" s="2181"/>
      <c r="G540" s="2181"/>
      <c r="H540" s="2181"/>
      <c r="I540" s="637"/>
      <c r="L540" s="216"/>
      <c r="M540" s="2083" t="s">
        <v>642</v>
      </c>
      <c r="N540" s="2084" t="str">
        <f>IF(N520="",""," in ["&amp;N520&amp;"]")</f>
        <v/>
      </c>
      <c r="O540" s="2083"/>
      <c r="P540" s="2085"/>
    </row>
    <row r="541" spans="1:20" ht="17.850000000000001" customHeight="1" x14ac:dyDescent="0.25">
      <c r="A541" s="392" t="s">
        <v>561</v>
      </c>
      <c r="B541" s="373"/>
      <c r="C541" s="373"/>
      <c r="D541" s="2137"/>
      <c r="E541" s="2138"/>
      <c r="F541" s="2139"/>
      <c r="G541" s="199" t="str">
        <f>IF(D541="","",IFERROR(VLOOKUP(D541,'K2 GZ'!I$25:M$32,5,FALSE),KALKULATION!$M$283))</f>
        <v/>
      </c>
      <c r="H541" s="1009">
        <f>IF(G541=KALKULATION!$M$283,"",IF(D541="",$G$345,G541))</f>
        <v>0.28999999999999998</v>
      </c>
      <c r="I541" s="372" t="str">
        <f>IF(D541&lt;&gt;"","X","")</f>
        <v/>
      </c>
      <c r="J541" s="2178" t="str">
        <f>IF(G541=KALKULATION!$M$283,"Auswahl erneut vornehmen (ungültiger Verweis)!",IF(H541=KALKULATION!$M$283,"GZ aus K2-Blatt wählen!",""))</f>
        <v/>
      </c>
      <c r="K541" s="2178"/>
      <c r="L541" s="2179"/>
      <c r="M541" s="2080"/>
      <c r="N541" s="2086"/>
      <c r="O541" s="2080"/>
      <c r="P541" s="2082"/>
    </row>
    <row r="542" spans="1:20" ht="20.100000000000001" customHeight="1" x14ac:dyDescent="0.25">
      <c r="A542" s="1191" t="s">
        <v>394</v>
      </c>
      <c r="B542" s="633"/>
      <c r="C542" s="2423" t="str">
        <f>D504</f>
        <v>IIb.   Facharbeiter</v>
      </c>
      <c r="D542" s="2423"/>
      <c r="E542" s="2423"/>
      <c r="F542" s="634" t="s">
        <v>259</v>
      </c>
      <c r="G542" s="635">
        <f ca="1">H542/D489-1</f>
        <v>2.6987999999999999</v>
      </c>
      <c r="H542" s="842">
        <f ca="1">IFERROR(' K3 Regie2'!N$45,"??")</f>
        <v>73.94</v>
      </c>
      <c r="I542" s="637"/>
      <c r="J542" s="47"/>
      <c r="K542" s="47"/>
      <c r="L542" s="594"/>
      <c r="M542" s="2078"/>
      <c r="N542" s="2087"/>
      <c r="O542" s="2078"/>
      <c r="P542" s="2079"/>
      <c r="Q542" s="2016"/>
      <c r="R542" s="2419"/>
      <c r="S542" s="2419"/>
      <c r="T542" s="2419"/>
    </row>
    <row r="543" spans="1:20" ht="17.850000000000001" customHeight="1" x14ac:dyDescent="0.25">
      <c r="A543" s="2116" t="s">
        <v>714</v>
      </c>
      <c r="B543" s="2267"/>
      <c r="C543" s="2191" t="str">
        <f>IFERROR(VLOOKUP(A545,M544:N550,2,FALSE),KALKULATION!$M$283)</f>
        <v>Regielohnpreis gesamt für [IIb.   Facharbeiter]</v>
      </c>
      <c r="D543" s="2191"/>
      <c r="E543" s="2191"/>
      <c r="F543" s="2191"/>
      <c r="G543" s="2191"/>
      <c r="H543" s="2191"/>
      <c r="I543" s="637"/>
      <c r="J543" s="2326" t="str">
        <f ca="1">IF(OR(H541&lt;Report!$G$13,KALKULATION!H541&gt;Report!$F$13,AND(SUM(KALKULATION!F534:H536)&lt;&gt;0,OR(H538&lt;Report!$G$13,KALKULATION!H538&gt;Report!$F$13))),"Hinweis: GZ in R5.b oder R6 liegt außerhalb der empfohlenen Grenzwerte gem Blatt REPORT!","")</f>
        <v/>
      </c>
      <c r="K543" s="2326"/>
      <c r="L543" s="2327"/>
      <c r="M543" s="2088" t="s">
        <v>679</v>
      </c>
      <c r="N543" s="2088"/>
      <c r="Q543" s="2016"/>
      <c r="R543" s="2090"/>
      <c r="S543" s="2090"/>
      <c r="T543" s="2090"/>
    </row>
    <row r="544" spans="1:20" ht="17.850000000000001" customHeight="1" x14ac:dyDescent="0.25">
      <c r="A544" s="2268"/>
      <c r="B544" s="2269"/>
      <c r="C544" s="2193"/>
      <c r="D544" s="2193"/>
      <c r="E544" s="2193"/>
      <c r="F544" s="2193"/>
      <c r="G544" s="2193"/>
      <c r="H544" s="2193"/>
      <c r="I544" s="637"/>
      <c r="J544" s="2328"/>
      <c r="K544" s="2328"/>
      <c r="L544" s="2329"/>
      <c r="M544" s="2088" t="s">
        <v>717</v>
      </c>
      <c r="N544" s="2088" t="str">
        <f>N535</f>
        <v>Regielohnpreis gesamt</v>
      </c>
      <c r="Q544" s="2016"/>
      <c r="R544" s="2090"/>
      <c r="S544" s="2090"/>
      <c r="T544" s="2090"/>
    </row>
    <row r="545" spans="1:20" ht="17.850000000000001" customHeight="1" x14ac:dyDescent="0.25">
      <c r="A545" s="2270" t="s">
        <v>718</v>
      </c>
      <c r="B545" s="2271"/>
      <c r="C545" s="2195"/>
      <c r="D545" s="2195"/>
      <c r="E545" s="2195"/>
      <c r="F545" s="2195"/>
      <c r="G545" s="2195"/>
      <c r="H545" s="2195"/>
      <c r="I545" s="637"/>
      <c r="L545" s="216"/>
      <c r="M545" s="2088" t="s">
        <v>718</v>
      </c>
      <c r="N545" s="2088" t="str">
        <f>N535&amp;N538</f>
        <v>Regielohnpreis gesamt für [IIb.   Facharbeiter]</v>
      </c>
      <c r="Q545" s="2016"/>
      <c r="R545" s="2090"/>
      <c r="S545" s="2090"/>
      <c r="T545" s="2090"/>
    </row>
    <row r="546" spans="1:20" ht="17.850000000000001" customHeight="1" x14ac:dyDescent="0.25">
      <c r="A546" s="2116" t="str">
        <f>A$478</f>
        <v>Bezeichnung zusätzlich:</v>
      </c>
      <c r="B546" s="2267"/>
      <c r="C546" s="2274"/>
      <c r="D546" s="2275"/>
      <c r="E546" s="2275"/>
      <c r="F546" s="2275"/>
      <c r="G546" s="2275"/>
      <c r="H546" s="2275"/>
      <c r="I546" s="637"/>
      <c r="L546" s="216"/>
      <c r="M546" s="2088" t="s">
        <v>719</v>
      </c>
      <c r="N546" s="2088" t="str">
        <f>N535&amp;P538</f>
        <v>Regielohnpreis gesamt</v>
      </c>
      <c r="Q546" s="2016"/>
      <c r="R546" s="2090"/>
      <c r="S546" s="2090"/>
      <c r="T546" s="2090"/>
    </row>
    <row r="547" spans="1:20" ht="17.850000000000001" customHeight="1" x14ac:dyDescent="0.25">
      <c r="A547" s="2116" t="str">
        <f>A$479</f>
        <v>Individuelle Bezeichnung für Wahl in R7.a:</v>
      </c>
      <c r="B547" s="2272"/>
      <c r="C547" s="2276"/>
      <c r="D547" s="2276"/>
      <c r="E547" s="2276"/>
      <c r="F547" s="2276"/>
      <c r="G547" s="2276"/>
      <c r="H547" s="2276"/>
      <c r="I547" s="637"/>
      <c r="L547" s="216"/>
      <c r="M547" s="2088" t="s">
        <v>720</v>
      </c>
      <c r="N547" s="2088" t="str">
        <f ca="1">N544&amp;N539&amp;N540</f>
        <v>Regielohnpreis gesamt</v>
      </c>
      <c r="Q547" s="2016"/>
      <c r="R547" s="2090"/>
      <c r="S547" s="2090"/>
      <c r="T547" s="2090"/>
    </row>
    <row r="548" spans="1:20" ht="17.850000000000001" customHeight="1" x14ac:dyDescent="0.25">
      <c r="A548" s="2268"/>
      <c r="B548" s="2273"/>
      <c r="C548" s="2123"/>
      <c r="D548" s="2123"/>
      <c r="E548" s="2123"/>
      <c r="F548" s="2123"/>
      <c r="G548" s="2123"/>
      <c r="H548" s="2123"/>
      <c r="I548" s="637"/>
      <c r="L548" s="216"/>
      <c r="M548" s="2088" t="s">
        <v>721</v>
      </c>
      <c r="N548" s="2088" t="str">
        <f ca="1">N545&amp;N539&amp;N540</f>
        <v>Regielohnpreis gesamt für [IIb.   Facharbeiter]</v>
      </c>
      <c r="Q548" s="2016"/>
      <c r="R548" s="2090"/>
      <c r="S548" s="2090"/>
      <c r="T548" s="2090"/>
    </row>
    <row r="549" spans="1:20" ht="17.850000000000001" customHeight="1" x14ac:dyDescent="0.25">
      <c r="A549" s="1191"/>
      <c r="B549" s="633"/>
      <c r="C549" s="723"/>
      <c r="D549" s="723"/>
      <c r="E549" s="723"/>
      <c r="F549" s="634"/>
      <c r="G549" s="635"/>
      <c r="H549" s="636"/>
      <c r="I549" s="637"/>
      <c r="L549" s="216"/>
      <c r="M549" s="2088" t="s">
        <v>722</v>
      </c>
      <c r="N549" s="2088" t="str">
        <f ca="1">N546&amp;N539&amp;N540</f>
        <v>Regielohnpreis gesamt</v>
      </c>
      <c r="Q549" s="2016"/>
      <c r="R549" s="2090"/>
      <c r="S549" s="2090"/>
      <c r="T549" s="2090"/>
    </row>
    <row r="550" spans="1:20" ht="17.850000000000001" customHeight="1" x14ac:dyDescent="0.25">
      <c r="A550" s="2116" t="s">
        <v>672</v>
      </c>
      <c r="B550" s="2118"/>
      <c r="C550" s="2119"/>
      <c r="D550" s="2119"/>
      <c r="E550" s="2119"/>
      <c r="F550" s="2119"/>
      <c r="G550" s="2119"/>
      <c r="H550" s="2119"/>
      <c r="I550" s="2119"/>
      <c r="L550" s="216"/>
      <c r="M550" s="2088" t="s">
        <v>716</v>
      </c>
      <c r="N550" s="2088" t="str">
        <f>IF(C547="","",C547)</f>
        <v/>
      </c>
      <c r="Q550" s="2016"/>
      <c r="R550" s="2090"/>
      <c r="S550" s="2090"/>
      <c r="T550" s="2090"/>
    </row>
    <row r="551" spans="1:20" ht="17.850000000000001" customHeight="1" x14ac:dyDescent="0.25">
      <c r="A551" s="2117"/>
      <c r="B551" s="2120"/>
      <c r="C551" s="2121"/>
      <c r="D551" s="2121"/>
      <c r="E551" s="2121"/>
      <c r="F551" s="2121"/>
      <c r="G551" s="2121"/>
      <c r="H551" s="2121"/>
      <c r="I551" s="2121"/>
      <c r="J551" s="47"/>
      <c r="K551" s="47"/>
      <c r="L551" s="594"/>
      <c r="M551" s="2016"/>
      <c r="N551" s="2016"/>
      <c r="O551" s="2016"/>
      <c r="P551" s="2016"/>
      <c r="Q551" s="2016"/>
      <c r="R551" s="2090"/>
      <c r="S551" s="2090"/>
      <c r="T551" s="2090"/>
    </row>
    <row r="552" spans="1:20" ht="17.850000000000001" customHeight="1" x14ac:dyDescent="0.25">
      <c r="A552" s="2286"/>
      <c r="B552" s="2286"/>
      <c r="C552" s="2286"/>
      <c r="D552" s="2286"/>
      <c r="E552" s="2286"/>
      <c r="F552" s="2286"/>
      <c r="G552" s="2286"/>
      <c r="H552" s="2286"/>
      <c r="I552" s="2286"/>
      <c r="L552" s="216"/>
      <c r="M552" s="2016"/>
      <c r="N552" s="2016"/>
      <c r="O552" s="2016"/>
      <c r="P552" s="2016"/>
    </row>
    <row r="553" spans="1:20" ht="25.15" customHeight="1" x14ac:dyDescent="0.35">
      <c r="A553" s="2291" t="str">
        <f ca="1">$A$413&amp;" 3"&amp;IF(A557=""," [keine Beschäftigungsgruppe ausgewählt]",IF(D557=KALKULATION!$M$283," - [nicht vorhandene Beschäftigungsgruppe]"," - kalkuliert für ["&amp;LEFT(A557,40)&amp;"]"))</f>
        <v>Regielohnpreis 3 - kalkuliert für [IV.   Bauhilfsarbeiter]</v>
      </c>
      <c r="B553" s="2292"/>
      <c r="C553" s="2292"/>
      <c r="D553" s="2292"/>
      <c r="E553" s="2292"/>
      <c r="F553" s="2292"/>
      <c r="G553" s="2292"/>
      <c r="H553" s="2292"/>
      <c r="I553" s="1219"/>
      <c r="J553" s="59"/>
      <c r="K553" s="59"/>
      <c r="L553" s="593"/>
    </row>
    <row r="554" spans="1:20" ht="17.850000000000001" customHeight="1" x14ac:dyDescent="0.25">
      <c r="A554" s="2116" t="s">
        <v>533</v>
      </c>
      <c r="B554" s="2403"/>
      <c r="C554" s="2404"/>
      <c r="D554" s="2384" t="s">
        <v>938</v>
      </c>
      <c r="E554" s="2385"/>
      <c r="F554" s="2385"/>
      <c r="G554" s="2385"/>
      <c r="H554" s="2385"/>
      <c r="I554" s="627"/>
      <c r="L554" s="216"/>
    </row>
    <row r="555" spans="1:20" ht="17.850000000000001" customHeight="1" x14ac:dyDescent="0.25">
      <c r="A555" s="2405"/>
      <c r="B555" s="2406"/>
      <c r="C555" s="2407"/>
      <c r="D555" s="2386"/>
      <c r="E555" s="2387"/>
      <c r="F555" s="2387"/>
      <c r="G555" s="2387"/>
      <c r="H555" s="2387"/>
      <c r="I555" s="627"/>
      <c r="L555" s="216"/>
    </row>
    <row r="556" spans="1:20" ht="17.850000000000001" customHeight="1" thickBot="1" x14ac:dyDescent="0.3">
      <c r="A556" s="2266" t="s">
        <v>380</v>
      </c>
      <c r="B556" s="2266"/>
      <c r="C556" s="2266"/>
      <c r="D556" s="2266"/>
      <c r="E556" s="715" t="s">
        <v>18</v>
      </c>
      <c r="F556" s="715" t="s">
        <v>68</v>
      </c>
      <c r="G556" s="1011" t="s">
        <v>72</v>
      </c>
      <c r="H556" s="1120" t="s">
        <v>73</v>
      </c>
      <c r="I556" s="627"/>
      <c r="L556" s="216"/>
    </row>
    <row r="557" spans="1:20" ht="17.850000000000001" customHeight="1" thickTop="1" thickBot="1" x14ac:dyDescent="0.3">
      <c r="A557" s="2214" t="s">
        <v>1136</v>
      </c>
      <c r="B557" s="2215"/>
      <c r="C557" s="2216"/>
      <c r="D557" s="51">
        <f ca="1">IFERROR(VLOOKUP(A557,Stammdaten!A$7:D$33,4,FALSE),KALKULATION!$M$283)</f>
        <v>17.03</v>
      </c>
      <c r="E557" s="520">
        <v>1</v>
      </c>
      <c r="F557" s="521">
        <v>1</v>
      </c>
      <c r="G557" s="349">
        <f ca="1">IFERROR(VLOOKUP(A557,Stammdaten!A$7:F$33,4,FALSE)*F557,"")</f>
        <v>17.03</v>
      </c>
      <c r="H557" s="522">
        <f ca="1">IFERROR(VLOOKUP(A557,Stammdaten!A$7:F$33,6,FALSE)*F557,"")</f>
        <v>2.5499999999999998</v>
      </c>
      <c r="I557" s="627"/>
      <c r="J557" s="2178" t="str">
        <f ca="1">IF(D557=KALKULATION!$M$283,"Auswahl erneut vornehmen (ungültiger Verweis)!","")</f>
        <v/>
      </c>
      <c r="K557" s="2178"/>
      <c r="L557" s="2179"/>
    </row>
    <row r="558" spans="1:20" ht="17.850000000000001" customHeight="1" x14ac:dyDescent="0.25">
      <c r="A558" s="2323" t="s">
        <v>92</v>
      </c>
      <c r="B558" s="2324"/>
      <c r="C558" s="2324"/>
      <c r="D558" s="2325"/>
      <c r="E558" s="49">
        <f>E557</f>
        <v>1</v>
      </c>
      <c r="F558" s="50">
        <v>1</v>
      </c>
      <c r="G558" s="51">
        <f ca="1">IF(AND(_OK?="OK!",_OK_KV?="OK_KV!"),SUM(G557),ROUNDUP(G557,0))</f>
        <v>18</v>
      </c>
      <c r="H558" s="84">
        <f ca="1">SUM(H557:H557)</f>
        <v>2.5499999999999998</v>
      </c>
      <c r="I558" s="628" t="str">
        <f ca="1">IF(OR(_OK?&lt;&gt;"OK!",_OK_KV?&lt;&gt;"OK_KV!"),"X","")</f>
        <v>X</v>
      </c>
      <c r="J558" s="1112"/>
      <c r="K558" s="1112"/>
      <c r="L558" s="270"/>
    </row>
    <row r="559" spans="1:20" ht="17.850000000000001" customHeight="1" x14ac:dyDescent="0.25">
      <c r="A559" s="2142" t="s">
        <v>895</v>
      </c>
      <c r="B559" s="2143"/>
      <c r="C559" s="2143"/>
      <c r="D559" s="2143"/>
      <c r="E559" s="2143"/>
      <c r="F559" s="2143"/>
      <c r="G559" s="2143"/>
      <c r="H559" s="2143"/>
      <c r="I559" s="627"/>
      <c r="J559" s="1112"/>
      <c r="K559" s="1112"/>
      <c r="L559" s="216"/>
    </row>
    <row r="560" spans="1:20" ht="17.850000000000001" customHeight="1" thickBot="1" x14ac:dyDescent="0.3">
      <c r="A560" s="2395"/>
      <c r="B560" s="2396"/>
      <c r="C560" s="2397"/>
      <c r="D560" s="60">
        <f ca="1">IFERROR(VLOOKUP(A560,Stammdaten!A$7:D$33,4,FALSE),KALKULATION!$M$283)</f>
        <v>0</v>
      </c>
      <c r="E560" s="359"/>
      <c r="F560" s="53" t="str">
        <f>IFERROR(IF(A560&lt;&gt;"",E560/E561,""),"")</f>
        <v/>
      </c>
      <c r="G560" s="60" t="str">
        <f ca="1">IFERROR(VLOOKUP(A560,Stammdaten!A$7:F$33,4,FALSE)*F560,"")</f>
        <v/>
      </c>
      <c r="H560" s="571" t="str">
        <f ca="1">IFERROR(VLOOKUP(A560,Stammdaten!A$7:F$33,6,FALSE)*F560,"")</f>
        <v/>
      </c>
      <c r="I560" s="629"/>
      <c r="J560" s="2178" t="str">
        <f ca="1">IF(OR(COUNTA(A560,E560)=2,COUNTA(A560,E560)=0),IF(D560=KALKULATION!$M$283,"Auswahl erneut vornehmen (ungültiger Verweis)!",""),"Eingabe unvollständig (ergänzen oder löschen)!")</f>
        <v/>
      </c>
      <c r="K560" s="2178"/>
      <c r="L560" s="2179"/>
    </row>
    <row r="561" spans="1:14" ht="17.850000000000001" customHeight="1" x14ac:dyDescent="0.25">
      <c r="A561" s="392" t="s">
        <v>92</v>
      </c>
      <c r="B561" s="373"/>
      <c r="C561" s="373"/>
      <c r="D561" s="212"/>
      <c r="E561" s="64">
        <f>SUM(E560:E560)</f>
        <v>0</v>
      </c>
      <c r="F561" s="50">
        <f>SUM(F560:F560)</f>
        <v>0</v>
      </c>
      <c r="G561" s="51">
        <f ca="1">SUM(G560:G560)</f>
        <v>0</v>
      </c>
      <c r="H561" s="84">
        <f ca="1">SUM(H560:H560)</f>
        <v>0</v>
      </c>
      <c r="I561" s="627"/>
      <c r="J561" s="2178" t="str">
        <f ca="1">IF(E561&gt;=E558,"Unzulässige Umlage (R2 größer/gleich R1)!!!",IF(AND(E561&lt;&gt;0,G558=0),"Beschäftigungsgruppe in R1 wählen!",""))</f>
        <v/>
      </c>
      <c r="K561" s="2178"/>
      <c r="L561" s="2179"/>
    </row>
    <row r="562" spans="1:14" ht="17.850000000000001" customHeight="1" x14ac:dyDescent="0.25">
      <c r="A562" s="2134" t="s">
        <v>699</v>
      </c>
      <c r="B562" s="2135"/>
      <c r="C562" s="2135"/>
      <c r="D562" s="2135"/>
      <c r="E562" s="2135"/>
      <c r="F562" s="2135"/>
      <c r="G562" s="2135"/>
      <c r="H562" s="572">
        <v>0</v>
      </c>
      <c r="I562" s="630"/>
      <c r="J562" s="2176" t="str">
        <f>IF(AND(ISBLANK(H562),E561&lt;&gt;0),"Kennzeichen eingeben! Es sind unprod. Zeiten kalkuliert.","")</f>
        <v/>
      </c>
      <c r="K562" s="2176"/>
      <c r="L562" s="2177"/>
    </row>
    <row r="563" spans="1:14" ht="17.850000000000001" customHeight="1" x14ac:dyDescent="0.25">
      <c r="A563" s="2287" t="str">
        <f>IFERROR("Info: Kalk. 'Regiestunde' ist zu "&amp;TEXT(G563,"0,0")&amp;" Std prod. und "&amp;TEXT(H563,"0,0")&amp;" Std unproduktiv ("&amp;TEXT(H563/G563,"0,0%")&amp;")","Unzulässige Division durch 0 - Berechnung kann nicht fortgesetzt werden!")</f>
        <v>Info: Kalk. 'Regiestunde' ist zu 1,0 Std prod. und 0,0 Std unproduktiv (0,0%)</v>
      </c>
      <c r="B563" s="2288"/>
      <c r="C563" s="2288"/>
      <c r="D563" s="2288"/>
      <c r="E563" s="2288"/>
      <c r="F563" s="2288"/>
      <c r="G563" s="367">
        <f>IF(H562=1,E558,E558-E561)</f>
        <v>1</v>
      </c>
      <c r="H563" s="367">
        <f>E561</f>
        <v>0</v>
      </c>
      <c r="I563" s="627"/>
      <c r="J563" s="2280" t="str">
        <f>IFERROR(IF(H563/G563&gt;Report!$F$7,"Hinweis: Unproduktiver Anteil erscheint hoch!",""),"Der unprod. Anteil löst eine Division mit 0 aus!")</f>
        <v/>
      </c>
      <c r="K563" s="2280"/>
      <c r="L563" s="2281"/>
    </row>
    <row r="564" spans="1:14" ht="17.850000000000001" customHeight="1" x14ac:dyDescent="0.25">
      <c r="A564" s="2282"/>
      <c r="B564" s="2283"/>
      <c r="C564" s="2283"/>
      <c r="D564" s="2283"/>
      <c r="E564" s="2283"/>
      <c r="F564" s="2283"/>
      <c r="G564" s="2283"/>
      <c r="H564" s="2283"/>
      <c r="I564" s="627"/>
      <c r="K564" s="4"/>
      <c r="L564" s="859"/>
    </row>
    <row r="565" spans="1:14" ht="17.850000000000001" customHeight="1" thickBot="1" x14ac:dyDescent="0.3">
      <c r="A565" s="2144" t="s">
        <v>382</v>
      </c>
      <c r="B565" s="2145"/>
      <c r="C565" s="2146"/>
      <c r="D565" s="860" t="s">
        <v>72</v>
      </c>
      <c r="E565" s="861" t="s">
        <v>73</v>
      </c>
      <c r="F565" s="862" t="s">
        <v>118</v>
      </c>
      <c r="G565" s="863" t="s">
        <v>85</v>
      </c>
      <c r="H565" s="864" t="s">
        <v>73</v>
      </c>
      <c r="I565" s="627"/>
      <c r="L565" s="216"/>
    </row>
    <row r="566" spans="1:14" ht="17.850000000000001" customHeight="1" x14ac:dyDescent="0.25">
      <c r="A566" s="703" t="str">
        <f>A$498</f>
        <v>Verrechenbare Zeit</v>
      </c>
      <c r="B566" s="704"/>
      <c r="C566" s="705"/>
      <c r="D566" s="706">
        <f ca="1">G558*G563</f>
        <v>18</v>
      </c>
      <c r="E566" s="707">
        <f ca="1">G563*H558</f>
        <v>2.5499999999999998</v>
      </c>
      <c r="F566" s="708" t="s">
        <v>204</v>
      </c>
      <c r="G566" s="685">
        <f ca="1">D566</f>
        <v>18</v>
      </c>
      <c r="H566" s="686">
        <f ca="1">IF(D569=_Ja,"",D568)</f>
        <v>18</v>
      </c>
      <c r="I566" s="627"/>
      <c r="L566" s="216"/>
    </row>
    <row r="567" spans="1:14" ht="17.850000000000001" customHeight="1" thickBot="1" x14ac:dyDescent="0.3">
      <c r="A567" s="687" t="str">
        <f>A$499</f>
        <v>Nicht verrechenb. Zeit</v>
      </c>
      <c r="B567" s="688"/>
      <c r="C567" s="689"/>
      <c r="D567" s="690">
        <f ca="1">H563*G561</f>
        <v>0</v>
      </c>
      <c r="E567" s="691">
        <f ca="1">H563*H561</f>
        <v>0</v>
      </c>
      <c r="F567" s="709" t="s">
        <v>203</v>
      </c>
      <c r="G567" s="693">
        <f ca="1">D567</f>
        <v>0</v>
      </c>
      <c r="H567" s="694">
        <f ca="1">IF(D569=_Ja,"",E568)</f>
        <v>2.5499999999999998</v>
      </c>
      <c r="I567" s="627"/>
      <c r="J567" s="1139"/>
      <c r="L567" s="216"/>
    </row>
    <row r="568" spans="1:14" ht="17.850000000000001" customHeight="1" x14ac:dyDescent="0.25">
      <c r="A568" s="695"/>
      <c r="B568" s="696"/>
      <c r="C568" s="697" t="s">
        <v>56</v>
      </c>
      <c r="D568" s="698">
        <f ca="1">SUM(D566:D567)</f>
        <v>18</v>
      </c>
      <c r="E568" s="699">
        <f ca="1">SUM(E566:E567)</f>
        <v>2.5499999999999998</v>
      </c>
      <c r="F568" s="710" t="s">
        <v>86</v>
      </c>
      <c r="G568" s="711">
        <f ca="1">G567/G566</f>
        <v>0</v>
      </c>
      <c r="H568" s="712">
        <f ca="1">IF(D569=_Ja,$H$73,H567/H566)</f>
        <v>0.14169999999999999</v>
      </c>
      <c r="I568" s="628" t="str">
        <f>IF(D569=_Ja,"X","")</f>
        <v/>
      </c>
      <c r="L568" s="216"/>
    </row>
    <row r="569" spans="1:14" ht="17.850000000000001" customHeight="1" thickBot="1" x14ac:dyDescent="0.3">
      <c r="A569" s="2756" t="str">
        <f ca="1">"Ø AKV Pkt B ist "&amp;TEXT($H$73,"0,00%")&amp;". Beibehalten?"</f>
        <v>Ø AKV Pkt B ist 14,40%. Beibehalten?</v>
      </c>
      <c r="B569" s="2757"/>
      <c r="C569" s="2758"/>
      <c r="D569" s="826" t="s">
        <v>193</v>
      </c>
      <c r="E569" s="2421" t="s">
        <v>383</v>
      </c>
      <c r="F569" s="2422"/>
      <c r="G569" s="378"/>
      <c r="H569" s="379"/>
      <c r="I569" s="628" t="str">
        <f>IF(OR(G569&lt;&gt;0,H569&lt;&gt;0),"X","")</f>
        <v/>
      </c>
      <c r="L569" s="216"/>
    </row>
    <row r="570" spans="1:14" ht="17.850000000000001" customHeight="1" x14ac:dyDescent="0.25">
      <c r="A570" s="2217"/>
      <c r="B570" s="2218"/>
      <c r="C570" s="2218"/>
      <c r="D570" s="2218"/>
      <c r="E570" s="2187" t="s">
        <v>556</v>
      </c>
      <c r="F570" s="2188"/>
      <c r="G570" s="86">
        <f ca="1">SUM(G568,G569)</f>
        <v>0</v>
      </c>
      <c r="H570" s="154">
        <f ca="1">SUM(H568,H569)</f>
        <v>0.14169999999999999</v>
      </c>
      <c r="I570" s="627"/>
      <c r="L570" s="216"/>
    </row>
    <row r="571" spans="1:14" ht="17.850000000000001" customHeight="1" x14ac:dyDescent="0.25">
      <c r="A571" s="2817"/>
      <c r="B571" s="2815"/>
      <c r="C571" s="2815"/>
      <c r="D571" s="2815"/>
      <c r="E571" s="2815"/>
      <c r="F571" s="2816"/>
      <c r="G571" s="368" t="s">
        <v>121</v>
      </c>
      <c r="H571" s="369" t="s">
        <v>122</v>
      </c>
      <c r="I571" s="627"/>
      <c r="L571" s="216"/>
    </row>
    <row r="572" spans="1:14" ht="18" customHeight="1" x14ac:dyDescent="0.25">
      <c r="A572" s="370" t="s">
        <v>384</v>
      </c>
      <c r="B572" s="371"/>
      <c r="C572" s="371"/>
      <c r="D572" s="2420" t="str">
        <f>IF(A557=0,"Beschäftigungsgruppe wählen!",A557)</f>
        <v>IV.   Bauhilfsarbeiter</v>
      </c>
      <c r="E572" s="2420"/>
      <c r="F572" s="2420"/>
      <c r="G572" s="2420"/>
      <c r="H572" s="626">
        <f ca="1">IFERROR(' K3 Regie3'!N$45,"??")</f>
        <v>67.03</v>
      </c>
      <c r="I572" s="627"/>
      <c r="L572" s="216"/>
    </row>
    <row r="573" spans="1:14" ht="17.850000000000001" customHeight="1" x14ac:dyDescent="0.25">
      <c r="A573" s="2289" t="s">
        <v>632</v>
      </c>
      <c r="B573" s="2290"/>
      <c r="C573" s="2290"/>
      <c r="D573" s="2290"/>
      <c r="E573" s="2290"/>
      <c r="F573" s="2290"/>
      <c r="G573" s="2290"/>
      <c r="H573" s="2290"/>
      <c r="I573" s="627"/>
      <c r="J573" s="2227" t="str">
        <f>IF(OR(I574="X",I579="X"),M$301,"")</f>
        <v/>
      </c>
      <c r="K573" s="2227"/>
      <c r="L573" s="2228"/>
    </row>
    <row r="574" spans="1:14" ht="17.850000000000001" customHeight="1" x14ac:dyDescent="0.25">
      <c r="A574" s="2134" t="s">
        <v>704</v>
      </c>
      <c r="B574" s="2135"/>
      <c r="C574" s="2136"/>
      <c r="D574" s="865" t="s">
        <v>702</v>
      </c>
      <c r="E574" s="2137" t="s">
        <v>902</v>
      </c>
      <c r="F574" s="2138"/>
      <c r="G574" s="2139"/>
      <c r="H574" s="1010">
        <f>IFERROR(VLOOKUP(E574,M574:N576,2,FALSE),"")</f>
        <v>0</v>
      </c>
      <c r="I574" s="628" t="str">
        <f>IF(E574&lt;&gt;M574,"X","")</f>
        <v/>
      </c>
      <c r="J574" s="2227"/>
      <c r="K574" s="2227"/>
      <c r="L574" s="2228"/>
      <c r="M574" s="2014" t="str">
        <f t="shared" ref="M574:N576" si="53">M438</f>
        <v>1. Standard (ÖN B 2110) ohne Zulagen</v>
      </c>
      <c r="N574" s="2091">
        <f t="shared" si="53"/>
        <v>0</v>
      </c>
    </row>
    <row r="575" spans="1:14" ht="17.850000000000001" customHeight="1" thickBot="1" x14ac:dyDescent="0.3">
      <c r="A575" s="672" t="s">
        <v>630</v>
      </c>
      <c r="B575" s="673"/>
      <c r="C575" s="674" t="s">
        <v>629</v>
      </c>
      <c r="D575" s="674" t="s">
        <v>631</v>
      </c>
      <c r="E575" s="674" t="s">
        <v>159</v>
      </c>
      <c r="F575" s="674" t="s">
        <v>8</v>
      </c>
      <c r="G575" s="674" t="s">
        <v>9</v>
      </c>
      <c r="H575" s="675" t="s">
        <v>10</v>
      </c>
      <c r="I575" s="627"/>
      <c r="L575" s="216"/>
      <c r="M575" s="2014" t="str">
        <f t="shared" si="53"/>
        <v>2. Wert gem Kalkulation Pkt D (K3_PP)</v>
      </c>
      <c r="N575" s="2091">
        <f ca="1">N439</f>
        <v>0.03</v>
      </c>
    </row>
    <row r="576" spans="1:14" ht="30" customHeight="1" thickTop="1" x14ac:dyDescent="0.25">
      <c r="A576" s="2185"/>
      <c r="B576" s="2186"/>
      <c r="C576" s="766">
        <v>1</v>
      </c>
      <c r="D576" s="871">
        <v>1</v>
      </c>
      <c r="E576" s="872" t="str">
        <f>IF(ISBLANK(A576),"",IF(L$27="",IFERROR(VLOOKUP(A576,Stammdaten!$A$70:$C$96,3,FALSE),KALKULATION!$M$283),"ungültig"))</f>
        <v/>
      </c>
      <c r="F576" s="676" t="str">
        <f>IFERROR(C576*D576*E576,"")</f>
        <v/>
      </c>
      <c r="G576" s="677">
        <f ca="1">IFERROR(VLOOKUP(A576,Stammdaten!$A$70:$C$96,2,FALSE),"")</f>
        <v>0</v>
      </c>
      <c r="H576" s="678">
        <f ca="1">IFERROR(C576*D576*G576,"")</f>
        <v>0</v>
      </c>
      <c r="I576" s="627"/>
      <c r="J576" s="2227" t="str">
        <f>VLOOKUP(E579,M579:Q582,5,FALSE)</f>
        <v>Hinweis zu R4.b - 1.) Wenn der Regiepreis keine Arbeitszeitzuschläge enthalten soll (Regelung gem ÖN B 2110) ist diese Einstellung (1.) zutreffend.</v>
      </c>
      <c r="K576" s="2227"/>
      <c r="L576" s="2228"/>
      <c r="M576" s="2014" t="str">
        <f t="shared" si="53"/>
        <v>3. Eigene Kalkulation für den Regiepreis</v>
      </c>
      <c r="N576" s="1950" t="str">
        <f t="shared" si="53"/>
        <v>berechnen:</v>
      </c>
    </row>
    <row r="577" spans="1:18" ht="17.850000000000001" customHeight="1" x14ac:dyDescent="0.25">
      <c r="A577" s="866"/>
      <c r="B577" s="867"/>
      <c r="C577" s="867"/>
      <c r="D577" s="874" t="s">
        <v>705</v>
      </c>
      <c r="E577" s="873">
        <f ca="1">' K3 Regie3'!O$21</f>
        <v>18</v>
      </c>
      <c r="F577" s="870">
        <f ca="1">IFERROR(F576/E577,0)</f>
        <v>0</v>
      </c>
      <c r="G577" s="868" t="str">
        <f ca="1">IF(G576=0,"",$G$131)</f>
        <v/>
      </c>
      <c r="H577" s="1007">
        <f ca="1">IFERROR(H576*G577,0)</f>
        <v>0</v>
      </c>
      <c r="I577" s="627"/>
      <c r="J577" s="2227"/>
      <c r="K577" s="2227"/>
      <c r="L577" s="2228"/>
    </row>
    <row r="578" spans="1:18" ht="17.850000000000001" customHeight="1" x14ac:dyDescent="0.25">
      <c r="A578" s="392" t="s">
        <v>768</v>
      </c>
      <c r="B578" s="67"/>
      <c r="C578" s="346"/>
      <c r="D578" s="346"/>
      <c r="E578" s="346"/>
      <c r="F578" s="498"/>
      <c r="G578" s="346"/>
      <c r="H578" s="92">
        <f>IF(E574=M576,SUM(F577,H577),H574)</f>
        <v>0</v>
      </c>
      <c r="I578" s="627"/>
      <c r="J578" s="2227"/>
      <c r="K578" s="2227"/>
      <c r="L578" s="2228"/>
      <c r="M578" s="1961" t="str">
        <f>M$442</f>
        <v>DD Arbeitszeitzuschläge</v>
      </c>
      <c r="N578" s="1961"/>
      <c r="O578" s="1961"/>
      <c r="P578" s="1961" t="str">
        <f t="shared" ref="P578" si="54">P$442</f>
        <v>Text in K3</v>
      </c>
      <c r="Q578" s="1961" t="str">
        <f>Q$442</f>
        <v>Text in Kalk</v>
      </c>
    </row>
    <row r="579" spans="1:18" ht="17.850000000000001" customHeight="1" x14ac:dyDescent="0.25">
      <c r="A579" s="2142" t="s">
        <v>564</v>
      </c>
      <c r="B579" s="2143"/>
      <c r="C579" s="2143"/>
      <c r="D579" s="928" t="s">
        <v>770</v>
      </c>
      <c r="E579" s="2138" t="s">
        <v>882</v>
      </c>
      <c r="F579" s="2138"/>
      <c r="G579" s="2138"/>
      <c r="H579" s="998">
        <f>IFERROR(VLOOKUP(E579,M579:N582,2,FALSE),"x")</f>
        <v>0</v>
      </c>
      <c r="I579" s="628" t="str">
        <f>IF(E579&lt;&gt;M579,"X","")</f>
        <v/>
      </c>
      <c r="J579" s="2227"/>
      <c r="K579" s="2227"/>
      <c r="L579" s="2228"/>
      <c r="M579" s="2014" t="str">
        <f>M$443</f>
        <v>1. Standard (ÖN B 2110) ohne Zuschlag</v>
      </c>
      <c r="N579" s="1999">
        <f t="shared" ref="N579:Q579" si="55">N$443</f>
        <v>0</v>
      </c>
      <c r="O579" s="1950"/>
      <c r="P579" s="1950" t="str">
        <f t="shared" si="55"/>
        <v>Regiestunde</v>
      </c>
      <c r="Q579" s="1950" t="str">
        <f t="shared" si="55"/>
        <v>Hinweis zu R4.b - 1.) Wenn der Regiepreis keine Arbeitszeitzuschläge enthalten soll (Regelung gem ÖN B 2110) ist diese Einstellung (1.) zutreffend.</v>
      </c>
    </row>
    <row r="580" spans="1:18" ht="17.850000000000001" customHeight="1" x14ac:dyDescent="0.25">
      <c r="A580" s="2321" t="s">
        <v>563</v>
      </c>
      <c r="B580" s="2322"/>
      <c r="C580" s="2322"/>
      <c r="D580" s="2322"/>
      <c r="E580" s="553" t="s">
        <v>378</v>
      </c>
      <c r="F580" s="524" t="s">
        <v>192</v>
      </c>
      <c r="G580" s="926">
        <v>1</v>
      </c>
      <c r="H580" s="607"/>
      <c r="I580" s="628" t="str">
        <f>IF(AND(E579=M582,F580=_Ja),"X","")</f>
        <v/>
      </c>
      <c r="J580" s="2176" t="str">
        <f>IF(OR(F580=$Q$31,F580=$Q$32),"","Bitte Ja oder Nein wählen!")</f>
        <v/>
      </c>
      <c r="K580" s="2176"/>
      <c r="L580" s="2177"/>
      <c r="M580" s="2014" t="str">
        <f>M$444</f>
        <v>2. Regie mit Ø-Zuschlag wie K3 Zeile 8</v>
      </c>
      <c r="N580" s="1999">
        <f t="shared" ref="N580:Q580" ca="1" si="56">N$444</f>
        <v>4.2999999999999997E-2</v>
      </c>
      <c r="O580" s="1950"/>
      <c r="P580" s="1950" t="str">
        <f t="shared" si="56"/>
        <v>Regiestd. (Ø-% wie K3 Z 8)</v>
      </c>
      <c r="Q580" s="1950" t="str">
        <f t="shared" si="56"/>
        <v>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v>
      </c>
    </row>
    <row r="581" spans="1:18" ht="17.850000000000001" customHeight="1" x14ac:dyDescent="0.25">
      <c r="A581" s="540" t="s">
        <v>379</v>
      </c>
      <c r="B581" s="2122"/>
      <c r="C581" s="2123"/>
      <c r="D581" s="2124"/>
      <c r="E581" s="542" t="str">
        <f>IF(OR(ISBLANK(B581),F580=_Nein),"",IFERROR(VLOOKUP(B581,Stammdaten!A$39:C$48,3,FALSE),KALKULATION!$M$283))</f>
        <v/>
      </c>
      <c r="F581" s="1101"/>
      <c r="G581" s="544"/>
      <c r="H581" s="608"/>
      <c r="I581" s="628"/>
      <c r="J581" s="2178" t="str">
        <f>IF(F580&lt;&gt;$Q$31,"",IF(AND(E581=KALKULATION!$M$283,F580=$Q$31),"Auswahl erneut vornehmen (ungültiger Verweis)!",IF(OR(AND(F580=$Q$31,B581=""),AND(F580=$Q$32,B581&lt;&gt;"")),"Eingabe unvollständig (ergänzen,  löschen od Nein wählen)!","")))</f>
        <v>Eingabe unvollständig (ergänzen,  löschen od Nein wählen)!</v>
      </c>
      <c r="K581" s="2178"/>
      <c r="L581" s="2179"/>
      <c r="M581" s="2014" t="str">
        <f>M$445</f>
        <v>3. Regie mit Std-Zuschlag wie K3</v>
      </c>
      <c r="N581" s="1999">
        <f t="shared" ref="N581:Q581" ca="1" si="57">N$445</f>
        <v>0.6</v>
      </c>
      <c r="O581" s="1950"/>
      <c r="P581" s="1950" t="str">
        <f t="shared" si="57"/>
        <v>Regiestd. (Std-% analog K3)</v>
      </c>
      <c r="Q581" s="1950" t="str">
        <f t="shared" si="57"/>
        <v>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v>
      </c>
    </row>
    <row r="582" spans="1:18" ht="17.850000000000001" customHeight="1" x14ac:dyDescent="0.25">
      <c r="A582" s="2297" t="s">
        <v>135</v>
      </c>
      <c r="B582" s="2298"/>
      <c r="C582" s="2298"/>
      <c r="D582" s="2298"/>
      <c r="E582" s="541">
        <f ca="1">IFERROR(IF(VLOOKUP(B581,Stammdaten!A$39:C$48,2,FALSE)=0,1,(VLOOKUP(B581,Stammdaten!A$39:C$48,2,FALSE))),"")</f>
        <v>1</v>
      </c>
      <c r="F582" s="1101"/>
      <c r="G582" s="545"/>
      <c r="H582" s="609"/>
      <c r="I582" s="628"/>
      <c r="L582" s="216"/>
      <c r="M582" s="2014" t="str">
        <f>M$446</f>
        <v>4. Regie berechnen</v>
      </c>
      <c r="N582" s="1950" t="str">
        <f t="shared" ref="N582:Q582" si="58">N$446</f>
        <v>berechnen:</v>
      </c>
      <c r="O582" s="1950"/>
      <c r="P582" s="1950"/>
      <c r="Q582" s="1950" t="str">
        <f t="shared" si="58"/>
        <v>Hinweis zu R4.b - 4.) Wenn ein Regiepreis unter kalkulatorischer Beachtung zeitlicher Rahmenbedingungen zu nennen ist, ist diese Auswahl zutreffend. Mehrarbeitszuschläge und Verr.std.zuschläge lassen sich individuell getrennt erfassen.</v>
      </c>
    </row>
    <row r="583" spans="1:18" ht="17.850000000000001" customHeight="1" x14ac:dyDescent="0.25">
      <c r="A583" s="2233" t="s">
        <v>560</v>
      </c>
      <c r="B583" s="2234"/>
      <c r="C583" s="2234"/>
      <c r="D583" s="2234"/>
      <c r="E583" s="2235"/>
      <c r="F583" s="351">
        <v>1</v>
      </c>
      <c r="G583" s="546">
        <f>IF(F583=1,1,IF(F583=2,((' K3 Regie3'!O$23+' K3 Regie3'!O$24)/' K3 Regie3'!O$23),IF(F583&gt;2,((' K3 Regie3'!O$23+' K3 Regie3'!O$24+' K3 Regie3'!O$25)/' K3 Regie3'!O$23),"")))</f>
        <v>1</v>
      </c>
      <c r="H583" s="608" t="str">
        <f ca="1">IFERROR(IF(AND(F580=$Q$31,F583&gt;0),(E581*E582*G583),""),"??")</f>
        <v>??</v>
      </c>
      <c r="I583" s="628"/>
      <c r="J583" s="1090" t="str">
        <f>IF(F580&lt;&gt;$Q$31,"",IF(AND(ISBLANK(F583),F580=$Q$31),"Kennzeichen setzen!",""))</f>
        <v/>
      </c>
      <c r="K583" s="1090"/>
      <c r="L583" s="365"/>
      <c r="M583" s="2069" t="s">
        <v>866</v>
      </c>
      <c r="R583" s="1965"/>
    </row>
    <row r="584" spans="1:18" ht="17.850000000000001" customHeight="1" x14ac:dyDescent="0.25">
      <c r="A584" s="2321" t="s">
        <v>565</v>
      </c>
      <c r="B584" s="2322"/>
      <c r="C584" s="2322"/>
      <c r="D584" s="2322"/>
      <c r="E584" s="553" t="s">
        <v>378</v>
      </c>
      <c r="F584" s="524" t="s">
        <v>192</v>
      </c>
      <c r="G584" s="543"/>
      <c r="H584" s="607"/>
      <c r="I584" s="628" t="str">
        <f>IF(AND(E579=M582,F584=_Ja),"X","")</f>
        <v/>
      </c>
      <c r="J584" s="2176"/>
      <c r="K584" s="2176"/>
      <c r="L584" s="2177"/>
      <c r="M584" s="1342" t="s">
        <v>859</v>
      </c>
      <c r="N584" s="2070" t="str">
        <f>IF(E579=M580,P580,IF(E579=M581,P581,IF(AND(E579=M582,F580=_Ja),B581,P579)))</f>
        <v>Regiestunde</v>
      </c>
      <c r="O584" s="2065"/>
      <c r="P584" s="1999" t="str">
        <f>IF(AND(E579=M582,F580=_Ja),TEXT(E581,"0%"),IF(N584=P580,TEXT(N580,"0,00%"),IF(N584=P581,TEXT($P$113,"0%"),"")))</f>
        <v/>
      </c>
      <c r="R584" s="1965"/>
    </row>
    <row r="585" spans="1:18" ht="17.850000000000001" customHeight="1" x14ac:dyDescent="0.25">
      <c r="A585" s="540" t="s">
        <v>379</v>
      </c>
      <c r="B585" s="2122"/>
      <c r="C585" s="2123"/>
      <c r="D585" s="2124"/>
      <c r="E585" s="549" t="str">
        <f>IF(OR(ISBLANK(B585),F584=_Nein),"",IFERROR(VLOOKUP(B585,Stammdaten!A$50:C$54,3,FALSE),KALKULATION!$M$283))</f>
        <v/>
      </c>
      <c r="F585" s="1101"/>
      <c r="G585" s="544"/>
      <c r="H585" s="608"/>
      <c r="I585" s="628"/>
      <c r="J585" s="2178" t="str">
        <f>IF(F584&lt;&gt;$Q$31,"",IF(AND(E585=KALKULATION!$M$283,F584=$Q$31),"Auswahl erneut vornehmen (ungültiger Verweis)!",IF(OR(AND(F584=$Q$31,B585=""),AND(F584=$Q$32,B585&lt;&gt;"")),"Eingabe unvollständig (ergänzen,  löschen od Nein wählen)!","")))</f>
        <v>Eingabe unvollständig (ergänzen,  löschen od Nein wählen)!</v>
      </c>
      <c r="K585" s="2178"/>
      <c r="L585" s="2179"/>
      <c r="M585" s="1342" t="s">
        <v>863</v>
      </c>
      <c r="N585" s="2071" t="str">
        <f>IF(AND(E579=M582,F584=_Ja),B585,"")</f>
        <v/>
      </c>
      <c r="O585" s="2072"/>
      <c r="P585" s="1999" t="str">
        <f>IF(N585="","",E585)</f>
        <v/>
      </c>
      <c r="Q585" s="1951"/>
      <c r="R585" s="2073"/>
    </row>
    <row r="586" spans="1:18" ht="17.850000000000001" customHeight="1" x14ac:dyDescent="0.25">
      <c r="A586" s="2241" t="s">
        <v>198</v>
      </c>
      <c r="B586" s="2242"/>
      <c r="C586" s="2242"/>
      <c r="D586" s="2242"/>
      <c r="E586" s="541" t="str">
        <f ca="1">IFERROR(IF(VLOOKUP(B585,Stammdaten!A$50:C$54,2,FALSE)=0,1,(VLOOKUP(B585,Stammdaten!A$50:C$54,2,FALSE))),"")</f>
        <v/>
      </c>
      <c r="F586" s="1101"/>
      <c r="G586" s="545"/>
      <c r="H586" s="609"/>
      <c r="I586" s="628"/>
      <c r="L586" s="216"/>
      <c r="M586" s="1342" t="s">
        <v>864</v>
      </c>
      <c r="N586" s="2071" t="str">
        <f>IF(AND(E579=M582,F588=_Ja),B589,"")</f>
        <v/>
      </c>
      <c r="O586" s="2014"/>
      <c r="P586" s="2074" t="str">
        <f>IF(N586="","",E589)</f>
        <v/>
      </c>
      <c r="Q586" s="1951"/>
      <c r="R586" s="2073"/>
    </row>
    <row r="587" spans="1:18" ht="17.850000000000001" customHeight="1" x14ac:dyDescent="0.25">
      <c r="A587" s="2233" t="str">
        <f>A583</f>
        <v xml:space="preserve">  Basis für die Aufzahlung in % (siehe Pkt C0; KZ = 1, 2, 3 od. 4):  ↓</v>
      </c>
      <c r="B587" s="2234"/>
      <c r="C587" s="2234"/>
      <c r="D587" s="2234"/>
      <c r="E587" s="2235"/>
      <c r="F587" s="351">
        <v>1</v>
      </c>
      <c r="G587" s="546">
        <f>IF(F587=1,1,IF(F587=2,((' K3 Regie3'!O$23+' K3 Regie3'!O$24)/' K3 Regie3'!O$23),IF(F587&gt;2,((' K3 Regie3'!O$23+' K3 Regie3'!O$24+' K3 Regie3'!O$25)/' K3 Regie3'!O$23),"")))</f>
        <v>1</v>
      </c>
      <c r="H587" s="608" t="str">
        <f ca="1">IFERROR(IF(F584=$Q$31,(E585*E586*G587),""),"??")</f>
        <v>??</v>
      </c>
      <c r="I587" s="628"/>
      <c r="J587" s="2176" t="str">
        <f>IF(F584&lt;&gt;$Q$31,"",IF(AND(ISBLANK(F587),F584=$Q$31),"Kennzeichen setzen!",""))</f>
        <v/>
      </c>
      <c r="K587" s="2176"/>
      <c r="L587" s="360"/>
      <c r="M587" s="1342" t="s">
        <v>868</v>
      </c>
      <c r="N587" s="1342">
        <f>IF(AND(N585&lt;&gt;"",N586&lt;&gt;""),2,IF(N585&amp;N586="",0,1))</f>
        <v>0</v>
      </c>
      <c r="R587" s="1965"/>
    </row>
    <row r="588" spans="1:18" ht="17.850000000000001" customHeight="1" x14ac:dyDescent="0.25">
      <c r="A588" s="2321" t="s">
        <v>566</v>
      </c>
      <c r="B588" s="2322"/>
      <c r="C588" s="2322"/>
      <c r="D588" s="2322"/>
      <c r="E588" s="553" t="s">
        <v>378</v>
      </c>
      <c r="F588" s="524" t="s">
        <v>192</v>
      </c>
      <c r="G588" s="547"/>
      <c r="H588" s="610"/>
      <c r="I588" s="628" t="str">
        <f>IF(AND(E579=M582,F588=_Ja),"X","")</f>
        <v/>
      </c>
      <c r="J588" s="2176"/>
      <c r="K588" s="2176"/>
      <c r="L588" s="2177"/>
      <c r="M588" s="1967"/>
      <c r="N588" s="2075" t="str">
        <f>IF(N587=2," "&amp;N585&amp;" "&amp;", "&amp;N586,IF(N587=1," "&amp;N585&amp;N586,""))</f>
        <v/>
      </c>
      <c r="O588" s="2075"/>
      <c r="P588" s="1967"/>
      <c r="Q588" s="1967"/>
      <c r="R588" s="1974"/>
    </row>
    <row r="589" spans="1:18" ht="17.850000000000001" customHeight="1" x14ac:dyDescent="0.25">
      <c r="A589" s="552" t="s">
        <v>379</v>
      </c>
      <c r="B589" s="2123"/>
      <c r="C589" s="2123"/>
      <c r="D589" s="2123"/>
      <c r="E589" s="550" t="str">
        <f>IF(OR(ISBLANK(B589),F588=_Nein),"",IFERROR(VLOOKUP(B589,Stammdaten!A$57:C$61,2,FALSE),KALKULATION!$M$283))</f>
        <v/>
      </c>
      <c r="F589" s="551" t="s">
        <v>197</v>
      </c>
      <c r="G589" s="548">
        <f ca="1">' K3 Regie3'!$O$21</f>
        <v>18</v>
      </c>
      <c r="H589" s="611" t="str">
        <f ca="1">IFERROR(IF(F588=$Q$31,E589/G589,""),"??")</f>
        <v>??</v>
      </c>
      <c r="I589" s="628"/>
      <c r="J589" s="271" t="str">
        <f>IF(AND(F588=$Q$31,B589=""),"Eingabe unvollständig (ergänzen od Nein wählen)!","")</f>
        <v>Eingabe unvollständig (ergänzen od Nein wählen)!</v>
      </c>
      <c r="L589" s="216"/>
    </row>
    <row r="590" spans="1:18" ht="17.850000000000001" customHeight="1" x14ac:dyDescent="0.25">
      <c r="A590" s="2221" t="s">
        <v>391</v>
      </c>
      <c r="B590" s="2222"/>
      <c r="C590" s="2222"/>
      <c r="D590" s="2222"/>
      <c r="E590" s="373"/>
      <c r="F590" s="377">
        <f>IF(F584=$Q$31,B585,IF(F588=$Q$31,B589,""))</f>
        <v>0</v>
      </c>
      <c r="G590" s="377" t="str">
        <f ca="1">IF(F584=$Q$31,TEXT(H587,"0%"),IF(F588=$Q$31,TEXT(G589,"0,00€"),""))</f>
        <v>??</v>
      </c>
      <c r="H590" s="612">
        <f>IF(E579=M582,SUM(H580:H589),H579)</f>
        <v>0</v>
      </c>
      <c r="I590" s="631"/>
      <c r="L590" s="216"/>
    </row>
    <row r="591" spans="1:18" ht="17.850000000000001" customHeight="1" x14ac:dyDescent="0.25">
      <c r="A591" s="2199" t="str">
        <f>A$455</f>
        <v>Standardmäßig sind die Werte aus der Mittelpersonal-preiskalkulation (Blatt K3_PP) übernommen; sie sind überschreibbar.</v>
      </c>
      <c r="B591" s="2200"/>
      <c r="C591" s="2200"/>
      <c r="D591" s="2201"/>
      <c r="E591" s="2196" t="str">
        <f>E$455</f>
        <v xml:space="preserve">Standard-werte sind
</v>
      </c>
      <c r="F591" s="2196"/>
      <c r="G591" s="2196" t="str">
        <f>G$455</f>
        <v>Optional überschrei-ben mit:</v>
      </c>
      <c r="H591" s="2125" t="str">
        <f>H$455</f>
        <v>Übertrag in K3 Regie</v>
      </c>
      <c r="I591" s="631"/>
      <c r="L591" s="216"/>
    </row>
    <row r="592" spans="1:18" ht="17.850000000000001" customHeight="1" x14ac:dyDescent="0.25">
      <c r="A592" s="2202"/>
      <c r="B592" s="2203"/>
      <c r="C592" s="2203"/>
      <c r="D592" s="2204"/>
      <c r="E592" s="2197"/>
      <c r="F592" s="2197"/>
      <c r="G592" s="2197"/>
      <c r="H592" s="2126"/>
      <c r="I592" s="631"/>
      <c r="L592" s="216"/>
    </row>
    <row r="593" spans="1:16" ht="17.850000000000001" customHeight="1" thickBot="1" x14ac:dyDescent="0.3">
      <c r="A593" s="2205"/>
      <c r="B593" s="2206"/>
      <c r="C593" s="2206"/>
      <c r="D593" s="2207"/>
      <c r="E593" s="2198"/>
      <c r="F593" s="2198"/>
      <c r="G593" s="2198"/>
      <c r="H593" s="2127"/>
      <c r="I593" s="631"/>
      <c r="L593" s="216"/>
    </row>
    <row r="594" spans="1:16" ht="17.850000000000001" customHeight="1" thickTop="1" x14ac:dyDescent="0.25">
      <c r="A594" s="2221" t="s">
        <v>386</v>
      </c>
      <c r="B594" s="2222"/>
      <c r="C594" s="2222"/>
      <c r="D594" s="2306"/>
      <c r="E594" s="51">
        <f ca="1">$H$228</f>
        <v>1.4</v>
      </c>
      <c r="F594" s="1887">
        <f>H563/G563</f>
        <v>0</v>
      </c>
      <c r="G594" s="364"/>
      <c r="H594" s="361">
        <f ca="1">IF(ISBLANK(G594),E594*(1+F594),G594)</f>
        <v>1.4</v>
      </c>
      <c r="I594" s="628" t="str">
        <f>IF(ISBLANK(G594),"","X")</f>
        <v/>
      </c>
      <c r="L594" s="216"/>
    </row>
    <row r="595" spans="1:16" ht="17.850000000000001" customHeight="1" x14ac:dyDescent="0.25">
      <c r="A595" s="2134" t="s">
        <v>387</v>
      </c>
      <c r="B595" s="2135"/>
      <c r="C595" s="2135"/>
      <c r="D595" s="2136"/>
      <c r="E595" s="48">
        <f ca="1">IF(E574=M575,$G$227,$G$229)</f>
        <v>1.6</v>
      </c>
      <c r="F595" s="1888">
        <f>H563/G563</f>
        <v>0</v>
      </c>
      <c r="G595" s="341"/>
      <c r="H595" s="362">
        <f ca="1">IF(ISBLANK(G595),E595*(1+F595),G595)</f>
        <v>1.6</v>
      </c>
      <c r="I595" s="628" t="str">
        <f>IF(ISBLANK(G595),"","X")</f>
        <v/>
      </c>
      <c r="L595" s="216"/>
    </row>
    <row r="596" spans="1:16" ht="17.850000000000001" customHeight="1" x14ac:dyDescent="0.25">
      <c r="A596" s="2134" t="s">
        <v>388</v>
      </c>
      <c r="B596" s="2135"/>
      <c r="C596" s="2135"/>
      <c r="D596" s="2136"/>
      <c r="E596" s="157">
        <f ca="1">$H$236</f>
        <v>0.28999999999999998</v>
      </c>
      <c r="F596" s="156"/>
      <c r="G596" s="337"/>
      <c r="H596" s="363">
        <f ca="1">IF(ISBLANK(G596),E596,G596)</f>
        <v>0.28999999999999998</v>
      </c>
      <c r="I596" s="628" t="str">
        <f ca="1">IF(OR(G596&lt;&gt;0,E596&lt;&gt;H596),"X","")</f>
        <v/>
      </c>
      <c r="J596" s="2293" t="str">
        <f>IF(G596="","","Hinweis: DPNK lassen sich genau bestimmen/nachrechnen!")</f>
        <v/>
      </c>
      <c r="K596" s="2293"/>
      <c r="L596" s="2294"/>
    </row>
    <row r="597" spans="1:16" ht="17.850000000000001" customHeight="1" x14ac:dyDescent="0.25">
      <c r="A597" s="2134" t="s">
        <v>389</v>
      </c>
      <c r="B597" s="2135"/>
      <c r="C597" s="2135"/>
      <c r="D597" s="2136"/>
      <c r="E597" s="157">
        <f ca="1">$H$265</f>
        <v>0.77</v>
      </c>
      <c r="F597" s="156"/>
      <c r="G597" s="337"/>
      <c r="H597" s="363">
        <f ca="1">IF(ISBLANK(G597),E597,G597)</f>
        <v>0.77</v>
      </c>
      <c r="I597" s="628" t="str">
        <f ca="1">IF(OR(G597&lt;&gt;0,E597&lt;&gt;H597),"X","")</f>
        <v/>
      </c>
      <c r="L597" s="216"/>
    </row>
    <row r="598" spans="1:16" ht="17.850000000000001" customHeight="1" x14ac:dyDescent="0.25">
      <c r="A598" s="2134" t="s">
        <v>390</v>
      </c>
      <c r="B598" s="2135"/>
      <c r="C598" s="2135"/>
      <c r="D598" s="2136"/>
      <c r="E598" s="48">
        <f ca="1">H$276</f>
        <v>7.0000000000000007E-2</v>
      </c>
      <c r="F598" s="156"/>
      <c r="G598" s="567"/>
      <c r="H598" s="362">
        <f ca="1">IF(ISBLANK(G598),E598,G598)</f>
        <v>7.0000000000000007E-2</v>
      </c>
      <c r="I598" s="628" t="str">
        <f ca="1">IF(OR(G598&lt;&gt;0,E598&lt;&gt;H598),"X","")</f>
        <v/>
      </c>
      <c r="L598" s="216"/>
    </row>
    <row r="599" spans="1:16" ht="17.850000000000001" customHeight="1" x14ac:dyDescent="0.25">
      <c r="A599" s="2134" t="s">
        <v>594</v>
      </c>
      <c r="B599" s="2136"/>
      <c r="C599" s="199">
        <f>$E$306</f>
        <v>0.06</v>
      </c>
      <c r="D599" s="48">
        <f ca="1">$F$307</f>
        <v>2.2599999999999998</v>
      </c>
      <c r="E599" s="338"/>
      <c r="F599" s="364"/>
      <c r="G599" s="363">
        <f>IF(ISBLANK(E599),C599,E599)</f>
        <v>0.06</v>
      </c>
      <c r="H599" s="361">
        <f ca="1">IF(ISBLANK(F599),D599,F599)</f>
        <v>2.2599999999999998</v>
      </c>
      <c r="I599" s="628" t="str">
        <f>IF(OR(F599&lt;&gt;0,E599&lt;&gt;0),"X","")</f>
        <v/>
      </c>
      <c r="L599" s="216"/>
    </row>
    <row r="600" spans="1:16" ht="17.850000000000001" customHeight="1" x14ac:dyDescent="0.25">
      <c r="A600" s="2142" t="str">
        <f ca="1">"R5)"&amp;IF($G$327=0," Keine Umlagen unter Pkt H1 bzw H2 angelgt!"," Umlagen (K3 Spalte A)")</f>
        <v>R5) Umlagen (K3 Spalte A)</v>
      </c>
      <c r="B600" s="2143"/>
      <c r="C600" s="2143"/>
      <c r="D600" s="2143"/>
      <c r="E600" s="2143"/>
      <c r="F600" s="2143"/>
      <c r="G600" s="2143"/>
      <c r="H600" s="2143"/>
      <c r="I600" s="631"/>
      <c r="L600" s="216"/>
      <c r="M600" s="1342">
        <f>ROW()</f>
        <v>600</v>
      </c>
      <c r="N600" s="1342">
        <f>M600-M554</f>
        <v>600</v>
      </c>
    </row>
    <row r="601" spans="1:16" ht="17.850000000000001" customHeight="1" thickBot="1" x14ac:dyDescent="0.3">
      <c r="A601" s="2314" t="s">
        <v>562</v>
      </c>
      <c r="B601" s="2315"/>
      <c r="C601" s="2315"/>
      <c r="D601" s="2315"/>
      <c r="E601" s="523" t="str">
        <f ca="1">IF(SUM(F602:G604)&lt;&gt;$H$327,"!","")</f>
        <v>!</v>
      </c>
      <c r="F601" s="715" t="s">
        <v>69</v>
      </c>
      <c r="G601" s="747" t="s">
        <v>673</v>
      </c>
      <c r="H601" s="1008">
        <f ca="1">' K3 Regie3'!O33</f>
        <v>46.89</v>
      </c>
      <c r="I601" s="631"/>
      <c r="J601" s="2263" t="str">
        <f ca="1">IF(E601="!","Hinweis: Es sind nicht alle oder andere Umlagen wie oben (Pkt H) für K3 ausgewählt! Berechnung erfolgt mit den hier ausgewählten Umlagen.","")</f>
        <v>Hinweis: Es sind nicht alle oder andere Umlagen wie oben (Pkt H) für K3 ausgewählt! Berechnung erfolgt mit den hier ausgewählten Umlagen.</v>
      </c>
      <c r="K601" s="2263"/>
      <c r="L601" s="2264"/>
    </row>
    <row r="602" spans="1:16" ht="17.850000000000001" customHeight="1" thickTop="1" x14ac:dyDescent="0.25">
      <c r="A602" s="2370"/>
      <c r="B602" s="2370"/>
      <c r="C602" s="2370"/>
      <c r="D602" s="2370"/>
      <c r="E602" s="2370"/>
      <c r="F602" s="85" t="str">
        <f>IF(A602="","",IFERROR(VLOOKUP(A602,A$329:E$333,2,FALSE),KALKULATION!$M$283))</f>
        <v/>
      </c>
      <c r="G602" s="158" t="str">
        <f>IF(A602="","",IFERROR(VLOOKUP(A602,A$329:E$333,3,FALSE),""))</f>
        <v/>
      </c>
      <c r="H602" s="85" t="str">
        <f>IF(OR(G602="",G602=0),"",G602*H$601)</f>
        <v/>
      </c>
      <c r="I602" s="631"/>
      <c r="J602" s="2263"/>
      <c r="K602" s="2263"/>
      <c r="L602" s="2264"/>
    </row>
    <row r="603" spans="1:16" ht="17.850000000000001" customHeight="1" x14ac:dyDescent="0.25">
      <c r="A603" s="2265"/>
      <c r="B603" s="2265"/>
      <c r="C603" s="2265"/>
      <c r="D603" s="2265"/>
      <c r="E603" s="2265"/>
      <c r="F603" s="85" t="str">
        <f>IF(A603="","",IFERROR(VLOOKUP(A603,A$329:E$333,2,FALSE),KALKULATION!$M$283))</f>
        <v/>
      </c>
      <c r="G603" s="158" t="str">
        <f t="shared" ref="G603:G604" si="59">IF(A603="","",IFERROR(VLOOKUP(A603,A$329:E$333,3,FALSE),""))</f>
        <v/>
      </c>
      <c r="H603" s="85" t="str">
        <f t="shared" ref="H603:H604" si="60">IF(OR(G603="",G603=0),"",G603*H$601)</f>
        <v/>
      </c>
      <c r="I603" s="631"/>
      <c r="J603" s="2263"/>
      <c r="K603" s="2263"/>
      <c r="L603" s="2264"/>
      <c r="M603" s="2076" t="s">
        <v>643</v>
      </c>
      <c r="N603" s="2076" t="str">
        <f>$A$413&amp;" gesamt"</f>
        <v>Regielohnpreis gesamt</v>
      </c>
      <c r="O603" s="2076"/>
      <c r="P603" s="2077"/>
    </row>
    <row r="604" spans="1:16" ht="17.850000000000001" customHeight="1" x14ac:dyDescent="0.25">
      <c r="A604" s="2265"/>
      <c r="B604" s="2265"/>
      <c r="C604" s="2265"/>
      <c r="D604" s="2265"/>
      <c r="E604" s="2265"/>
      <c r="F604" s="84" t="str">
        <f>IF(A604="","",IFERROR(VLOOKUP(A604,A$329:E$333,2,FALSE),KALKULATION!$M$283))</f>
        <v/>
      </c>
      <c r="G604" s="50" t="str">
        <f t="shared" si="59"/>
        <v/>
      </c>
      <c r="H604" s="84" t="str">
        <f t="shared" si="60"/>
        <v/>
      </c>
      <c r="I604" s="631"/>
      <c r="L604" s="216"/>
      <c r="M604" s="2076" t="s">
        <v>414</v>
      </c>
      <c r="N604" s="2076" t="str">
        <f>IF(A557="","",A557)</f>
        <v>IV.   Bauhilfsarbeiter</v>
      </c>
      <c r="O604" s="2078"/>
      <c r="P604" s="2079"/>
    </row>
    <row r="605" spans="1:16" ht="17.850000000000001" customHeight="1" x14ac:dyDescent="0.25">
      <c r="A605" s="2180" t="str">
        <f>IF(SUM(F602:H604)=0,"R5.b) GZ auf UMLAGEN - keine Umlagen ausgewählt (oder in Pkt H1 angelegt)","R5.b) GZ auf UMLAGEN")</f>
        <v>R5.b) GZ auf UMLAGEN - keine Umlagen ausgewählt (oder in Pkt H1 angelegt)</v>
      </c>
      <c r="B605" s="2181"/>
      <c r="C605" s="2181"/>
      <c r="D605" s="2181"/>
      <c r="E605" s="2181"/>
      <c r="F605" s="2182"/>
      <c r="G605" s="2182"/>
      <c r="H605" s="2181"/>
      <c r="I605" s="631"/>
      <c r="L605" s="216"/>
      <c r="M605" s="2080" t="s">
        <v>723</v>
      </c>
      <c r="N605" s="2080" t="str">
        <f>IF(C614="","",C614)</f>
        <v/>
      </c>
      <c r="O605" s="2076"/>
      <c r="P605" s="2077"/>
    </row>
    <row r="606" spans="1:16" ht="17.850000000000001" customHeight="1" x14ac:dyDescent="0.25">
      <c r="A606" s="2221" t="s">
        <v>561</v>
      </c>
      <c r="B606" s="2222"/>
      <c r="C606" s="2222"/>
      <c r="D606" s="2137"/>
      <c r="E606" s="2138"/>
      <c r="F606" s="2139"/>
      <c r="G606" s="199" t="str">
        <f>IF(D606="","",IFERROR(VLOOKUP(D606,'K2 GZ'!I$25:M$32,5,FALSE),KALKULATION!$M$283))</f>
        <v/>
      </c>
      <c r="H606" s="1009" t="str">
        <f ca="1">IF($G$327=0,"",IF(G606=KALKULATION!$M$283,"",IF(SUM(F602:H604)=0,"",IF(D606="",$G$346,G606))))</f>
        <v/>
      </c>
      <c r="I606" s="628" t="str">
        <f>IF(AND(D606&lt;&gt;"",SUM(F602:H604)&lt;&gt;0),"X","")</f>
        <v/>
      </c>
      <c r="J606" s="2178" t="str">
        <f ca="1">IF(G606=KALKULATION!$M$283,"Auswahl erneut vornehmen (ungült. Verweis)/Text löschen!",IF(AND(H606="",SUM(F602:G604)&lt;&gt;0),"GZ fehlt oder gleich 0!)",""))</f>
        <v/>
      </c>
      <c r="K606" s="2178"/>
      <c r="L606" s="2179"/>
      <c r="M606" s="2080" t="s">
        <v>724</v>
      </c>
      <c r="N606" s="2080" t="str">
        <f>IF(N605=""," für ["&amp;N604&amp;"]"," für ["&amp;N605&amp;"]")</f>
        <v xml:space="preserve"> für [IV.   Bauhilfsarbeiter]</v>
      </c>
      <c r="O606" s="2080"/>
      <c r="P606" s="2080" t="str">
        <f>IF(N605="",""," für ["&amp;N605&amp;" | "&amp;N604&amp;"]")</f>
        <v/>
      </c>
    </row>
    <row r="607" spans="1:16" ht="17.850000000000001" customHeight="1" x14ac:dyDescent="0.25">
      <c r="A607" s="2393"/>
      <c r="B607" s="2394"/>
      <c r="C607" s="2394"/>
      <c r="D607" s="2394"/>
      <c r="E607" s="2394"/>
      <c r="F607" s="2394"/>
      <c r="G607" s="2394"/>
      <c r="H607" s="2394"/>
      <c r="I607" s="628"/>
      <c r="L607" s="216"/>
      <c r="M607" s="2080" t="s">
        <v>641</v>
      </c>
      <c r="N607" s="2081" t="str">
        <f ca="1">IF(AND(E579=M582,H583&lt;&gt;"")," als ["&amp;B581&amp;TEXT(E581," (0%)")&amp;"]",IF(E579=M580," mit [Ø Zuschlag gem K3 Mittelpersonalpreis Z 8]",IF(E579=M581," mit [Aufzahlung pro Std gem K3 Mittelpersonalpreis]","")))</f>
        <v/>
      </c>
      <c r="O607" s="2080"/>
      <c r="P607" s="2082"/>
    </row>
    <row r="608" spans="1:16" ht="17.850000000000001" customHeight="1" x14ac:dyDescent="0.25">
      <c r="A608" s="2180" t="str">
        <f>A$472</f>
        <v>R6) GZ auf PERSONALKOSTEN (K3 Spalte B)</v>
      </c>
      <c r="B608" s="2181"/>
      <c r="C608" s="2181"/>
      <c r="D608" s="2313"/>
      <c r="E608" s="2313"/>
      <c r="F608" s="2313"/>
      <c r="G608" s="2313"/>
      <c r="H608" s="2313"/>
      <c r="I608" s="632"/>
      <c r="L608" s="216"/>
      <c r="M608" s="2083" t="s">
        <v>642</v>
      </c>
      <c r="N608" s="2084" t="str">
        <f>IF(N588="",""," in ["&amp;N588&amp;"]")</f>
        <v/>
      </c>
      <c r="O608" s="2083"/>
      <c r="P608" s="2085"/>
    </row>
    <row r="609" spans="1:20" ht="17.850000000000001" customHeight="1" x14ac:dyDescent="0.25">
      <c r="A609" s="2221" t="s">
        <v>561</v>
      </c>
      <c r="B609" s="2222"/>
      <c r="C609" s="2222"/>
      <c r="D609" s="2137"/>
      <c r="E609" s="2138"/>
      <c r="F609" s="2139"/>
      <c r="G609" s="196" t="str">
        <f>IF(D609="","",IFERROR(VLOOKUP(D609,'K2 GZ'!I$25:M$32,5,FALSE),KALKULATION!$M$283))</f>
        <v/>
      </c>
      <c r="H609" s="1057">
        <f>IF(G609=KALKULATION!$M$283,"",IF(D609="",$G$345,G609))</f>
        <v>0.28999999999999998</v>
      </c>
      <c r="I609" s="628" t="str">
        <f>IF(D609&lt;&gt;"","X","")</f>
        <v/>
      </c>
      <c r="J609" s="2178" t="str">
        <f>IF(G609=KALKULATION!$M$283,"Auswahl erneut vornehmen (ungültiger Verweis)!",IF(H609=KALKULATION!$M$283,"GZ aus K2-Blatt wählen!",""))</f>
        <v/>
      </c>
      <c r="K609" s="2178"/>
      <c r="L609" s="2179"/>
      <c r="M609" s="2080"/>
      <c r="N609" s="2086"/>
      <c r="O609" s="2080"/>
      <c r="P609" s="2082"/>
    </row>
    <row r="610" spans="1:20" ht="20.100000000000001" customHeight="1" x14ac:dyDescent="0.25">
      <c r="A610" s="1192" t="s">
        <v>393</v>
      </c>
      <c r="B610" s="839"/>
      <c r="C610" s="2347" t="str">
        <f>D572</f>
        <v>IV.   Bauhilfsarbeiter</v>
      </c>
      <c r="D610" s="2347"/>
      <c r="E610" s="2347"/>
      <c r="F610" s="625" t="s">
        <v>259</v>
      </c>
      <c r="G610" s="840">
        <f ca="1">H610/D557-1</f>
        <v>2.9359999999999999</v>
      </c>
      <c r="H610" s="841">
        <f ca="1">IFERROR(' K3 Regie3'!N$45,"??")</f>
        <v>67.03</v>
      </c>
      <c r="I610" s="632"/>
      <c r="J610" s="47"/>
      <c r="K610" s="47"/>
      <c r="L610" s="594"/>
      <c r="M610" s="2078"/>
      <c r="N610" s="2087"/>
      <c r="O610" s="2078"/>
      <c r="P610" s="2079"/>
      <c r="Q610" s="2016"/>
      <c r="R610" s="2419"/>
      <c r="S610" s="2419"/>
      <c r="T610" s="2419"/>
    </row>
    <row r="611" spans="1:20" ht="17.850000000000001" customHeight="1" x14ac:dyDescent="0.25">
      <c r="A611" s="2149" t="s">
        <v>714</v>
      </c>
      <c r="B611" s="2277"/>
      <c r="C611" s="2190" t="str">
        <f ca="1">IFERROR(VLOOKUP(A613,M612:N618,2,FALSE),KALKULATION!$M$283)</f>
        <v>Regielohnpreis gesamt für [IV.   Bauhilfsarbeiter]</v>
      </c>
      <c r="D611" s="2191"/>
      <c r="E611" s="2191"/>
      <c r="F611" s="2191"/>
      <c r="G611" s="2191"/>
      <c r="H611" s="2191"/>
      <c r="I611" s="632"/>
      <c r="J611" s="2326" t="str">
        <f ca="1">IF(OR(H609&lt;Report!$G$13,KALKULATION!H609&gt;Report!$F$13,AND(SUM(KALKULATION!F602:H604)&lt;&gt;0,OR(H606&lt;Report!$G$13,KALKULATION!H606&gt;Report!$F$13))),"Hinweis: GZ in R5.b oder R6 liegt außerhalb der empfohlenen Grenzwerte gem Blatt REPORT!","")</f>
        <v/>
      </c>
      <c r="K611" s="2326"/>
      <c r="L611" s="2327"/>
      <c r="M611" s="2088" t="s">
        <v>679</v>
      </c>
      <c r="N611" s="2088"/>
      <c r="Q611" s="2016"/>
      <c r="R611" s="2090"/>
      <c r="S611" s="2090"/>
      <c r="T611" s="2090"/>
    </row>
    <row r="612" spans="1:20" ht="17.850000000000001" customHeight="1" x14ac:dyDescent="0.25">
      <c r="A612" s="2153"/>
      <c r="B612" s="2278"/>
      <c r="C612" s="2192"/>
      <c r="D612" s="2193"/>
      <c r="E612" s="2193"/>
      <c r="F612" s="2193"/>
      <c r="G612" s="2193"/>
      <c r="H612" s="2193"/>
      <c r="I612" s="632"/>
      <c r="J612" s="2328"/>
      <c r="K612" s="2328"/>
      <c r="L612" s="2329"/>
      <c r="M612" s="2088" t="s">
        <v>717</v>
      </c>
      <c r="N612" s="2088" t="str">
        <f>N603</f>
        <v>Regielohnpreis gesamt</v>
      </c>
      <c r="Q612" s="2016"/>
      <c r="R612" s="2090"/>
      <c r="S612" s="2090"/>
      <c r="T612" s="2090"/>
    </row>
    <row r="613" spans="1:20" ht="17.850000000000001" customHeight="1" x14ac:dyDescent="0.25">
      <c r="A613" s="2270" t="s">
        <v>721</v>
      </c>
      <c r="B613" s="2271"/>
      <c r="C613" s="2194"/>
      <c r="D613" s="2195"/>
      <c r="E613" s="2195"/>
      <c r="F613" s="2195"/>
      <c r="G613" s="2195"/>
      <c r="H613" s="2195"/>
      <c r="I613" s="632"/>
      <c r="L613" s="216"/>
      <c r="M613" s="2088" t="s">
        <v>718</v>
      </c>
      <c r="N613" s="2088" t="str">
        <f>N603&amp;N606</f>
        <v>Regielohnpreis gesamt für [IV.   Bauhilfsarbeiter]</v>
      </c>
      <c r="Q613" s="2016"/>
      <c r="R613" s="2090"/>
      <c r="S613" s="2090"/>
      <c r="T613" s="2090"/>
    </row>
    <row r="614" spans="1:20" ht="17.850000000000001" customHeight="1" x14ac:dyDescent="0.25">
      <c r="A614" s="2236" t="str">
        <f>A$478</f>
        <v>Bezeichnung zusätzlich:</v>
      </c>
      <c r="B614" s="2237"/>
      <c r="C614" s="1096"/>
      <c r="D614" s="882"/>
      <c r="E614" s="882"/>
      <c r="F614" s="882"/>
      <c r="G614" s="882"/>
      <c r="H614" s="882"/>
      <c r="I614" s="632"/>
      <c r="L614" s="216"/>
      <c r="M614" s="2088" t="s">
        <v>719</v>
      </c>
      <c r="N614" s="2088" t="str">
        <f>N603&amp;P606</f>
        <v>Regielohnpreis gesamt</v>
      </c>
      <c r="Q614" s="2016"/>
      <c r="R614" s="2090"/>
      <c r="S614" s="2090"/>
      <c r="T614" s="2090"/>
    </row>
    <row r="615" spans="1:20" ht="17.850000000000001" customHeight="1" x14ac:dyDescent="0.25">
      <c r="A615" s="2149" t="str">
        <f>A$479</f>
        <v>Individuelle Bezeichnung für Wahl in R7.a:</v>
      </c>
      <c r="B615" s="2277"/>
      <c r="C615" s="2371"/>
      <c r="D615" s="2372"/>
      <c r="E615" s="2372"/>
      <c r="F615" s="2372"/>
      <c r="G615" s="2372"/>
      <c r="H615" s="2372"/>
      <c r="I615" s="632"/>
      <c r="L615" s="216"/>
      <c r="M615" s="2088" t="s">
        <v>720</v>
      </c>
      <c r="N615" s="2088" t="str">
        <f ca="1">N612&amp;N607&amp;N608</f>
        <v>Regielohnpreis gesamt</v>
      </c>
      <c r="Q615" s="2016"/>
      <c r="R615" s="2090"/>
      <c r="S615" s="2090"/>
      <c r="T615" s="2090"/>
    </row>
    <row r="616" spans="1:20" ht="17.850000000000001" customHeight="1" x14ac:dyDescent="0.25">
      <c r="A616" s="2151"/>
      <c r="B616" s="2279"/>
      <c r="C616" s="2373"/>
      <c r="D616" s="2374"/>
      <c r="E616" s="2374"/>
      <c r="F616" s="2374"/>
      <c r="G616" s="2374"/>
      <c r="H616" s="2374"/>
      <c r="I616" s="632"/>
      <c r="L616" s="216"/>
      <c r="M616" s="2088" t="s">
        <v>721</v>
      </c>
      <c r="N616" s="2088" t="str">
        <f ca="1">N613&amp;N607&amp;N608</f>
        <v>Regielohnpreis gesamt für [IV.   Bauhilfsarbeiter]</v>
      </c>
      <c r="Q616" s="2016"/>
      <c r="R616" s="2090"/>
      <c r="S616" s="2090"/>
      <c r="T616" s="2090"/>
    </row>
    <row r="617" spans="1:20" ht="17.850000000000001" customHeight="1" x14ac:dyDescent="0.25">
      <c r="A617" s="2366"/>
      <c r="B617" s="2367"/>
      <c r="C617" s="2367"/>
      <c r="D617" s="2367"/>
      <c r="E617" s="2367"/>
      <c r="F617" s="2367"/>
      <c r="G617" s="2367"/>
      <c r="H617" s="2367"/>
      <c r="I617" s="2367"/>
      <c r="L617" s="216"/>
      <c r="M617" s="2088" t="s">
        <v>722</v>
      </c>
      <c r="N617" s="2088" t="str">
        <f ca="1">N614&amp;N607&amp;N608</f>
        <v>Regielohnpreis gesamt</v>
      </c>
      <c r="Q617" s="2016"/>
      <c r="R617" s="2090"/>
      <c r="S617" s="2090"/>
      <c r="T617" s="2090"/>
    </row>
    <row r="618" spans="1:20" ht="17.850000000000001" customHeight="1" x14ac:dyDescent="0.25">
      <c r="A618" s="2117" t="s">
        <v>672</v>
      </c>
      <c r="B618" s="2121"/>
      <c r="C618" s="2121"/>
      <c r="D618" s="2121"/>
      <c r="E618" s="2121"/>
      <c r="F618" s="2121"/>
      <c r="G618" s="2121"/>
      <c r="H618" s="2121"/>
      <c r="I618" s="2121"/>
      <c r="J618" s="45"/>
      <c r="L618" s="216"/>
      <c r="M618" s="2088" t="s">
        <v>716</v>
      </c>
      <c r="N618" s="2088" t="str">
        <f>IF(C615="","",C615)</f>
        <v/>
      </c>
      <c r="Q618" s="2016"/>
      <c r="R618" s="2090"/>
      <c r="S618" s="2090"/>
      <c r="T618" s="2090"/>
    </row>
    <row r="619" spans="1:20" ht="17.850000000000001" customHeight="1" x14ac:dyDescent="0.25">
      <c r="A619" s="2117"/>
      <c r="B619" s="2121"/>
      <c r="C619" s="2121"/>
      <c r="D619" s="2121"/>
      <c r="E619" s="2121"/>
      <c r="F619" s="2121"/>
      <c r="G619" s="2121"/>
      <c r="H619" s="2121"/>
      <c r="I619" s="2121"/>
      <c r="J619" s="46"/>
      <c r="K619" s="47"/>
      <c r="L619" s="594"/>
      <c r="M619" s="2016"/>
      <c r="N619" s="2016"/>
      <c r="O619" s="2016"/>
      <c r="P619" s="2016"/>
    </row>
    <row r="620" spans="1:20" ht="17.850000000000001" customHeight="1" x14ac:dyDescent="0.25">
      <c r="A620" s="2375"/>
      <c r="B620" s="2375"/>
      <c r="C620" s="2375"/>
      <c r="D620" s="2375"/>
      <c r="E620" s="2375"/>
      <c r="F620" s="2375"/>
      <c r="G620" s="2375"/>
      <c r="H620" s="2375"/>
      <c r="I620" s="2375"/>
      <c r="L620" s="216"/>
    </row>
    <row r="621" spans="1:20" ht="25.15" customHeight="1" x14ac:dyDescent="0.35">
      <c r="A621" s="2853" t="str">
        <f ca="1">$A$413&amp;" 4"&amp;IF(A625=""," [keine Beschäftigungsgruppe ausgewählt]",IF(D625=KALKULATION!$M$283," - [nicht vorhandene Beschäftigungsgruppe]"," - kalkuliert für ["&amp;LEFT(A625,40)&amp;"]"))</f>
        <v>Regielohnpreis 4 - kalkuliert für [IIb.   Facharbeiter]</v>
      </c>
      <c r="B621" s="2854"/>
      <c r="C621" s="2854"/>
      <c r="D621" s="2854"/>
      <c r="E621" s="2854"/>
      <c r="F621" s="2854"/>
      <c r="G621" s="2854"/>
      <c r="H621" s="2854"/>
      <c r="I621" s="1220"/>
      <c r="J621" s="59"/>
      <c r="K621" s="59"/>
      <c r="L621" s="593"/>
    </row>
    <row r="622" spans="1:20" ht="17.850000000000001" customHeight="1" x14ac:dyDescent="0.25">
      <c r="A622" s="2117" t="s">
        <v>533</v>
      </c>
      <c r="B622" s="2417"/>
      <c r="C622" s="2418"/>
      <c r="D622" s="2840" t="s">
        <v>1141</v>
      </c>
      <c r="E622" s="2571"/>
      <c r="F622" s="2571"/>
      <c r="G622" s="2571"/>
      <c r="H622" s="2571"/>
      <c r="I622" s="619"/>
      <c r="L622" s="216"/>
    </row>
    <row r="623" spans="1:20" ht="17.850000000000001" customHeight="1" x14ac:dyDescent="0.25">
      <c r="A623" s="2405"/>
      <c r="B623" s="2406"/>
      <c r="C623" s="2407"/>
      <c r="D623" s="2386"/>
      <c r="E623" s="2387"/>
      <c r="F623" s="2387"/>
      <c r="G623" s="2387"/>
      <c r="H623" s="2387"/>
      <c r="I623" s="619"/>
      <c r="L623" s="216"/>
    </row>
    <row r="624" spans="1:20" ht="17.850000000000001" customHeight="1" thickBot="1" x14ac:dyDescent="0.3">
      <c r="A624" s="2266" t="s">
        <v>380</v>
      </c>
      <c r="B624" s="2266"/>
      <c r="C624" s="2266"/>
      <c r="D624" s="2266"/>
      <c r="E624" s="715" t="s">
        <v>18</v>
      </c>
      <c r="F624" s="715" t="s">
        <v>68</v>
      </c>
      <c r="G624" s="1011" t="s">
        <v>72</v>
      </c>
      <c r="H624" s="1120" t="s">
        <v>73</v>
      </c>
      <c r="I624" s="619"/>
      <c r="L624" s="216"/>
    </row>
    <row r="625" spans="1:12" ht="17.850000000000001" customHeight="1" thickTop="1" thickBot="1" x14ac:dyDescent="0.3">
      <c r="A625" s="2214" t="s">
        <v>1135</v>
      </c>
      <c r="B625" s="2215"/>
      <c r="C625" s="2216"/>
      <c r="D625" s="51">
        <f ca="1">IFERROR(VLOOKUP(A625,Stammdaten!A$7:D$33,4,FALSE),$M$283)</f>
        <v>19.989999999999998</v>
      </c>
      <c r="E625" s="520">
        <v>1</v>
      </c>
      <c r="F625" s="521">
        <v>1</v>
      </c>
      <c r="G625" s="349">
        <f ca="1">IFERROR(VLOOKUP(A625,Stammdaten!A$7:F$33,4,FALSE)*F625,"")</f>
        <v>19.989999999999998</v>
      </c>
      <c r="H625" s="522">
        <f ca="1">IFERROR(VLOOKUP(A625,Stammdaten!A$7:F$33,6,FALSE)*F625,"")</f>
        <v>3</v>
      </c>
      <c r="I625" s="619"/>
      <c r="J625" s="2178" t="str">
        <f ca="1">IF(D625=KALKULATION!$M$283,"Auswahl erneut vornehmen (ungültiger Verweis)!","")</f>
        <v/>
      </c>
      <c r="K625" s="2178"/>
      <c r="L625" s="2179"/>
    </row>
    <row r="626" spans="1:12" ht="17.850000000000001" customHeight="1" x14ac:dyDescent="0.25">
      <c r="A626" s="2323" t="s">
        <v>92</v>
      </c>
      <c r="B626" s="2324"/>
      <c r="C626" s="2324"/>
      <c r="D626" s="2325"/>
      <c r="E626" s="49">
        <f>E625</f>
        <v>1</v>
      </c>
      <c r="F626" s="50">
        <v>1</v>
      </c>
      <c r="G626" s="51">
        <f ca="1">IF(AND(_OK?="OK!",_OK_KV?="OK_KV!"),SUM(G625),ROUNDUP(G625,0))</f>
        <v>20</v>
      </c>
      <c r="H626" s="84">
        <f ca="1">SUM(H625:H625)</f>
        <v>3</v>
      </c>
      <c r="I626" s="620" t="str">
        <f ca="1">IF(OR(_OK?&lt;&gt;"OK!",_OK_KV?&lt;&gt;"OK_KV!"),"X","")</f>
        <v>X</v>
      </c>
      <c r="J626" s="1112"/>
      <c r="K626" s="1112"/>
      <c r="L626" s="270"/>
    </row>
    <row r="627" spans="1:12" ht="17.850000000000001" customHeight="1" x14ac:dyDescent="0.25">
      <c r="A627" s="2142" t="s">
        <v>895</v>
      </c>
      <c r="B627" s="2143"/>
      <c r="C627" s="2143"/>
      <c r="D627" s="2143"/>
      <c r="E627" s="2143"/>
      <c r="F627" s="2143"/>
      <c r="G627" s="2143"/>
      <c r="H627" s="2143"/>
      <c r="I627" s="619"/>
      <c r="J627" s="1112"/>
      <c r="K627" s="1112"/>
      <c r="L627" s="216"/>
    </row>
    <row r="628" spans="1:12" ht="17.850000000000001" customHeight="1" thickBot="1" x14ac:dyDescent="0.3">
      <c r="A628" s="2395"/>
      <c r="B628" s="2396"/>
      <c r="C628" s="2397"/>
      <c r="D628" s="60">
        <f ca="1">IFERROR(VLOOKUP(A628,Stammdaten!A$7:D$33,4,FALSE),$M$283)</f>
        <v>0</v>
      </c>
      <c r="E628" s="359"/>
      <c r="F628" s="53" t="str">
        <f>IFERROR(IF(A628&lt;&gt;"",E628/E629,""),"")</f>
        <v/>
      </c>
      <c r="G628" s="60" t="str">
        <f ca="1">IFERROR(VLOOKUP(A628,Stammdaten!A$7:F$33,4,FALSE)*F628,"")</f>
        <v/>
      </c>
      <c r="H628" s="571" t="str">
        <f ca="1">IFERROR(VLOOKUP(A628,Stammdaten!A$7:F$33,6,FALSE)*F628,"")</f>
        <v/>
      </c>
      <c r="I628" s="621"/>
      <c r="J628" s="2178" t="str">
        <f ca="1">IF(OR(COUNTA(A628,E628)=2,COUNTA(A628,E628)=0),IF(D628=KALKULATION!$M$283,"Auswahl erneut vornehmen (ungültiger Verweis)!",""),"Eingabe unvollständig (ergänzen oder löschen)!")</f>
        <v/>
      </c>
      <c r="K628" s="2178"/>
      <c r="L628" s="2179"/>
    </row>
    <row r="629" spans="1:12" ht="17.850000000000001" customHeight="1" x14ac:dyDescent="0.25">
      <c r="A629" s="392" t="s">
        <v>92</v>
      </c>
      <c r="B629" s="373"/>
      <c r="C629" s="373"/>
      <c r="D629" s="212"/>
      <c r="E629" s="64">
        <f>SUM(E628:E628)</f>
        <v>0</v>
      </c>
      <c r="F629" s="50">
        <f>SUM(F628:F628)</f>
        <v>0</v>
      </c>
      <c r="G629" s="51">
        <f ca="1">SUM(G628:G628)</f>
        <v>0</v>
      </c>
      <c r="H629" s="84">
        <f ca="1">SUM(H628:H628)</f>
        <v>0</v>
      </c>
      <c r="I629" s="619"/>
      <c r="J629" s="2178" t="str">
        <f ca="1">IF(E629&gt;=E626,"Unzulässige Umlage (R2 größer/gleich R1)!!!",IF(AND(E629&lt;&gt;0,G626=0),"Beschäftigungsgruppe in R1 wählen!",""))</f>
        <v/>
      </c>
      <c r="K629" s="2178"/>
      <c r="L629" s="2179"/>
    </row>
    <row r="630" spans="1:12" ht="17.850000000000001" customHeight="1" x14ac:dyDescent="0.25">
      <c r="A630" s="2134" t="s">
        <v>699</v>
      </c>
      <c r="B630" s="2135"/>
      <c r="C630" s="2135"/>
      <c r="D630" s="2135"/>
      <c r="E630" s="2135"/>
      <c r="F630" s="2135"/>
      <c r="G630" s="2135"/>
      <c r="H630" s="572">
        <v>0</v>
      </c>
      <c r="I630" s="622"/>
      <c r="L630" s="216"/>
    </row>
    <row r="631" spans="1:12" ht="17.850000000000001" customHeight="1" x14ac:dyDescent="0.25">
      <c r="A631" s="2287" t="str">
        <f>IFERROR("Info: Kalk. 'Regiestunde' ist zu "&amp;TEXT(G631,"0,0")&amp;" Std prod. und "&amp;TEXT(H631,"0,0")&amp;" Std unproduktiv ("&amp;TEXT(H631/G631,"0,0%")&amp;")","Unzulässige Division durch 0 - Berechnung kann nicht fortgesetzt werden!")</f>
        <v>Info: Kalk. 'Regiestunde' ist zu 1,0 Std prod. und 0,0 Std unproduktiv (0,0%)</v>
      </c>
      <c r="B631" s="2288"/>
      <c r="C631" s="2288"/>
      <c r="D631" s="2288"/>
      <c r="E631" s="2288"/>
      <c r="F631" s="2288"/>
      <c r="G631" s="367">
        <f>IF(H630=1,E626,E626-E629)</f>
        <v>1</v>
      </c>
      <c r="H631" s="367">
        <f>E629</f>
        <v>0</v>
      </c>
      <c r="I631" s="619"/>
      <c r="J631" s="2176" t="str">
        <f>IF(AND(ISBLANK(H630),E629&lt;&gt;0),"Kennzeichen eingeben! Es sind unprod. Zeiten kalkuliert.","")</f>
        <v/>
      </c>
      <c r="K631" s="2176"/>
      <c r="L631" s="2177"/>
    </row>
    <row r="632" spans="1:12" ht="17.850000000000001" customHeight="1" x14ac:dyDescent="0.25">
      <c r="A632" s="2284"/>
      <c r="B632" s="2285"/>
      <c r="C632" s="2285"/>
      <c r="D632" s="2285"/>
      <c r="E632" s="2285"/>
      <c r="F632" s="2285"/>
      <c r="G632" s="2285"/>
      <c r="H632" s="2285"/>
      <c r="I632" s="619"/>
      <c r="J632" s="2280" t="str">
        <f>IFERROR(IF(H631/G631&gt;Report!$F$7,"Hinweis: Unproduktiver Anteil erscheint hoch!",""),"Der unprod. Anteil löst eine Division mit 0 aus!")</f>
        <v/>
      </c>
      <c r="K632" s="2280"/>
      <c r="L632" s="2281"/>
    </row>
    <row r="633" spans="1:12" ht="17.850000000000001" customHeight="1" thickBot="1" x14ac:dyDescent="0.3">
      <c r="A633" s="2144" t="s">
        <v>382</v>
      </c>
      <c r="B633" s="2145"/>
      <c r="C633" s="2146"/>
      <c r="D633" s="860" t="s">
        <v>72</v>
      </c>
      <c r="E633" s="861" t="s">
        <v>73</v>
      </c>
      <c r="F633" s="862" t="s">
        <v>118</v>
      </c>
      <c r="G633" s="863" t="s">
        <v>85</v>
      </c>
      <c r="H633" s="864" t="s">
        <v>73</v>
      </c>
      <c r="I633" s="619"/>
      <c r="L633" s="216"/>
    </row>
    <row r="634" spans="1:12" ht="17.850000000000001" customHeight="1" x14ac:dyDescent="0.25">
      <c r="A634" s="703" t="str">
        <f>A$498</f>
        <v>Verrechenbare Zeit</v>
      </c>
      <c r="B634" s="704"/>
      <c r="C634" s="705"/>
      <c r="D634" s="706">
        <f ca="1">G626*G631</f>
        <v>20</v>
      </c>
      <c r="E634" s="707">
        <f ca="1">G631*H626</f>
        <v>3</v>
      </c>
      <c r="F634" s="708" t="s">
        <v>204</v>
      </c>
      <c r="G634" s="685">
        <f ca="1">D634</f>
        <v>20</v>
      </c>
      <c r="H634" s="686">
        <f ca="1">IF(D637=_Ja,"",D636)</f>
        <v>20</v>
      </c>
      <c r="I634" s="619"/>
      <c r="L634" s="216"/>
    </row>
    <row r="635" spans="1:12" ht="17.850000000000001" customHeight="1" thickBot="1" x14ac:dyDescent="0.3">
      <c r="A635" s="687" t="str">
        <f>A$499</f>
        <v>Nicht verrechenb. Zeit</v>
      </c>
      <c r="B635" s="688"/>
      <c r="C635" s="689"/>
      <c r="D635" s="690">
        <f ca="1">H631*G629</f>
        <v>0</v>
      </c>
      <c r="E635" s="691">
        <f ca="1">H631*H629</f>
        <v>0</v>
      </c>
      <c r="F635" s="709" t="s">
        <v>203</v>
      </c>
      <c r="G635" s="693">
        <f ca="1">D635</f>
        <v>0</v>
      </c>
      <c r="H635" s="694">
        <f ca="1">IF(D637=_Ja,"",E636)</f>
        <v>3</v>
      </c>
      <c r="I635" s="619"/>
      <c r="L635" s="216"/>
    </row>
    <row r="636" spans="1:12" ht="17.850000000000001" customHeight="1" x14ac:dyDescent="0.25">
      <c r="A636" s="695"/>
      <c r="B636" s="696"/>
      <c r="C636" s="697" t="s">
        <v>56</v>
      </c>
      <c r="D636" s="698">
        <f ca="1">SUM(D634:D635)</f>
        <v>20</v>
      </c>
      <c r="E636" s="699">
        <f ca="1">SUM(E634:E635)</f>
        <v>3</v>
      </c>
      <c r="F636" s="710" t="s">
        <v>86</v>
      </c>
      <c r="G636" s="711">
        <f ca="1">G635/G634</f>
        <v>0</v>
      </c>
      <c r="H636" s="712">
        <f ca="1">IF(D637=_Ja,$H$73,H635/H634)</f>
        <v>0.15</v>
      </c>
      <c r="I636" s="623" t="str">
        <f>IF(D637=_Ja,"X","")</f>
        <v/>
      </c>
      <c r="L636" s="216"/>
    </row>
    <row r="637" spans="1:12" ht="17.850000000000001" customHeight="1" thickBot="1" x14ac:dyDescent="0.3">
      <c r="A637" s="2756" t="str">
        <f ca="1">"Ø AKV Pkt B ist "&amp;TEXT($H$73,"0,00%")&amp;". Beibehalten?"</f>
        <v>Ø AKV Pkt B ist 14,40%. Beibehalten?</v>
      </c>
      <c r="B637" s="2757"/>
      <c r="C637" s="2758"/>
      <c r="D637" s="826" t="s">
        <v>193</v>
      </c>
      <c r="E637" s="2208" t="s">
        <v>383</v>
      </c>
      <c r="F637" s="2209"/>
      <c r="G637" s="378"/>
      <c r="H637" s="379"/>
      <c r="I637" s="623" t="str">
        <f>IF(OR(G637&lt;&gt;0,H637&lt;&gt;0),"X","")</f>
        <v/>
      </c>
      <c r="L637" s="216"/>
    </row>
    <row r="638" spans="1:12" ht="17.850000000000001" customHeight="1" x14ac:dyDescent="0.25">
      <c r="A638" s="2217"/>
      <c r="B638" s="2218"/>
      <c r="C638" s="2218"/>
      <c r="D638" s="2218"/>
      <c r="E638" s="2187" t="s">
        <v>556</v>
      </c>
      <c r="F638" s="2188"/>
      <c r="G638" s="86">
        <f ca="1">SUM(G636,G637)</f>
        <v>0</v>
      </c>
      <c r="H638" s="154">
        <f ca="1">SUM(H636,H637)</f>
        <v>0.15</v>
      </c>
      <c r="I638" s="619"/>
      <c r="L638" s="216"/>
    </row>
    <row r="639" spans="1:12" ht="17.850000000000001" customHeight="1" x14ac:dyDescent="0.25">
      <c r="A639" s="2210"/>
      <c r="B639" s="2211"/>
      <c r="C639" s="2211"/>
      <c r="D639" s="2211"/>
      <c r="E639" s="2210"/>
      <c r="F639" s="2220"/>
      <c r="G639" s="368" t="s">
        <v>121</v>
      </c>
      <c r="H639" s="369" t="s">
        <v>122</v>
      </c>
      <c r="I639" s="619"/>
      <c r="L639" s="216"/>
    </row>
    <row r="640" spans="1:12" ht="17.850000000000001" customHeight="1" x14ac:dyDescent="0.25">
      <c r="A640" s="1193" t="s">
        <v>384</v>
      </c>
      <c r="B640" s="836"/>
      <c r="C640" s="836"/>
      <c r="D640" s="2189" t="str">
        <f>IF(A625=0,"Beschäfftigungsgruppe wählen!",A625)</f>
        <v>IIb.   Facharbeiter</v>
      </c>
      <c r="E640" s="2189"/>
      <c r="F640" s="2189"/>
      <c r="G640" s="2189"/>
      <c r="H640" s="838">
        <f ca="1">IFERROR(' K3 Regie4'!N$45,"??")</f>
        <v>107.74</v>
      </c>
      <c r="I640" s="619"/>
      <c r="L640" s="216"/>
    </row>
    <row r="641" spans="1:18" ht="17.850000000000001" customHeight="1" x14ac:dyDescent="0.25">
      <c r="A641" s="875" t="s">
        <v>632</v>
      </c>
      <c r="B641" s="876"/>
      <c r="C641" s="876"/>
      <c r="D641" s="876"/>
      <c r="E641" s="876"/>
      <c r="F641" s="876"/>
      <c r="G641" s="876"/>
      <c r="H641" s="876"/>
      <c r="I641" s="619"/>
      <c r="J641" s="2183" t="str">
        <f>IF(OR(I642="X",I647="X"),M$301,"")</f>
        <v>Hinweis: IdR enthalten Regiepreise keinen Ansatz für Zulagen (R4.a) und Mehrarbeitszuschläge (R4.b). Vertrag beachten!</v>
      </c>
      <c r="K641" s="2183"/>
      <c r="L641" s="2184"/>
    </row>
    <row r="642" spans="1:18" ht="17.850000000000001" customHeight="1" x14ac:dyDescent="0.25">
      <c r="A642" s="2134" t="s">
        <v>704</v>
      </c>
      <c r="B642" s="2135"/>
      <c r="C642" s="2136"/>
      <c r="D642" s="865" t="s">
        <v>702</v>
      </c>
      <c r="E642" s="2137" t="s">
        <v>902</v>
      </c>
      <c r="F642" s="2138"/>
      <c r="G642" s="2139"/>
      <c r="H642" s="1010">
        <f>IFERROR(VLOOKUP(E642,M642:N644,2,FALSE),"")</f>
        <v>0</v>
      </c>
      <c r="I642" s="623" t="str">
        <f>IF(E642&lt;&gt;M642,"X","")</f>
        <v/>
      </c>
      <c r="J642" s="2183"/>
      <c r="K642" s="2183"/>
      <c r="L642" s="2184"/>
      <c r="M642" s="2014" t="str">
        <f t="shared" ref="M642:N644" si="61">M438</f>
        <v>1. Standard (ÖN B 2110) ohne Zulagen</v>
      </c>
      <c r="N642" s="2091">
        <f t="shared" si="61"/>
        <v>0</v>
      </c>
    </row>
    <row r="643" spans="1:18" ht="17.850000000000001" customHeight="1" thickBot="1" x14ac:dyDescent="0.3">
      <c r="A643" s="672" t="s">
        <v>630</v>
      </c>
      <c r="B643" s="673"/>
      <c r="C643" s="674" t="s">
        <v>629</v>
      </c>
      <c r="D643" s="674" t="s">
        <v>631</v>
      </c>
      <c r="E643" s="674" t="s">
        <v>159</v>
      </c>
      <c r="F643" s="674" t="s">
        <v>8</v>
      </c>
      <c r="G643" s="674" t="s">
        <v>9</v>
      </c>
      <c r="H643" s="675" t="s">
        <v>10</v>
      </c>
      <c r="I643" s="619"/>
      <c r="L643" s="216"/>
      <c r="M643" s="2014" t="str">
        <f t="shared" si="61"/>
        <v>2. Wert gem Kalkulation Pkt D (K3_PP)</v>
      </c>
      <c r="N643" s="2091">
        <f ca="1">N439</f>
        <v>0.03</v>
      </c>
    </row>
    <row r="644" spans="1:18" ht="30" customHeight="1" thickTop="1" x14ac:dyDescent="0.25">
      <c r="A644" s="2185"/>
      <c r="B644" s="2186"/>
      <c r="C644" s="766">
        <v>1</v>
      </c>
      <c r="D644" s="871">
        <v>1</v>
      </c>
      <c r="E644" s="872" t="str">
        <f>IF(ISBLANK(A644),"",IF(L$27="",IFERROR(VLOOKUP(A644,Stammdaten!$A$70:$C$96,3,FALSE),KALKULATION!$M$283),"ungültig"))</f>
        <v/>
      </c>
      <c r="F644" s="676" t="str">
        <f>IFERROR(C644*D644*E644,"")</f>
        <v/>
      </c>
      <c r="G644" s="677">
        <f ca="1">IFERROR(VLOOKUP(A644,Stammdaten!$A$70:$C$96,2,FALSE),"")</f>
        <v>0</v>
      </c>
      <c r="H644" s="678">
        <f ca="1">IFERROR(C644*D644*G644,"")</f>
        <v>0</v>
      </c>
      <c r="I644" s="619"/>
      <c r="J644" s="2227" t="str">
        <f>VLOOKUP(E647,M647:Q650,5,FALSE)</f>
        <v>Hinweis zu R4.b - 4.) Wenn ein Regiepreis unter kalkulatorischer Beachtung zeitlicher Rahmenbedingungen zu nennen ist, ist diese Auswahl zutreffend. Mehrarbeitszuschläge und Verr.std.zuschläge lassen sich individuell getrennt erfassen.</v>
      </c>
      <c r="K644" s="2227"/>
      <c r="L644" s="2228"/>
      <c r="M644" s="2014" t="str">
        <f t="shared" si="61"/>
        <v>3. Eigene Kalkulation für den Regiepreis</v>
      </c>
      <c r="N644" s="1950" t="str">
        <f t="shared" si="61"/>
        <v>berechnen:</v>
      </c>
    </row>
    <row r="645" spans="1:18" ht="17.850000000000001" customHeight="1" x14ac:dyDescent="0.25">
      <c r="A645" s="866"/>
      <c r="B645" s="867"/>
      <c r="C645" s="867"/>
      <c r="D645" s="874" t="s">
        <v>705</v>
      </c>
      <c r="E645" s="873">
        <f ca="1">' K3 Regie4'!O$21</f>
        <v>20</v>
      </c>
      <c r="F645" s="870">
        <f ca="1">IFERROR(F644/E645,0)</f>
        <v>0</v>
      </c>
      <c r="G645" s="868" t="str">
        <f ca="1">IF(G644=0,"",$G$131)</f>
        <v/>
      </c>
      <c r="H645" s="1007">
        <f ca="1">IFERROR(H644*G645,0)</f>
        <v>0</v>
      </c>
      <c r="I645" s="619"/>
      <c r="J645" s="2227"/>
      <c r="K645" s="2227"/>
      <c r="L645" s="2228"/>
    </row>
    <row r="646" spans="1:18" ht="17.850000000000001" customHeight="1" x14ac:dyDescent="0.25">
      <c r="A646" s="392" t="s">
        <v>768</v>
      </c>
      <c r="B646" s="67"/>
      <c r="C646" s="346"/>
      <c r="D646" s="346"/>
      <c r="E646" s="346"/>
      <c r="F646" s="498"/>
      <c r="G646" s="346"/>
      <c r="H646" s="92">
        <f>IF(E642=M644,SUM(F645,H645),H642)</f>
        <v>0</v>
      </c>
      <c r="I646" s="619"/>
      <c r="J646" s="2227"/>
      <c r="K646" s="2227"/>
      <c r="L646" s="2228"/>
      <c r="M646" s="1958" t="str">
        <f>M$442</f>
        <v>DD Arbeitszeitzuschläge</v>
      </c>
      <c r="N646" s="1958"/>
      <c r="O646" s="1958"/>
      <c r="P646" s="1958" t="str">
        <f t="shared" ref="P646" si="62">P$442</f>
        <v>Text in K3</v>
      </c>
      <c r="Q646" s="1958" t="str">
        <f>Q$442</f>
        <v>Text in Kalk</v>
      </c>
      <c r="R646" s="1960"/>
    </row>
    <row r="647" spans="1:18" ht="17.850000000000001" customHeight="1" x14ac:dyDescent="0.25">
      <c r="A647" s="2142" t="s">
        <v>564</v>
      </c>
      <c r="B647" s="2143"/>
      <c r="C647" s="2143"/>
      <c r="D647" s="927" t="s">
        <v>770</v>
      </c>
      <c r="E647" s="2137" t="s">
        <v>878</v>
      </c>
      <c r="F647" s="2138"/>
      <c r="G647" s="2138"/>
      <c r="H647" s="1010" t="str">
        <f>IFERROR(VLOOKUP(E647,M647:N650,2,FALSE),"")</f>
        <v>berechnen:</v>
      </c>
      <c r="I647" s="623" t="str">
        <f>IF(E647&lt;&gt;M647,"X","")</f>
        <v>X</v>
      </c>
      <c r="J647" s="2227"/>
      <c r="K647" s="2227"/>
      <c r="L647" s="2228"/>
      <c r="M647" s="2014" t="str">
        <f>M$443</f>
        <v>1. Standard (ÖN B 2110) ohne Zuschlag</v>
      </c>
      <c r="N647" s="1999">
        <f t="shared" ref="N647:Q647" si="63">N$443</f>
        <v>0</v>
      </c>
      <c r="O647" s="1950"/>
      <c r="P647" s="1950" t="str">
        <f t="shared" si="63"/>
        <v>Regiestunde</v>
      </c>
      <c r="Q647" s="1950" t="str">
        <f t="shared" si="63"/>
        <v>Hinweis zu R4.b - 1.) Wenn der Regiepreis keine Arbeitszeitzuschläge enthalten soll (Regelung gem ÖN B 2110) ist diese Einstellung (1.) zutreffend.</v>
      </c>
      <c r="R647" s="1965"/>
    </row>
    <row r="648" spans="1:18" ht="17.850000000000001" customHeight="1" x14ac:dyDescent="0.25">
      <c r="A648" s="2321" t="s">
        <v>563</v>
      </c>
      <c r="B648" s="2322"/>
      <c r="C648" s="2322"/>
      <c r="D648" s="2322"/>
      <c r="E648" s="553" t="s">
        <v>378</v>
      </c>
      <c r="F648" s="524" t="s">
        <v>192</v>
      </c>
      <c r="G648" s="925">
        <v>1</v>
      </c>
      <c r="H648" s="607"/>
      <c r="I648" s="623" t="str">
        <f>IF(AND(E647=M650,F648=_Ja),"X","")</f>
        <v>X</v>
      </c>
      <c r="J648" s="2176" t="str">
        <f>IF(OR(F648=$Q$31,F648=$Q$32),"","Bitte Ja oder Nein wählen!")</f>
        <v/>
      </c>
      <c r="K648" s="2176"/>
      <c r="L648" s="2177"/>
      <c r="M648" s="2014" t="str">
        <f>M$444</f>
        <v>2. Regie mit Ø-Zuschlag wie K3 Zeile 8</v>
      </c>
      <c r="N648" s="1999">
        <f t="shared" ref="N648:Q648" ca="1" si="64">N$444</f>
        <v>4.2999999999999997E-2</v>
      </c>
      <c r="O648" s="1950"/>
      <c r="P648" s="1950" t="str">
        <f t="shared" si="64"/>
        <v>Regiestd. (Ø-% wie K3 Z 8)</v>
      </c>
      <c r="Q648" s="1950" t="str">
        <f t="shared" si="64"/>
        <v>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v>
      </c>
      <c r="R648" s="1965"/>
    </row>
    <row r="649" spans="1:18" ht="17.850000000000001" customHeight="1" x14ac:dyDescent="0.25">
      <c r="A649" s="540" t="s">
        <v>379</v>
      </c>
      <c r="B649" s="2122" t="s">
        <v>935</v>
      </c>
      <c r="C649" s="2123"/>
      <c r="D649" s="2124"/>
      <c r="E649" s="542">
        <f ca="1">IF(OR(ISBLANK(B649),F648=_Nein),"",IFERROR(VLOOKUP(B649,Stammdaten!A$39:C$48,3,FALSE),KALKULATION!$M$283))</f>
        <v>0.5</v>
      </c>
      <c r="F649" s="1101"/>
      <c r="G649" s="544"/>
      <c r="H649" s="608"/>
      <c r="I649" s="623"/>
      <c r="J649" s="2178" t="str">
        <f ca="1">IF(F648&lt;&gt;$Q$31,"",IF(AND(E649=KALKULATION!$M$283,F648=$Q$31),"Auswahl erneut vornehmen (ungültiger Verweis)!",IF(OR(AND(F648=$Q$31,B649=""),AND(F648=$Q$32,B649&lt;&gt;"")),"Eingabe unvollständig (ergänzen,  löschen od Nein wählen)!","")))</f>
        <v/>
      </c>
      <c r="K649" s="2178"/>
      <c r="L649" s="2179"/>
      <c r="M649" s="2014" t="str">
        <f>M$445</f>
        <v>3. Regie mit Std-Zuschlag wie K3</v>
      </c>
      <c r="N649" s="1999">
        <f t="shared" ref="N649:Q649" ca="1" si="65">N$445</f>
        <v>0.6</v>
      </c>
      <c r="O649" s="1950"/>
      <c r="P649" s="1950" t="str">
        <f t="shared" si="65"/>
        <v>Regiestd. (Std-% analog K3)</v>
      </c>
      <c r="Q649" s="1950" t="str">
        <f t="shared" si="65"/>
        <v>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v>
      </c>
      <c r="R649" s="1965"/>
    </row>
    <row r="650" spans="1:18" ht="17.850000000000001" customHeight="1" x14ac:dyDescent="0.25">
      <c r="A650" s="2297" t="s">
        <v>135</v>
      </c>
      <c r="B650" s="2298"/>
      <c r="C650" s="2298"/>
      <c r="D650" s="2298"/>
      <c r="E650" s="541">
        <f ca="1">IFERROR(IF(VLOOKUP(B649,Stammdaten!A$39:C$48,2,FALSE)=0,1,(VLOOKUP(B649,Stammdaten!A$39:C$48,2,FALSE))),"")</f>
        <v>1.2</v>
      </c>
      <c r="F650" s="1101"/>
      <c r="G650" s="545"/>
      <c r="H650" s="609"/>
      <c r="I650" s="623"/>
      <c r="L650" s="216"/>
      <c r="M650" s="2014" t="str">
        <f>M$446</f>
        <v>4. Regie berechnen</v>
      </c>
      <c r="N650" s="1950" t="str">
        <f t="shared" ref="N650:Q650" si="66">N$446</f>
        <v>berechnen:</v>
      </c>
      <c r="O650" s="1950"/>
      <c r="P650" s="1950"/>
      <c r="Q650" s="1950" t="str">
        <f t="shared" si="66"/>
        <v>Hinweis zu R4.b - 4.) Wenn ein Regiepreis unter kalkulatorischer Beachtung zeitlicher Rahmenbedingungen zu nennen ist, ist diese Auswahl zutreffend. Mehrarbeitszuschläge und Verr.std.zuschläge lassen sich individuell getrennt erfassen.</v>
      </c>
      <c r="R650" s="1965"/>
    </row>
    <row r="651" spans="1:18" ht="17.850000000000001" customHeight="1" x14ac:dyDescent="0.25">
      <c r="A651" s="2233" t="s">
        <v>560</v>
      </c>
      <c r="B651" s="2234"/>
      <c r="C651" s="2234"/>
      <c r="D651" s="2234"/>
      <c r="E651" s="2235"/>
      <c r="F651" s="351">
        <v>1</v>
      </c>
      <c r="G651" s="546">
        <f>IF(F651=1,1,IF(F651=2,((' K3 Regie4'!O$23+' K3 Regie4'!O$24)/' K3 Regie4'!O$23),IF(F651&gt;2,((' K3 Regie4'!O$23+' K3 Regie4'!O$24+' K3 Regie4'!O$25)/' K3 Regie4'!O$23),"")))</f>
        <v>1</v>
      </c>
      <c r="H651" s="608">
        <f ca="1">IFERROR(IF(AND(F648=$Q$31,F651&gt;0),(E649*E650*G651),""),"??")</f>
        <v>0.6</v>
      </c>
      <c r="I651" s="623"/>
      <c r="J651" s="1090" t="str">
        <f>IF(F648&lt;&gt;$Q$31,"",IF(AND(ISBLANK(F651),F648=$Q$31),"Kennzeichen setzen!",""))</f>
        <v/>
      </c>
      <c r="K651" s="1090"/>
      <c r="L651" s="365"/>
      <c r="M651" s="2069" t="s">
        <v>866</v>
      </c>
      <c r="R651" s="1965"/>
    </row>
    <row r="652" spans="1:18" ht="17.850000000000001" customHeight="1" x14ac:dyDescent="0.25">
      <c r="A652" s="2321" t="s">
        <v>565</v>
      </c>
      <c r="B652" s="2322"/>
      <c r="C652" s="2322"/>
      <c r="D652" s="2322"/>
      <c r="E652" s="553" t="s">
        <v>378</v>
      </c>
      <c r="F652" s="524" t="s">
        <v>193</v>
      </c>
      <c r="G652" s="543"/>
      <c r="H652" s="607"/>
      <c r="I652" s="623" t="str">
        <f>IF(AND(E647=M650,F652=_Ja),"X","")</f>
        <v/>
      </c>
      <c r="J652" s="2176"/>
      <c r="K652" s="2176"/>
      <c r="L652" s="2177"/>
      <c r="M652" s="1342" t="s">
        <v>859</v>
      </c>
      <c r="N652" s="2070" t="str">
        <f>IF(E647=M648,P648,IF(E647=M649,P649,IF(AND(E647=M650,F648=_Ja),B649,P647)))</f>
        <v>Überstunde 50%</v>
      </c>
      <c r="O652" s="2065"/>
      <c r="P652" s="1999" t="str">
        <f ca="1">IF(AND(E647=M650,F648=_Ja),TEXT(E649,"0%"),IF(N652=P648,TEXT(N648,"0,00%"),IF(N652=P649,TEXT($P$113,"0%"),"")))</f>
        <v>50%</v>
      </c>
      <c r="R652" s="1965"/>
    </row>
    <row r="653" spans="1:18" ht="17.850000000000001" customHeight="1" x14ac:dyDescent="0.25">
      <c r="A653" s="540" t="s">
        <v>379</v>
      </c>
      <c r="B653" s="2122"/>
      <c r="C653" s="2123"/>
      <c r="D653" s="2124"/>
      <c r="E653" s="549" t="str">
        <f>IF(OR(ISBLANK(B653),F652=_Nein),"",IFERROR(VLOOKUP(B653,Stammdaten!A$50:C$54,3,FALSE),KALKULATION!$M$283))</f>
        <v/>
      </c>
      <c r="F653" s="1101"/>
      <c r="G653" s="544"/>
      <c r="H653" s="608"/>
      <c r="I653" s="623"/>
      <c r="J653" s="2178" t="str">
        <f>IF(F652&lt;&gt;$Q$31,"",IF(AND(E653=KALKULATION!$M$283,F652=$Q$31),"Auswahl erneut vornehmen (ungültiger Verweis)!",IF(OR(AND(F652=$Q$31,B653=""),AND(F652=$Q$32,B653&lt;&gt;"")),"Eingabe unvollständig (ergänzen,  löschen od Nein wählen)!","")))</f>
        <v/>
      </c>
      <c r="K653" s="2178"/>
      <c r="L653" s="2179"/>
      <c r="M653" s="1342" t="s">
        <v>863</v>
      </c>
      <c r="N653" s="2071" t="str">
        <f>IF(AND(E647=M650,F652=_Ja),B653,"")</f>
        <v/>
      </c>
      <c r="O653" s="2072"/>
      <c r="P653" s="1999" t="str">
        <f>IF(N653="","",E653)</f>
        <v/>
      </c>
      <c r="Q653" s="1951"/>
      <c r="R653" s="2073"/>
    </row>
    <row r="654" spans="1:18" ht="17.850000000000001" customHeight="1" x14ac:dyDescent="0.25">
      <c r="A654" s="2241" t="s">
        <v>198</v>
      </c>
      <c r="B654" s="2242"/>
      <c r="C654" s="2242"/>
      <c r="D654" s="2242"/>
      <c r="E654" s="541" t="str">
        <f ca="1">IFERROR(IF(VLOOKUP(B653,Stammdaten!A$50:C$54,2,FALSE)=0,1,(VLOOKUP(B653,Stammdaten!A$50:C$54,2,FALSE))),"")</f>
        <v/>
      </c>
      <c r="F654" s="1101"/>
      <c r="G654" s="545"/>
      <c r="H654" s="609"/>
      <c r="I654" s="623"/>
      <c r="L654" s="216"/>
      <c r="M654" s="1342" t="s">
        <v>864</v>
      </c>
      <c r="N654" s="2071" t="str">
        <f>IF(AND(E647=M650,F656=_Ja),B657,"")</f>
        <v/>
      </c>
      <c r="O654" s="2014"/>
      <c r="P654" s="2074" t="str">
        <f>IF(N654="","",E657)</f>
        <v/>
      </c>
      <c r="Q654" s="1951"/>
      <c r="R654" s="2073"/>
    </row>
    <row r="655" spans="1:18" ht="17.850000000000001" customHeight="1" x14ac:dyDescent="0.25">
      <c r="A655" s="2233" t="str">
        <f>A651</f>
        <v xml:space="preserve">  Basis für die Aufzahlung in % (siehe Pkt C0; KZ = 1, 2, 3 od. 4):  ↓</v>
      </c>
      <c r="B655" s="2234"/>
      <c r="C655" s="2234"/>
      <c r="D655" s="2234"/>
      <c r="E655" s="2235"/>
      <c r="F655" s="351">
        <v>1</v>
      </c>
      <c r="G655" s="546">
        <f>IF(F655=1,1,IF(F655=2,((' K3 Regie4'!O$23+' K3 Regie4'!O$24)/' K3 Regie4'!O$23),IF(F655&gt;2,((' K3 Regie4'!O$23+' K3 Regie4'!O$24+' K3 Regie4'!O$25)/' K3 Regie4'!O$23),"")))</f>
        <v>1</v>
      </c>
      <c r="H655" s="608" t="str">
        <f>IFERROR(IF(F652=$Q$31,(E653*E654*G655),""),"??")</f>
        <v/>
      </c>
      <c r="I655" s="623"/>
      <c r="J655" s="2176" t="str">
        <f>IF(F652&lt;&gt;$Q$31,"",IF(AND(ISBLANK(F655),F652=$Q$31),"Kennzeichen setzen!",""))</f>
        <v/>
      </c>
      <c r="K655" s="2176"/>
      <c r="L655" s="360"/>
      <c r="M655" s="1342" t="s">
        <v>868</v>
      </c>
      <c r="N655" s="1342">
        <f>IF(AND(N653&lt;&gt;"",N654&lt;&gt;""),2,IF(N653&amp;N654="",0,1))</f>
        <v>0</v>
      </c>
      <c r="R655" s="1965"/>
    </row>
    <row r="656" spans="1:18" ht="17.850000000000001" customHeight="1" x14ac:dyDescent="0.25">
      <c r="A656" s="2321" t="s">
        <v>566</v>
      </c>
      <c r="B656" s="2322"/>
      <c r="C656" s="2322"/>
      <c r="D656" s="2322"/>
      <c r="E656" s="553" t="s">
        <v>378</v>
      </c>
      <c r="F656" s="524" t="s">
        <v>193</v>
      </c>
      <c r="G656" s="547"/>
      <c r="H656" s="610"/>
      <c r="I656" s="623" t="str">
        <f>IF(AND(E647=M650,F656=_Ja),"X","")</f>
        <v/>
      </c>
      <c r="J656" s="2176"/>
      <c r="K656" s="2176"/>
      <c r="L656" s="2177"/>
      <c r="M656" s="1967"/>
      <c r="N656" s="2075" t="str">
        <f>IF(N655=2," "&amp;N653&amp;" "&amp;", "&amp;N654,IF(N655=1," "&amp;N653&amp;N654,""))</f>
        <v/>
      </c>
      <c r="O656" s="2075"/>
      <c r="P656" s="1967"/>
      <c r="Q656" s="1967"/>
      <c r="R656" s="1974"/>
    </row>
    <row r="657" spans="1:16" ht="17.850000000000001" customHeight="1" x14ac:dyDescent="0.25">
      <c r="A657" s="552" t="s">
        <v>379</v>
      </c>
      <c r="B657" s="2123"/>
      <c r="C657" s="2123"/>
      <c r="D657" s="2123"/>
      <c r="E657" s="550" t="str">
        <f>IF(OR(ISBLANK(B657),F656=_Nein),"",IFERROR(VLOOKUP(B657,Stammdaten!A$57:C$61,2,FALSE),KALKULATION!$M$283))</f>
        <v/>
      </c>
      <c r="F657" s="551" t="s">
        <v>197</v>
      </c>
      <c r="G657" s="548">
        <f ca="1">' K3 Regie4'!$O$21</f>
        <v>20</v>
      </c>
      <c r="H657" s="611" t="str">
        <f>IFERROR(IF(F656=$Q$31,E657/G657,""),"??")</f>
        <v/>
      </c>
      <c r="I657" s="623"/>
      <c r="J657" s="271" t="str">
        <f>IF(AND(F656=$Q$31,B657=""),"Eingabe unvollständig (ergänzen od Nein wählen)!","")</f>
        <v/>
      </c>
      <c r="L657" s="216"/>
    </row>
    <row r="658" spans="1:16" ht="17.850000000000001" customHeight="1" x14ac:dyDescent="0.25">
      <c r="A658" s="2221" t="s">
        <v>391</v>
      </c>
      <c r="B658" s="2222"/>
      <c r="C658" s="2222"/>
      <c r="D658" s="2222"/>
      <c r="E658" s="373"/>
      <c r="F658" s="377" t="str">
        <f>IF(F652=$Q$31,B653,IF(F656=$Q$31,B657,""))</f>
        <v/>
      </c>
      <c r="G658" s="377" t="str">
        <f>IF(F652=$Q$31,TEXT(H655,"0%"),IF(F656=$Q$31,TEXT(G657,"0,00€"),""))</f>
        <v/>
      </c>
      <c r="H658" s="612">
        <f ca="1">IF(E647=M650,SUM(H648:H657),H647)</f>
        <v>0.6</v>
      </c>
      <c r="I658" s="624"/>
      <c r="L658" s="216"/>
    </row>
    <row r="659" spans="1:16" ht="17.850000000000001" customHeight="1" x14ac:dyDescent="0.25">
      <c r="A659" s="2199" t="str">
        <f>A$455</f>
        <v>Standardmäßig sind die Werte aus der Mittelpersonal-preiskalkulation (Blatt K3_PP) übernommen; sie sind überschreibbar.</v>
      </c>
      <c r="B659" s="2200"/>
      <c r="C659" s="2200"/>
      <c r="D659" s="2201"/>
      <c r="E659" s="2196" t="str">
        <f>E$455</f>
        <v xml:space="preserve">Standard-werte sind
</v>
      </c>
      <c r="F659" s="2196"/>
      <c r="G659" s="2196" t="str">
        <f>G$455</f>
        <v>Optional überschrei-ben mit:</v>
      </c>
      <c r="H659" s="2125" t="str">
        <f>H$455</f>
        <v>Übertrag in K3 Regie</v>
      </c>
      <c r="I659" s="624"/>
      <c r="L659" s="216"/>
    </row>
    <row r="660" spans="1:16" ht="17.850000000000001" customHeight="1" x14ac:dyDescent="0.25">
      <c r="A660" s="2202"/>
      <c r="B660" s="2203"/>
      <c r="C660" s="2203"/>
      <c r="D660" s="2204"/>
      <c r="E660" s="2197"/>
      <c r="F660" s="2197"/>
      <c r="G660" s="2197"/>
      <c r="H660" s="2126"/>
      <c r="I660" s="624"/>
      <c r="L660" s="216"/>
    </row>
    <row r="661" spans="1:16" ht="17.850000000000001" customHeight="1" thickBot="1" x14ac:dyDescent="0.3">
      <c r="A661" s="2205"/>
      <c r="B661" s="2206"/>
      <c r="C661" s="2206"/>
      <c r="D661" s="2207"/>
      <c r="E661" s="2198"/>
      <c r="F661" s="2198"/>
      <c r="G661" s="2198"/>
      <c r="H661" s="2127"/>
      <c r="I661" s="624"/>
      <c r="L661" s="216"/>
    </row>
    <row r="662" spans="1:16" ht="17.850000000000001" customHeight="1" thickTop="1" x14ac:dyDescent="0.25">
      <c r="A662" s="2134" t="s">
        <v>386</v>
      </c>
      <c r="B662" s="2135"/>
      <c r="C662" s="2135"/>
      <c r="D662" s="2136"/>
      <c r="E662" s="51">
        <f ca="1">$H$228</f>
        <v>1.4</v>
      </c>
      <c r="F662" s="1887">
        <f>H631/G631</f>
        <v>0</v>
      </c>
      <c r="G662" s="364"/>
      <c r="H662" s="361">
        <f ca="1">IF(ISBLANK(G662),E662*(1+F662),G662)</f>
        <v>1.4</v>
      </c>
      <c r="I662" s="623" t="str">
        <f>IF(ISBLANK(G662),"","X")</f>
        <v/>
      </c>
      <c r="L662" s="216"/>
    </row>
    <row r="663" spans="1:16" ht="17.850000000000001" customHeight="1" x14ac:dyDescent="0.25">
      <c r="A663" s="2134" t="s">
        <v>387</v>
      </c>
      <c r="B663" s="2135"/>
      <c r="C663" s="2135"/>
      <c r="D663" s="2136"/>
      <c r="E663" s="48">
        <f ca="1">IF(E642=M643,$G$227,$G$229)</f>
        <v>1.6</v>
      </c>
      <c r="F663" s="1888">
        <f>H631/G631</f>
        <v>0</v>
      </c>
      <c r="G663" s="341"/>
      <c r="H663" s="362">
        <f ca="1">IF(ISBLANK(G663),E663*(1+F663),G663)</f>
        <v>1.6</v>
      </c>
      <c r="I663" s="623" t="str">
        <f>IF(ISBLANK(G663),"","X")</f>
        <v/>
      </c>
      <c r="L663" s="216"/>
    </row>
    <row r="664" spans="1:16" ht="17.850000000000001" customHeight="1" x14ac:dyDescent="0.25">
      <c r="A664" s="2134" t="s">
        <v>388</v>
      </c>
      <c r="B664" s="2135"/>
      <c r="C664" s="2135"/>
      <c r="D664" s="2136"/>
      <c r="E664" s="157">
        <f ca="1">$H$236</f>
        <v>0.28999999999999998</v>
      </c>
      <c r="F664" s="156"/>
      <c r="G664" s="337"/>
      <c r="H664" s="363">
        <f ca="1">IF(ISBLANK(G664),E664,G664)</f>
        <v>0.28999999999999998</v>
      </c>
      <c r="I664" s="623" t="str">
        <f ca="1">IF(OR(G664&lt;&gt;0,E664&lt;&gt;H664),"X","")</f>
        <v/>
      </c>
      <c r="J664" s="2293" t="str">
        <f>IF(G664="","","Hinweis: DPNK lassen sich genau bestimmen/nachrechnen!")</f>
        <v/>
      </c>
      <c r="K664" s="2293"/>
      <c r="L664" s="2294"/>
    </row>
    <row r="665" spans="1:16" ht="17.850000000000001" customHeight="1" x14ac:dyDescent="0.25">
      <c r="A665" s="2134" t="s">
        <v>389</v>
      </c>
      <c r="B665" s="2135"/>
      <c r="C665" s="2135"/>
      <c r="D665" s="2136"/>
      <c r="E665" s="157">
        <f ca="1">$H$265</f>
        <v>0.77</v>
      </c>
      <c r="F665" s="156"/>
      <c r="G665" s="337"/>
      <c r="H665" s="363">
        <f ca="1">IF(ISBLANK(G665),E665,G665)</f>
        <v>0.77</v>
      </c>
      <c r="I665" s="623" t="str">
        <f ca="1">IF(OR(G665&lt;&gt;0,E665&lt;&gt;H665),"X","")</f>
        <v/>
      </c>
      <c r="L665" s="216"/>
    </row>
    <row r="666" spans="1:16" ht="17.850000000000001" customHeight="1" x14ac:dyDescent="0.25">
      <c r="A666" s="2134" t="s">
        <v>390</v>
      </c>
      <c r="B666" s="2135"/>
      <c r="C666" s="2135"/>
      <c r="D666" s="2136"/>
      <c r="E666" s="48">
        <f ca="1">H$276</f>
        <v>7.0000000000000007E-2</v>
      </c>
      <c r="F666" s="156"/>
      <c r="G666" s="567"/>
      <c r="H666" s="362">
        <f ca="1">IF(ISBLANK(G666),E666,G666)</f>
        <v>7.0000000000000007E-2</v>
      </c>
      <c r="I666" s="623" t="str">
        <f ca="1">IF(OR(G666&lt;&gt;0,E666&lt;&gt;H666),"X","")</f>
        <v/>
      </c>
      <c r="L666" s="216"/>
    </row>
    <row r="667" spans="1:16" ht="17.850000000000001" customHeight="1" x14ac:dyDescent="0.25">
      <c r="A667" s="2134" t="s">
        <v>594</v>
      </c>
      <c r="B667" s="2136"/>
      <c r="C667" s="199">
        <f>$E$306</f>
        <v>0.06</v>
      </c>
      <c r="D667" s="48">
        <f ca="1">$F$307</f>
        <v>2.2599999999999998</v>
      </c>
      <c r="E667" s="338"/>
      <c r="F667" s="364"/>
      <c r="G667" s="363">
        <f>IF(ISBLANK(E667),C667,E667)</f>
        <v>0.06</v>
      </c>
      <c r="H667" s="361">
        <f ca="1">IF(ISBLANK(F667),D667,F667)</f>
        <v>2.2599999999999998</v>
      </c>
      <c r="I667" s="623" t="str">
        <f>IF(OR(F667&lt;&gt;0,E667&lt;&gt;0),"X","")</f>
        <v/>
      </c>
      <c r="L667" s="216"/>
    </row>
    <row r="668" spans="1:16" ht="17.850000000000001" customHeight="1" x14ac:dyDescent="0.25">
      <c r="A668" s="2142" t="str">
        <f ca="1">"R5)"&amp;IF($G$327=0," Keine Umlagen unter Pkt H1 bzw H2 angelgt!"," Umlagen (K3 Spalte A)")</f>
        <v>R5) Umlagen (K3 Spalte A)</v>
      </c>
      <c r="B668" s="2143"/>
      <c r="C668" s="2143"/>
      <c r="D668" s="2143"/>
      <c r="E668" s="2143"/>
      <c r="F668" s="2143"/>
      <c r="G668" s="2143"/>
      <c r="H668" s="2143"/>
      <c r="I668" s="621"/>
      <c r="L668" s="216"/>
    </row>
    <row r="669" spans="1:16" ht="17.850000000000001" customHeight="1" thickBot="1" x14ac:dyDescent="0.3">
      <c r="A669" s="2314" t="s">
        <v>562</v>
      </c>
      <c r="B669" s="2315"/>
      <c r="C669" s="2315"/>
      <c r="D669" s="2315"/>
      <c r="E669" s="523" t="str">
        <f ca="1">IF(SUM(F670:G672)&lt;&gt;$H$327,"!","")</f>
        <v>!</v>
      </c>
      <c r="F669" s="715" t="s">
        <v>69</v>
      </c>
      <c r="G669" s="747" t="s">
        <v>673</v>
      </c>
      <c r="H669" s="1008">
        <f ca="1">' K3 Regie4'!O33</f>
        <v>76.66</v>
      </c>
      <c r="I669" s="621"/>
      <c r="J669" s="2319" t="str">
        <f ca="1">IF(E669="!","Hinweis: Es sind nicht alle oder andere Umlagen wie oben (Pkt H) für K3 ausgewählt! Berechnung erfolgt mit den hier ausgewählten Umlagen.","")</f>
        <v>Hinweis: Es sind nicht alle oder andere Umlagen wie oben (Pkt H) für K3 ausgewählt! Berechnung erfolgt mit den hier ausgewählten Umlagen.</v>
      </c>
      <c r="K669" s="2319"/>
      <c r="L669" s="2320"/>
    </row>
    <row r="670" spans="1:16" ht="17.850000000000001" customHeight="1" thickTop="1" x14ac:dyDescent="0.25">
      <c r="A670" s="2370"/>
      <c r="B670" s="2370"/>
      <c r="C670" s="2370"/>
      <c r="D670" s="2370"/>
      <c r="E670" s="2370"/>
      <c r="F670" s="85" t="str">
        <f>IF(A670="","",IFERROR(VLOOKUP(A670,A$329:E$333,2,FALSE),KALKULATION!$M$283))</f>
        <v/>
      </c>
      <c r="G670" s="158" t="str">
        <f>IF(A670="","",IFERROR(VLOOKUP(A670,A$329:E$333,3,FALSE),""))</f>
        <v/>
      </c>
      <c r="H670" s="85" t="str">
        <f>IF(OR(G670="",G670=0),"",G670*H$669)</f>
        <v/>
      </c>
      <c r="I670" s="621"/>
      <c r="J670" s="2319"/>
      <c r="K670" s="2319"/>
      <c r="L670" s="2320"/>
    </row>
    <row r="671" spans="1:16" ht="17.850000000000001" customHeight="1" x14ac:dyDescent="0.25">
      <c r="A671" s="2265"/>
      <c r="B671" s="2265"/>
      <c r="C671" s="2265"/>
      <c r="D671" s="2265"/>
      <c r="E671" s="2265"/>
      <c r="F671" s="85" t="str">
        <f>IF(A671="","",IFERROR(VLOOKUP(A671,A$329:E$333,2,FALSE),KALKULATION!$M$283))</f>
        <v/>
      </c>
      <c r="G671" s="158" t="str">
        <f t="shared" ref="G671:G672" si="67">IF(A671="","",IFERROR(VLOOKUP(A671,A$329:E$333,3,FALSE),""))</f>
        <v/>
      </c>
      <c r="H671" s="85" t="str">
        <f t="shared" ref="H671" si="68">IF(OR(G671="",G671=0),"",G671*H$669)</f>
        <v/>
      </c>
      <c r="I671" s="621"/>
      <c r="J671" s="2319"/>
      <c r="K671" s="2319"/>
      <c r="L671" s="2320"/>
      <c r="M671" s="2076" t="s">
        <v>643</v>
      </c>
      <c r="N671" s="2076" t="str">
        <f>$A$413&amp;" gesamt"</f>
        <v>Regielohnpreis gesamt</v>
      </c>
      <c r="O671" s="2076"/>
      <c r="P671" s="2077"/>
    </row>
    <row r="672" spans="1:16" ht="17.850000000000001" customHeight="1" x14ac:dyDescent="0.25">
      <c r="A672" s="2265"/>
      <c r="B672" s="2265"/>
      <c r="C672" s="2265"/>
      <c r="D672" s="2265"/>
      <c r="E672" s="2265"/>
      <c r="F672" s="84" t="str">
        <f>IF(A672="","",IFERROR(VLOOKUP(A672,A$329:E$333,2,FALSE),KALKULATION!$M$283))</f>
        <v/>
      </c>
      <c r="G672" s="50" t="str">
        <f t="shared" si="67"/>
        <v/>
      </c>
      <c r="H672" s="84" t="str">
        <f>IF(OR(G672="",G672=0),"",G672*H$669)</f>
        <v/>
      </c>
      <c r="I672" s="621"/>
      <c r="L672" s="216"/>
      <c r="M672" s="2076" t="s">
        <v>414</v>
      </c>
      <c r="N672" s="2076" t="str">
        <f>IF(A625="","",A625)</f>
        <v>IIb.   Facharbeiter</v>
      </c>
      <c r="O672" s="2078"/>
      <c r="P672" s="2079"/>
    </row>
    <row r="673" spans="1:21" ht="17.850000000000001" customHeight="1" x14ac:dyDescent="0.25">
      <c r="A673" s="2180" t="str">
        <f>IF(SUM(F670:H672)=0,"R5.b) GZ auf UMLAGEN - keine Umlagen ausgewählt (oder in Pkt H1 angelegt)","R5.b) GZ auf Umlagen")</f>
        <v>R5.b) GZ auf UMLAGEN - keine Umlagen ausgewählt (oder in Pkt H1 angelegt)</v>
      </c>
      <c r="B673" s="2181"/>
      <c r="C673" s="2181"/>
      <c r="D673" s="2181"/>
      <c r="E673" s="2181"/>
      <c r="F673" s="2182"/>
      <c r="G673" s="2182"/>
      <c r="H673" s="2181"/>
      <c r="I673" s="621"/>
      <c r="L673" s="216"/>
      <c r="M673" s="2080" t="s">
        <v>723</v>
      </c>
      <c r="N673" s="2080" t="str">
        <f>IF(C682="","",C682)</f>
        <v/>
      </c>
      <c r="O673" s="2076"/>
      <c r="P673" s="2077"/>
    </row>
    <row r="674" spans="1:21" ht="17.850000000000001" customHeight="1" x14ac:dyDescent="0.25">
      <c r="A674" s="2221" t="s">
        <v>561</v>
      </c>
      <c r="B674" s="2222"/>
      <c r="C674" s="2222"/>
      <c r="D674" s="2137"/>
      <c r="E674" s="2138"/>
      <c r="F674" s="2139"/>
      <c r="G674" s="196" t="str">
        <f>IF(D674="","",IFERROR(VLOOKUP(D674,'K2 GZ'!I$25:M$32,5,FALSE),KALKULATION!$M$283))</f>
        <v/>
      </c>
      <c r="H674" s="1009" t="str">
        <f ca="1">IF($G$327=0,"",IF(G674=KALKULATION!$M$283,"",IF(SUM(F670:H672)=0,"",IF(D674="",$G$346,G674))))</f>
        <v/>
      </c>
      <c r="I674" s="623" t="str">
        <f>IF(AND(D674&lt;&gt;"",SUM(F670:H672)&lt;&gt;0),"X","")</f>
        <v/>
      </c>
      <c r="J674" s="2178" t="str">
        <f ca="1">IF(G674=KALKULATION!$M$283,"Auswahl erneut vornehmen (ungült. Verweis)/Text löschen!",IF(AND(H674="",SUM(F670:G672)&lt;&gt;0),"GZ fehlt oder gleich 0!)",""))</f>
        <v/>
      </c>
      <c r="K674" s="2178"/>
      <c r="L674" s="2179"/>
      <c r="M674" s="2080" t="s">
        <v>724</v>
      </c>
      <c r="N674" s="2080" t="str">
        <f>IF(N673=""," für ["&amp;N672&amp;"]"," für ["&amp;N673&amp;"]")</f>
        <v xml:space="preserve"> für [IIb.   Facharbeiter]</v>
      </c>
      <c r="O674" s="2080"/>
      <c r="P674" s="2080" t="str">
        <f>IF(N673="",""," für ["&amp;N673&amp;" | "&amp;N672&amp;"]")</f>
        <v/>
      </c>
    </row>
    <row r="675" spans="1:21" ht="17.850000000000001" customHeight="1" x14ac:dyDescent="0.25">
      <c r="A675" s="2330"/>
      <c r="B675" s="2331"/>
      <c r="C675" s="2331"/>
      <c r="D675" s="2331"/>
      <c r="E675" s="2331"/>
      <c r="F675" s="2331"/>
      <c r="G675" s="2331"/>
      <c r="H675" s="2331"/>
      <c r="I675" s="623"/>
      <c r="L675" s="216"/>
      <c r="M675" s="2080" t="s">
        <v>641</v>
      </c>
      <c r="N675" s="2081" t="str">
        <f ca="1">IF(AND(E647=M650,H651&lt;&gt;"")," als ["&amp;B649&amp;TEXT(E649," (0%)")&amp;"]",IF(E647=M648," mit [Ø Zuschlag gem K3 Mittelpersonalpreis Z 8]",IF(E647=M649," mit [Aufzahlung pro Std gem K3 Mittelpersonalpreis]","")))</f>
        <v xml:space="preserve"> als [Überstunde 50% (50%)]</v>
      </c>
      <c r="O675" s="2080"/>
      <c r="P675" s="2082"/>
    </row>
    <row r="676" spans="1:21" ht="17.850000000000001" customHeight="1" x14ac:dyDescent="0.25">
      <c r="A676" s="2180" t="str">
        <f>A$472</f>
        <v>R6) GZ auf PERSONALKOSTEN (K3 Spalte B)</v>
      </c>
      <c r="B676" s="2181"/>
      <c r="C676" s="2181"/>
      <c r="D676" s="2181"/>
      <c r="E676" s="2181"/>
      <c r="F676" s="2181"/>
      <c r="G676" s="2181"/>
      <c r="H676" s="2181"/>
      <c r="I676" s="619"/>
      <c r="L676" s="216"/>
      <c r="M676" s="2083" t="s">
        <v>642</v>
      </c>
      <c r="N676" s="2084" t="str">
        <f>IF(N656="",""," in ["&amp;N656&amp;"]")</f>
        <v/>
      </c>
      <c r="O676" s="2083"/>
      <c r="P676" s="2085"/>
    </row>
    <row r="677" spans="1:21" ht="17.850000000000001" customHeight="1" x14ac:dyDescent="0.25">
      <c r="A677" s="392" t="s">
        <v>561</v>
      </c>
      <c r="B677" s="373"/>
      <c r="C677" s="1089"/>
      <c r="D677" s="2137"/>
      <c r="E677" s="2138"/>
      <c r="F677" s="2139"/>
      <c r="G677" s="199" t="str">
        <f>IF(D677="","",IFERROR(VLOOKUP(D677,'K2 GZ'!I$25:M$32,5,FALSE),KALKULATION!$M$283))</f>
        <v/>
      </c>
      <c r="H677" s="1009">
        <f>IF(G677=KALKULATION!$M$283,"",IF(D677="",$G$345,G677))</f>
        <v>0.28999999999999998</v>
      </c>
      <c r="I677" s="623" t="str">
        <f>IF(D677&lt;&gt;"","X","")</f>
        <v/>
      </c>
      <c r="J677" s="2178" t="str">
        <f>IF(G677=KALKULATION!$M$283,"Auswahl erneut vornehmen (ungültiger Verweis)!",IF(H677=KALKULATION!$M$283,"GZ aus K2-Blatt wählen!",""))</f>
        <v/>
      </c>
      <c r="K677" s="2178"/>
      <c r="L677" s="2179"/>
      <c r="M677" s="2080"/>
      <c r="N677" s="2086"/>
      <c r="O677" s="2080"/>
      <c r="P677" s="2082"/>
    </row>
    <row r="678" spans="1:21" ht="20.100000000000001" customHeight="1" x14ac:dyDescent="0.25">
      <c r="A678" s="1193" t="s">
        <v>393</v>
      </c>
      <c r="B678" s="836"/>
      <c r="C678" s="2189" t="str">
        <f>D640</f>
        <v>IIb.   Facharbeiter</v>
      </c>
      <c r="D678" s="2189"/>
      <c r="E678" s="2189"/>
      <c r="F678" s="618" t="s">
        <v>259</v>
      </c>
      <c r="G678" s="837">
        <f ca="1">H678/D625-1</f>
        <v>4.3897000000000004</v>
      </c>
      <c r="H678" s="838">
        <f ca="1">IFERROR(' K3 Regie4'!N$45,"??")</f>
        <v>107.74</v>
      </c>
      <c r="I678" s="619"/>
      <c r="J678" s="47"/>
      <c r="K678" s="47"/>
      <c r="L678" s="594"/>
      <c r="M678" s="2078"/>
      <c r="N678" s="2087"/>
      <c r="O678" s="2078"/>
      <c r="P678" s="2079"/>
      <c r="Q678" s="2092"/>
      <c r="R678" s="2092"/>
      <c r="S678" s="2092"/>
      <c r="T678" s="2092"/>
      <c r="U678" s="2093"/>
    </row>
    <row r="679" spans="1:21" ht="17.850000000000001" customHeight="1" x14ac:dyDescent="0.25">
      <c r="A679" s="2149" t="s">
        <v>726</v>
      </c>
      <c r="B679" s="2277"/>
      <c r="C679" s="2190" t="str">
        <f ca="1">IFERROR(VLOOKUP(A681,M680:N686,2,FALSE),KALKULATION!$M$283)</f>
        <v>Regielohnpreis gesamt für [IIb.   Facharbeiter] als [Überstunde 50% (50%)]</v>
      </c>
      <c r="D679" s="2191"/>
      <c r="E679" s="2191"/>
      <c r="F679" s="2191"/>
      <c r="G679" s="2191"/>
      <c r="H679" s="2191"/>
      <c r="I679" s="725"/>
      <c r="J679" s="2326" t="str">
        <f ca="1">IF(OR(H677&lt;Report!$G$13,KALKULATION!H677&gt;Report!$F$13,AND(SUM(KALKULATION!F670:H672)&lt;&gt;0,OR(H674&lt;Report!$G$13,KALKULATION!H674&gt;Report!$F$13))),"Hinweis: GZ in R5.b oder R6 liegt außerhalb der empfohlenen Grenzwerte gem Blatt REPORT!","")</f>
        <v/>
      </c>
      <c r="K679" s="2326"/>
      <c r="L679" s="2327"/>
      <c r="M679" s="2088" t="s">
        <v>679</v>
      </c>
      <c r="N679" s="2088"/>
      <c r="Q679" s="2016"/>
      <c r="R679" s="2016"/>
      <c r="S679" s="2016"/>
      <c r="T679" s="2016"/>
    </row>
    <row r="680" spans="1:21" ht="17.850000000000001" customHeight="1" x14ac:dyDescent="0.25">
      <c r="A680" s="2153"/>
      <c r="B680" s="2278"/>
      <c r="C680" s="2192"/>
      <c r="D680" s="2193"/>
      <c r="E680" s="2193"/>
      <c r="F680" s="2193"/>
      <c r="G680" s="2193"/>
      <c r="H680" s="2193"/>
      <c r="I680" s="725"/>
      <c r="J680" s="2328"/>
      <c r="K680" s="2328"/>
      <c r="L680" s="2329"/>
      <c r="M680" s="2088" t="s">
        <v>717</v>
      </c>
      <c r="N680" s="2088" t="str">
        <f>N671</f>
        <v>Regielohnpreis gesamt</v>
      </c>
      <c r="Q680" s="2016"/>
      <c r="R680" s="2016"/>
      <c r="S680" s="2016"/>
      <c r="T680" s="2016"/>
    </row>
    <row r="681" spans="1:21" ht="17.850000000000001" customHeight="1" x14ac:dyDescent="0.25">
      <c r="A681" s="2270" t="s">
        <v>721</v>
      </c>
      <c r="B681" s="2271"/>
      <c r="C681" s="2194"/>
      <c r="D681" s="2195"/>
      <c r="E681" s="2195"/>
      <c r="F681" s="2195"/>
      <c r="G681" s="2195"/>
      <c r="H681" s="2195"/>
      <c r="I681" s="725"/>
      <c r="L681" s="216"/>
      <c r="M681" s="2088" t="s">
        <v>718</v>
      </c>
      <c r="N681" s="2088" t="str">
        <f>N671&amp;N674</f>
        <v>Regielohnpreis gesamt für [IIb.   Facharbeiter]</v>
      </c>
      <c r="Q681" s="2016"/>
      <c r="R681" s="2016"/>
      <c r="S681" s="2016"/>
      <c r="T681" s="2016"/>
    </row>
    <row r="682" spans="1:21" ht="17.850000000000001" customHeight="1" x14ac:dyDescent="0.25">
      <c r="A682" s="2140" t="str">
        <f>A$478</f>
        <v>Bezeichnung zusätzlich:</v>
      </c>
      <c r="B682" s="2141"/>
      <c r="C682" s="2137"/>
      <c r="D682" s="2138"/>
      <c r="E682" s="2138"/>
      <c r="F682" s="2138"/>
      <c r="G682" s="2138"/>
      <c r="H682" s="2138"/>
      <c r="I682" s="725"/>
      <c r="L682" s="216"/>
      <c r="M682" s="2088" t="s">
        <v>719</v>
      </c>
      <c r="N682" s="2088" t="str">
        <f>N671&amp;P674</f>
        <v>Regielohnpreis gesamt</v>
      </c>
      <c r="Q682" s="2016"/>
      <c r="R682" s="2016"/>
      <c r="S682" s="2016"/>
      <c r="T682" s="2016"/>
    </row>
    <row r="683" spans="1:21" ht="17.850000000000001" customHeight="1" x14ac:dyDescent="0.25">
      <c r="A683" s="2376" t="str">
        <f>A$479</f>
        <v>Individuelle Bezeichnung für Wahl in R7.a:</v>
      </c>
      <c r="B683" s="2377"/>
      <c r="C683" s="2309"/>
      <c r="D683" s="2276"/>
      <c r="E683" s="2276"/>
      <c r="F683" s="2276"/>
      <c r="G683" s="2276"/>
      <c r="H683" s="2276"/>
      <c r="I683" s="725"/>
      <c r="L683" s="216"/>
      <c r="M683" s="2088" t="s">
        <v>720</v>
      </c>
      <c r="N683" s="2088" t="str">
        <f ca="1">N680&amp;N675&amp;N676</f>
        <v>Regielohnpreis gesamt als [Überstunde 50% (50%)]</v>
      </c>
      <c r="Q683" s="2016"/>
      <c r="R683" s="2016"/>
      <c r="S683" s="2016"/>
      <c r="T683" s="2016"/>
    </row>
    <row r="684" spans="1:21" ht="17.850000000000001" customHeight="1" x14ac:dyDescent="0.25">
      <c r="A684" s="2378"/>
      <c r="B684" s="2379"/>
      <c r="C684" s="2380"/>
      <c r="D684" s="2381"/>
      <c r="E684" s="2381"/>
      <c r="F684" s="2381"/>
      <c r="G684" s="2381"/>
      <c r="H684" s="2381"/>
      <c r="I684" s="725"/>
      <c r="L684" s="216"/>
      <c r="M684" s="2088" t="s">
        <v>721</v>
      </c>
      <c r="N684" s="2088" t="str">
        <f ca="1">N681&amp;N675&amp;N676</f>
        <v>Regielohnpreis gesamt für [IIb.   Facharbeiter] als [Überstunde 50% (50%)]</v>
      </c>
      <c r="Q684" s="2016"/>
      <c r="R684" s="2016"/>
      <c r="S684" s="2016"/>
      <c r="T684" s="2016"/>
    </row>
    <row r="685" spans="1:21" ht="17.850000000000001" customHeight="1" x14ac:dyDescent="0.25">
      <c r="A685" s="2415"/>
      <c r="B685" s="2416"/>
      <c r="C685" s="2416"/>
      <c r="D685" s="2416"/>
      <c r="E685" s="2416"/>
      <c r="F685" s="2416"/>
      <c r="G685" s="2416"/>
      <c r="H685" s="2416"/>
      <c r="I685" s="2416"/>
      <c r="L685" s="216"/>
      <c r="M685" s="2088" t="s">
        <v>722</v>
      </c>
      <c r="N685" s="2088" t="str">
        <f ca="1">N682&amp;N675&amp;N676</f>
        <v>Regielohnpreis gesamt als [Überstunde 50% (50%)]</v>
      </c>
      <c r="Q685" s="2016"/>
      <c r="R685" s="2016"/>
      <c r="S685" s="2016"/>
      <c r="T685" s="2016"/>
    </row>
    <row r="686" spans="1:21" ht="17.850000000000001" customHeight="1" x14ac:dyDescent="0.25">
      <c r="A686" s="2117" t="s">
        <v>672</v>
      </c>
      <c r="B686" s="2121"/>
      <c r="C686" s="2121"/>
      <c r="D686" s="2121"/>
      <c r="E686" s="2121"/>
      <c r="F686" s="2121"/>
      <c r="G686" s="2121"/>
      <c r="H686" s="2121"/>
      <c r="I686" s="2121"/>
      <c r="J686" s="45"/>
      <c r="L686" s="216"/>
      <c r="M686" s="2088" t="s">
        <v>716</v>
      </c>
      <c r="N686" s="2088" t="str">
        <f>IF(C683="","",C683)</f>
        <v/>
      </c>
      <c r="Q686" s="2016"/>
      <c r="R686" s="2016"/>
      <c r="S686" s="2016"/>
      <c r="T686" s="2016"/>
    </row>
    <row r="687" spans="1:21" ht="17.850000000000001" customHeight="1" x14ac:dyDescent="0.25">
      <c r="A687" s="2117"/>
      <c r="B687" s="2121"/>
      <c r="C687" s="2121"/>
      <c r="D687" s="2121"/>
      <c r="E687" s="2121"/>
      <c r="F687" s="2121"/>
      <c r="G687" s="2121"/>
      <c r="H687" s="2121"/>
      <c r="I687" s="2121"/>
      <c r="J687" s="46"/>
      <c r="K687" s="47"/>
      <c r="L687" s="594"/>
      <c r="M687" s="2016"/>
      <c r="N687" s="2016"/>
      <c r="O687" s="2016"/>
      <c r="P687" s="2016"/>
      <c r="Q687" s="2016"/>
      <c r="R687" s="2016"/>
      <c r="S687" s="2016"/>
      <c r="T687" s="2016"/>
    </row>
    <row r="688" spans="1:21" ht="17.850000000000001" customHeight="1" x14ac:dyDescent="0.25">
      <c r="A688" s="2240"/>
      <c r="B688" s="2240"/>
      <c r="C688" s="2240"/>
      <c r="D688" s="2240"/>
      <c r="E688" s="2240"/>
      <c r="F688" s="2240"/>
      <c r="G688" s="2240"/>
      <c r="H688" s="2240"/>
      <c r="I688" s="2240"/>
      <c r="L688" s="216"/>
      <c r="M688" s="2016"/>
      <c r="N688" s="2016"/>
      <c r="O688" s="2016"/>
      <c r="P688" s="2016"/>
    </row>
    <row r="689" spans="1:13" ht="25.15" customHeight="1" x14ac:dyDescent="0.25">
      <c r="A689" s="2391" t="str">
        <f ca="1">IF(A695="","Regie 5 -  [keine Beschäftigungsgruppe ausgewählt]",IF(D695=KALKULATION!$M$283," Regie 5 - [nicht vorhandene Beschäftigungsgruppe]",M690&amp;M691))</f>
        <v>Regielohnpreis gesamt 5 - 'Regiepartie' mit Ergebnis  Gesamtpreis der Partie</v>
      </c>
      <c r="B689" s="2392"/>
      <c r="C689" s="2392"/>
      <c r="D689" s="2392"/>
      <c r="E689" s="2392"/>
      <c r="F689" s="2392"/>
      <c r="G689" s="2392"/>
      <c r="H689" s="2392"/>
      <c r="I689" s="2392"/>
      <c r="J689" s="2238" t="str">
        <f>IF(AND(A696&amp;A697&amp;A698&amp;A699&lt;&gt;"",A695=""),"Die erste Eintragung muss in der 1. Zeile von R1 erfolgen!","")</f>
        <v/>
      </c>
      <c r="K689" s="2238"/>
      <c r="L689" s="2239"/>
    </row>
    <row r="690" spans="1:13" ht="17.850000000000001" customHeight="1" x14ac:dyDescent="0.25">
      <c r="A690" s="2117" t="s">
        <v>533</v>
      </c>
      <c r="B690" s="2417"/>
      <c r="C690" s="2418"/>
      <c r="D690" s="2384" t="s">
        <v>939</v>
      </c>
      <c r="E690" s="2385"/>
      <c r="F690" s="2385"/>
      <c r="G690" s="2385"/>
      <c r="H690" s="2385"/>
      <c r="I690" s="613"/>
      <c r="J690" s="2167" t="str">
        <f>IF(AND(COUNTA(A695:C699)=1,E695&lt;&gt;1),"Hinweis: Wenn nur eine Beschäftigungsgruppe angelegt wird, sollte die Anzahl 1,00 sein (wie Regie 1 bis Regie 4). Gfg korrigieren oder weitere Beschäftigte zur Bildung einer Partie hinzufügen","")</f>
        <v/>
      </c>
      <c r="K690" s="2167"/>
      <c r="L690" s="2168"/>
      <c r="M690" s="2094" t="str">
        <f>IF(M691&lt;&gt;"","","Regie 5"&amp;IF(A695=""," [keine Beschäftigungsgruppe ausgewählt]",IF(D695=KALKULATION!$M$283," - [nicht vorhandene Beschäftigungsgruppe]"," - kalkuliert für ["&amp;LEFT(A695,40)&amp;"]")))</f>
        <v/>
      </c>
    </row>
    <row r="691" spans="1:13" ht="17.850000000000001" customHeight="1" x14ac:dyDescent="0.25">
      <c r="A691" s="2405"/>
      <c r="B691" s="2406"/>
      <c r="C691" s="2407"/>
      <c r="D691" s="2386"/>
      <c r="E691" s="2387"/>
      <c r="F691" s="2387"/>
      <c r="G691" s="2387"/>
      <c r="H691" s="2387"/>
      <c r="I691" s="613"/>
      <c r="J691" s="2167"/>
      <c r="K691" s="2167"/>
      <c r="L691" s="2168"/>
      <c r="M691" s="2094" t="str">
        <f>IF(AND(COUNTA(A695:C699)&gt;1,A695&lt;&gt;""),O746&amp;" 5 - 'Regiepartie' mit Ergebnis "&amp;IF(H693="Ø"," Ø-Preis/Person",IF(H693="∑"," Gesamtpreis der Partie"," (??) KZ in R0.b wählen!")),"")</f>
        <v>Regielohnpreis gesamt 5 - 'Regiepartie' mit Ergebnis  Gesamtpreis der Partie</v>
      </c>
    </row>
    <row r="692" spans="1:13" ht="17.850000000000001" customHeight="1" x14ac:dyDescent="0.25">
      <c r="A692" s="2134" t="s">
        <v>712</v>
      </c>
      <c r="B692" s="2135"/>
      <c r="C692" s="2136"/>
      <c r="D692" s="2368" t="s">
        <v>1143</v>
      </c>
      <c r="E692" s="2369"/>
      <c r="F692" s="2369"/>
      <c r="G692" s="2369"/>
      <c r="H692" s="2369"/>
      <c r="I692" s="613"/>
      <c r="J692" s="2167"/>
      <c r="K692" s="2167"/>
      <c r="L692" s="2168"/>
    </row>
    <row r="693" spans="1:13" ht="17.850000000000001" customHeight="1" x14ac:dyDescent="0.25">
      <c r="A693" s="2134" t="s">
        <v>701</v>
      </c>
      <c r="B693" s="2135"/>
      <c r="C693" s="2135"/>
      <c r="D693" s="2135"/>
      <c r="E693" s="2135"/>
      <c r="F693" s="2135"/>
      <c r="G693" s="2135"/>
      <c r="H693" s="1212" t="s">
        <v>392</v>
      </c>
      <c r="I693" s="613"/>
      <c r="J693" s="1121" t="str">
        <f>IF(H693="","KZ für Berechnung der ges. Partie (∑) od. des Ø/Person?","")</f>
        <v/>
      </c>
      <c r="L693" s="216"/>
    </row>
    <row r="694" spans="1:13" ht="17.850000000000001" customHeight="1" thickBot="1" x14ac:dyDescent="0.3">
      <c r="A694" s="2266" t="s">
        <v>395</v>
      </c>
      <c r="B694" s="2266"/>
      <c r="C694" s="2266"/>
      <c r="D694" s="2266"/>
      <c r="E694" s="715" t="s">
        <v>18</v>
      </c>
      <c r="F694" s="715"/>
      <c r="G694" s="1011" t="s">
        <v>72</v>
      </c>
      <c r="H694" s="1120" t="s">
        <v>73</v>
      </c>
      <c r="I694" s="613"/>
      <c r="L694" s="216"/>
    </row>
    <row r="695" spans="1:13" ht="17.850000000000001" customHeight="1" thickTop="1" x14ac:dyDescent="0.25">
      <c r="A695" s="2370" t="s">
        <v>1135</v>
      </c>
      <c r="B695" s="2370"/>
      <c r="C695" s="2370"/>
      <c r="D695" s="51">
        <f ca="1">IFERROR(VLOOKUP(A695,Stammdaten!A$7:D$33,4,FALSE),KALKULATION!$M$283)</f>
        <v>19.989999999999998</v>
      </c>
      <c r="E695" s="327">
        <v>1</v>
      </c>
      <c r="F695" s="1225">
        <f>IFERROR(E695/E$700,"")</f>
        <v>0.5</v>
      </c>
      <c r="G695" s="136">
        <f ca="1">IFERROR(VLOOKUP(A695,Stammdaten!A$7:F$33,4,FALSE)*F695,"")</f>
        <v>9.9949999999999992</v>
      </c>
      <c r="H695" s="1221">
        <f ca="1">IFERROR(VLOOKUP(A695,Stammdaten!A$7:F$33,6,FALSE)*F695,"")</f>
        <v>1.5</v>
      </c>
      <c r="I695" s="613"/>
      <c r="J695" s="2178" t="str">
        <f ca="1">IF(OR(COUNTA(A695,E695)=2,COUNTA(A695,E695)=0),IF(D695=KALKULATION!$M$283,"Auswahl erneut vornehmen (ungültiger Verweis)!",""),"Eingabe unvollständig (ergänzen oder löschen)!")</f>
        <v/>
      </c>
      <c r="K695" s="2178"/>
      <c r="L695" s="2179"/>
    </row>
    <row r="696" spans="1:13" ht="17.850000000000001" customHeight="1" x14ac:dyDescent="0.25">
      <c r="A696" s="2265" t="s">
        <v>1136</v>
      </c>
      <c r="B696" s="2265"/>
      <c r="C696" s="2265"/>
      <c r="D696" s="48">
        <f ca="1">IFERROR(VLOOKUP(A696,Stammdaten!A$7:D$33,4,FALSE),KALKULATION!$M$283)</f>
        <v>17.03</v>
      </c>
      <c r="E696" s="380">
        <v>1</v>
      </c>
      <c r="F696" s="1226">
        <f>IFERROR(E696/E$700,"")</f>
        <v>0.5</v>
      </c>
      <c r="G696" s="54">
        <f ca="1">IFERROR(VLOOKUP(A696,Stammdaten!A$7:F$33,4,FALSE)*F696,"")</f>
        <v>8.5150000000000006</v>
      </c>
      <c r="H696" s="1222">
        <f ca="1">IFERROR(VLOOKUP(A696,Stammdaten!A$7:F$33,6,FALSE)*F696,"")</f>
        <v>1.2749999999999999</v>
      </c>
      <c r="I696" s="613"/>
      <c r="J696" s="2178" t="str">
        <f ca="1">IF(OR(COUNTA(A696,E696)=2,COUNTA(A696,E696)=0),IF(D696=KALKULATION!$M$283,"Auswahl erneut vornehmen (ungültiger Verweis)!",""),"Eingabe unvollständig (ergänzen oder löschen)!")</f>
        <v/>
      </c>
      <c r="K696" s="2178"/>
      <c r="L696" s="2179"/>
    </row>
    <row r="697" spans="1:13" ht="17.850000000000001" customHeight="1" x14ac:dyDescent="0.25">
      <c r="A697" s="2137"/>
      <c r="B697" s="2138"/>
      <c r="C697" s="2139"/>
      <c r="D697" s="48">
        <f ca="1">IFERROR(VLOOKUP(A697,Stammdaten!A$7:D$33,4,FALSE),KALKULATION!$M$283)</f>
        <v>0</v>
      </c>
      <c r="E697" s="380"/>
      <c r="F697" s="1226">
        <f>IFERROR(E697/E$700,"")</f>
        <v>0</v>
      </c>
      <c r="G697" s="54">
        <f ca="1">IFERROR(VLOOKUP(A697,Stammdaten!A$7:F$33,4,FALSE)*F697,"")</f>
        <v>0</v>
      </c>
      <c r="H697" s="1222">
        <f ca="1">IFERROR(VLOOKUP(A697,Stammdaten!A$7:F$33,6,FALSE)*F697,"")</f>
        <v>0</v>
      </c>
      <c r="I697" s="613"/>
      <c r="J697" s="2178" t="str">
        <f ca="1">IF(OR(COUNTA(A697,E697)=2,COUNTA(A697,E697)=0),IF(D697=KALKULATION!$M$283,"Auswahl erneut vornehmen (ungültiger Verweis)!",""),"Eingabe unvollständig (ergänzen oder löschen)!")</f>
        <v/>
      </c>
      <c r="K697" s="2178"/>
      <c r="L697" s="2179"/>
    </row>
    <row r="698" spans="1:13" ht="17.850000000000001" customHeight="1" x14ac:dyDescent="0.25">
      <c r="A698" s="2265"/>
      <c r="B698" s="2265"/>
      <c r="C698" s="2265"/>
      <c r="D698" s="48">
        <f ca="1">IFERROR(VLOOKUP(A698,Stammdaten!A$7:D$33,4,FALSE),KALKULATION!$M$283)</f>
        <v>0</v>
      </c>
      <c r="E698" s="380"/>
      <c r="F698" s="1226">
        <f>IFERROR(E698/E$700,"")</f>
        <v>0</v>
      </c>
      <c r="G698" s="54">
        <f ca="1">IFERROR(VLOOKUP(A698,Stammdaten!A$7:F$33,4,FALSE)*F698,"")</f>
        <v>0</v>
      </c>
      <c r="H698" s="1222">
        <f ca="1">IFERROR(VLOOKUP(A698,Stammdaten!A$7:F$33,6,FALSE)*F698,"")</f>
        <v>0</v>
      </c>
      <c r="I698" s="613"/>
      <c r="J698" s="2178" t="str">
        <f ca="1">IF(OR(COUNTA(A698,E698)=2,COUNTA(A698,E698)=0),IF(D698=KALKULATION!$M$283,"Auswahl erneut vornehmen (ungültiger Verweis)!",""),"Eingabe unvollständig (ergänzen oder löschen)!")</f>
        <v/>
      </c>
      <c r="K698" s="2178"/>
      <c r="L698" s="2179"/>
    </row>
    <row r="699" spans="1:13" ht="17.850000000000001" customHeight="1" thickBot="1" x14ac:dyDescent="0.3">
      <c r="A699" s="2295"/>
      <c r="B699" s="2295"/>
      <c r="C699" s="2295"/>
      <c r="D699" s="60">
        <f ca="1">IFERROR(VLOOKUP(A699,Stammdaten!A$7:D$33,4,FALSE),KALKULATION!$M$283)</f>
        <v>0</v>
      </c>
      <c r="E699" s="328"/>
      <c r="F699" s="1227">
        <f>IFERROR(E699/E$700,"")</f>
        <v>0</v>
      </c>
      <c r="G699" s="213">
        <f ca="1">IFERROR(VLOOKUP(A699,Stammdaten!A$7:F$33,4,FALSE)*F699,"")</f>
        <v>0</v>
      </c>
      <c r="H699" s="1223">
        <f ca="1">IFERROR(VLOOKUP(A699,Stammdaten!A$7:F$33,6,FALSE)*F699,"")</f>
        <v>0</v>
      </c>
      <c r="I699" s="613"/>
      <c r="J699" s="2178" t="str">
        <f ca="1">IF(OR(COUNTA(A699,E699)=2,COUNTA(A699,E699)=0),IF(D699=KALKULATION!$M$283,"Auswahl erneut vornehmen (ungültiger Verweis)!",""),"Eingabe unvollständig (ergänzen oder löschen)!")</f>
        <v/>
      </c>
      <c r="K699" s="2178"/>
      <c r="L699" s="2179"/>
    </row>
    <row r="700" spans="1:13" ht="17.850000000000001" customHeight="1" x14ac:dyDescent="0.25">
      <c r="A700" s="2221" t="s">
        <v>92</v>
      </c>
      <c r="B700" s="2222"/>
      <c r="C700" s="2222"/>
      <c r="D700" s="2306"/>
      <c r="E700" s="49">
        <f>SUM(E695:E699)</f>
        <v>2</v>
      </c>
      <c r="F700" s="382">
        <f>SUM(F695:F699)</f>
        <v>1</v>
      </c>
      <c r="G700" s="51">
        <f ca="1">IF(AND(_OK?="OK!",_OK_KV?="OK_KV!"),SUM(G695:G699),ROUNDUP(SUM(G695:G699),0))</f>
        <v>19</v>
      </c>
      <c r="H700" s="84">
        <f ca="1">SUM(H695:H699)</f>
        <v>2.78</v>
      </c>
      <c r="I700" s="614" t="str">
        <f ca="1">IF(OR(_OK?&lt;&gt;"OK!",_OK_KV?&lt;&gt;"OK_KV!"),"X","")</f>
        <v>X</v>
      </c>
      <c r="J700" s="2319" t="str">
        <f>IF(E700&lt;1,M701,IF(H693="∑",IF(INT(E700)&lt;&gt;E700,"Hinweis: Partien bestehen aus ganzen 'Köpfen'! Ev. Eingaben ändern oder KZ auf Ø stellen.",""),""))</f>
        <v/>
      </c>
      <c r="K700" s="2319"/>
      <c r="L700" s="2320"/>
    </row>
    <row r="701" spans="1:13" ht="17.850000000000001" customHeight="1" x14ac:dyDescent="0.25">
      <c r="A701" s="2142" t="s">
        <v>894</v>
      </c>
      <c r="B701" s="2143"/>
      <c r="C701" s="2143"/>
      <c r="D701" s="2143"/>
      <c r="E701" s="2143"/>
      <c r="F701" s="2143"/>
      <c r="G701" s="2143"/>
      <c r="H701" s="2143"/>
      <c r="I701" s="613"/>
      <c r="J701" s="2319"/>
      <c r="K701" s="2319"/>
      <c r="L701" s="2320"/>
      <c r="M701" s="1342" t="s">
        <v>715</v>
      </c>
    </row>
    <row r="702" spans="1:13" ht="17.850000000000001" customHeight="1" thickBot="1" x14ac:dyDescent="0.3">
      <c r="A702" s="2395"/>
      <c r="B702" s="2396"/>
      <c r="C702" s="2397"/>
      <c r="D702" s="60">
        <f ca="1">IFERROR(VLOOKUP(A702,Stammdaten!A$7:D$33,4,FALSE),$M$283)</f>
        <v>0</v>
      </c>
      <c r="E702" s="359"/>
      <c r="F702" s="53" t="str">
        <f>IFERROR(IF(A702&lt;&gt;"",E702/E703,""),"")</f>
        <v/>
      </c>
      <c r="G702" s="60" t="str">
        <f ca="1">IFERROR(VLOOKUP(A702,Stammdaten!A$7:F$33,4,FALSE)*F702,"")</f>
        <v/>
      </c>
      <c r="H702" s="571" t="str">
        <f ca="1">IFERROR(VLOOKUP(A702,Stammdaten!A$7:F$33,6,FALSE)*F702,"")</f>
        <v/>
      </c>
      <c r="I702" s="615"/>
      <c r="J702" s="2178" t="str">
        <f ca="1">IF(OR(COUNTA(A702,E702)=2,COUNTA(A702,E702)=0),IF(D702=KALKULATION!$M$283,"Auswahl erneut vornehmen (ungültiger Verweis)!",""),"Eingabe unvollständig (ergänzen oder löschen)!")</f>
        <v/>
      </c>
      <c r="K702" s="2178"/>
      <c r="L702" s="2179"/>
    </row>
    <row r="703" spans="1:13" ht="17.850000000000001" customHeight="1" x14ac:dyDescent="0.25">
      <c r="A703" s="392" t="s">
        <v>92</v>
      </c>
      <c r="B703" s="373"/>
      <c r="C703" s="373"/>
      <c r="D703" s="212"/>
      <c r="E703" s="64">
        <f>SUM(E702:E702)</f>
        <v>0</v>
      </c>
      <c r="F703" s="50">
        <f>SUM(F702:F702)</f>
        <v>0</v>
      </c>
      <c r="G703" s="51">
        <f ca="1">SUM(G702:G702)</f>
        <v>0</v>
      </c>
      <c r="H703" s="84">
        <f ca="1">SUM(H702:H702)</f>
        <v>0</v>
      </c>
      <c r="I703" s="613"/>
      <c r="J703" s="2178" t="str">
        <f ca="1">IF(E703&gt;=E700,"Unzulässige Umlage (R2 größer/gleich R1)!!!",IF(AND(E703&lt;&gt;0,G700=0),"Beschäftigungsgruppe in R1 wählen!",""))</f>
        <v/>
      </c>
      <c r="K703" s="2178"/>
      <c r="L703" s="2179"/>
    </row>
    <row r="704" spans="1:13" ht="17.850000000000001" customHeight="1" x14ac:dyDescent="0.25">
      <c r="A704" s="2134" t="s">
        <v>842</v>
      </c>
      <c r="B704" s="2135"/>
      <c r="C704" s="2135"/>
      <c r="D704" s="2135"/>
      <c r="E704" s="2135"/>
      <c r="F704" s="2135"/>
      <c r="G704" s="2135"/>
      <c r="H704" s="572">
        <v>0</v>
      </c>
      <c r="I704" s="616"/>
      <c r="L704" s="216"/>
    </row>
    <row r="705" spans="1:18" ht="17.850000000000001" customHeight="1" x14ac:dyDescent="0.25">
      <c r="A705" s="2287" t="str">
        <f>IFERROR("Info: Kalk. Ø 'Regiepartie' ist zu "&amp;TEXT(G705,"0,0")&amp;" Std prod. und "&amp;TEXT(H705,"0,0")&amp;" Std unproduktiv ("&amp;TEXT(H705/G705,"0,0%")&amp;")","Unzulässige Division durch 0 - Berechnung kann nicht fortgesetzt werden!")</f>
        <v>Info: Kalk. Ø 'Regiepartie' ist zu 2,0 Std prod. und 0,0 Std unproduktiv (0,0%)</v>
      </c>
      <c r="B705" s="2288"/>
      <c r="C705" s="2288"/>
      <c r="D705" s="2288"/>
      <c r="E705" s="2288"/>
      <c r="F705" s="2288"/>
      <c r="G705" s="367">
        <f>IF(H704=1,E700,E700-E703)</f>
        <v>2</v>
      </c>
      <c r="H705" s="367">
        <f>E703</f>
        <v>0</v>
      </c>
      <c r="I705" s="613"/>
      <c r="J705" s="2176" t="str">
        <f>IF(AND(ISBLANK(H704),E703&lt;&gt;0),"Kennzeichen eingeben! Es sind unprod. Zeiten kalkuliert.","")</f>
        <v/>
      </c>
      <c r="K705" s="2176"/>
      <c r="L705" s="2177"/>
    </row>
    <row r="706" spans="1:18" ht="17.850000000000001" customHeight="1" x14ac:dyDescent="0.25">
      <c r="A706" s="2284"/>
      <c r="B706" s="2285"/>
      <c r="C706" s="2285"/>
      <c r="D706" s="2285"/>
      <c r="E706" s="2285"/>
      <c r="F706" s="2285"/>
      <c r="G706" s="2285"/>
      <c r="H706" s="2285"/>
      <c r="I706" s="613"/>
      <c r="J706" s="2280" t="str">
        <f>IFERROR(IF(H705/G705&gt;Report!$F$7,"Hinweis: Unproduktiver Anteil erscheint hoch!",""),"Der unprod. Anteil löst eine Division mit 0 aus!")</f>
        <v/>
      </c>
      <c r="K706" s="2280"/>
      <c r="L706" s="2281"/>
    </row>
    <row r="707" spans="1:18" ht="17.850000000000001" customHeight="1" thickBot="1" x14ac:dyDescent="0.3">
      <c r="A707" s="2144" t="s">
        <v>382</v>
      </c>
      <c r="B707" s="2145"/>
      <c r="C707" s="2146"/>
      <c r="D707" s="860" t="s">
        <v>72</v>
      </c>
      <c r="E707" s="861" t="s">
        <v>73</v>
      </c>
      <c r="F707" s="862" t="s">
        <v>118</v>
      </c>
      <c r="G707" s="863" t="s">
        <v>85</v>
      </c>
      <c r="H707" s="864" t="s">
        <v>73</v>
      </c>
      <c r="I707" s="613"/>
      <c r="L707" s="216"/>
    </row>
    <row r="708" spans="1:18" ht="17.850000000000001" customHeight="1" x14ac:dyDescent="0.25">
      <c r="A708" s="703" t="str">
        <f>A$498</f>
        <v>Verrechenbare Zeit</v>
      </c>
      <c r="B708" s="704"/>
      <c r="C708" s="880">
        <f>G705</f>
        <v>2</v>
      </c>
      <c r="D708" s="706">
        <f ca="1">G700*C708</f>
        <v>38</v>
      </c>
      <c r="E708" s="707">
        <f ca="1">H700*C708</f>
        <v>5.56</v>
      </c>
      <c r="F708" s="708" t="s">
        <v>204</v>
      </c>
      <c r="G708" s="685">
        <f ca="1">D708</f>
        <v>38</v>
      </c>
      <c r="H708" s="686">
        <f ca="1">IF(D711=_Ja,"",D710)</f>
        <v>38</v>
      </c>
      <c r="I708" s="613"/>
      <c r="L708" s="216"/>
    </row>
    <row r="709" spans="1:18" ht="17.850000000000001" customHeight="1" thickBot="1" x14ac:dyDescent="0.3">
      <c r="A709" s="687" t="str">
        <f>A$499</f>
        <v>Nicht verrechenb. Zeit</v>
      </c>
      <c r="B709" s="688"/>
      <c r="C709" s="881">
        <f>H705</f>
        <v>0</v>
      </c>
      <c r="D709" s="690">
        <f ca="1">G703*C709</f>
        <v>0</v>
      </c>
      <c r="E709" s="691">
        <f ca="1">H705*H703</f>
        <v>0</v>
      </c>
      <c r="F709" s="709" t="s">
        <v>203</v>
      </c>
      <c r="G709" s="693">
        <f ca="1">D709</f>
        <v>0</v>
      </c>
      <c r="H709" s="694">
        <f ca="1">IF(D711=_Ja,"",E710)</f>
        <v>5.56</v>
      </c>
      <c r="I709" s="613"/>
      <c r="L709" s="216"/>
    </row>
    <row r="710" spans="1:18" ht="17.850000000000001" customHeight="1" x14ac:dyDescent="0.25">
      <c r="A710" s="695"/>
      <c r="B710" s="696"/>
      <c r="C710" s="697" t="s">
        <v>56</v>
      </c>
      <c r="D710" s="698">
        <f ca="1">SUM(D708:D709)</f>
        <v>38</v>
      </c>
      <c r="E710" s="699">
        <f ca="1">SUM(E708:E709)</f>
        <v>5.56</v>
      </c>
      <c r="F710" s="710" t="s">
        <v>86</v>
      </c>
      <c r="G710" s="711">
        <f ca="1">G709/G708</f>
        <v>0</v>
      </c>
      <c r="H710" s="712">
        <f ca="1">IF(D711=_Ja,$H$73,H709/H708)</f>
        <v>0.14630000000000001</v>
      </c>
      <c r="I710" s="614" t="str">
        <f>IF(D711=_Ja,"X","")</f>
        <v/>
      </c>
      <c r="L710" s="216"/>
    </row>
    <row r="711" spans="1:18" ht="17.850000000000001" customHeight="1" thickBot="1" x14ac:dyDescent="0.3">
      <c r="A711" s="2756" t="str">
        <f ca="1">"Ø AKV Pkt B ist "&amp;TEXT($H$73,"0,00%")&amp;". Beibehalten?"</f>
        <v>Ø AKV Pkt B ist 14,40%. Beibehalten?</v>
      </c>
      <c r="B711" s="2757"/>
      <c r="C711" s="2758"/>
      <c r="D711" s="826" t="s">
        <v>193</v>
      </c>
      <c r="E711" s="2208" t="s">
        <v>383</v>
      </c>
      <c r="F711" s="2209"/>
      <c r="G711" s="378"/>
      <c r="H711" s="379"/>
      <c r="I711" s="614" t="str">
        <f>IF(OR(G711&lt;&gt;0,H711&lt;&gt;0),"X","")</f>
        <v/>
      </c>
      <c r="L711" s="216"/>
    </row>
    <row r="712" spans="1:18" ht="25.15" customHeight="1" x14ac:dyDescent="0.25">
      <c r="A712" s="2217"/>
      <c r="B712" s="2218"/>
      <c r="C712" s="2218"/>
      <c r="D712" s="2218"/>
      <c r="E712" s="2187" t="s">
        <v>556</v>
      </c>
      <c r="F712" s="2188"/>
      <c r="G712" s="86">
        <f ca="1">SUM(G710,G711)</f>
        <v>0</v>
      </c>
      <c r="H712" s="154">
        <f ca="1">SUM(H710,H711)</f>
        <v>0.14630000000000001</v>
      </c>
      <c r="I712" s="613"/>
      <c r="L712" s="216"/>
    </row>
    <row r="713" spans="1:18" ht="17.850000000000001" customHeight="1" x14ac:dyDescent="0.25">
      <c r="A713" s="2210"/>
      <c r="B713" s="2211"/>
      <c r="C713" s="2211"/>
      <c r="D713" s="2211"/>
      <c r="E713" s="2210"/>
      <c r="F713" s="2220"/>
      <c r="G713" s="368" t="s">
        <v>121</v>
      </c>
      <c r="H713" s="369" t="s">
        <v>122</v>
      </c>
      <c r="I713" s="613"/>
      <c r="L713" s="216"/>
    </row>
    <row r="714" spans="1:18" ht="17.850000000000001" customHeight="1" x14ac:dyDescent="0.25">
      <c r="A714" s="1194" t="s">
        <v>384</v>
      </c>
      <c r="B714" s="832"/>
      <c r="C714" s="832"/>
      <c r="D714" s="2828" t="str">
        <f>IF(H693="∑","Regiepartie gesamt "&amp;TEXT(E700,"0")&amp;" Personen","Ø-Preis pro Person")</f>
        <v>Regiepartie gesamt 2 Personen</v>
      </c>
      <c r="E714" s="2828"/>
      <c r="F714" s="2828"/>
      <c r="G714" s="835"/>
      <c r="H714" s="833">
        <f ca="1">' K3 Regie5'!N45</f>
        <v>79.62</v>
      </c>
      <c r="I714" s="832"/>
      <c r="L714" s="216"/>
    </row>
    <row r="715" spans="1:18" ht="17.850000000000001" customHeight="1" x14ac:dyDescent="0.25">
      <c r="A715" s="2289" t="s">
        <v>632</v>
      </c>
      <c r="B715" s="2290"/>
      <c r="C715" s="2290"/>
      <c r="D715" s="2290"/>
      <c r="E715" s="2290"/>
      <c r="F715" s="2290"/>
      <c r="G715" s="2290"/>
      <c r="H715" s="2290"/>
      <c r="I715" s="613"/>
      <c r="J715" s="2227" t="str">
        <f>IF(OR(I716="X",I721="X"),M$301,"")</f>
        <v/>
      </c>
      <c r="K715" s="2227"/>
      <c r="L715" s="2228"/>
    </row>
    <row r="716" spans="1:18" ht="17.850000000000001" customHeight="1" x14ac:dyDescent="0.25">
      <c r="A716" s="2134" t="s">
        <v>704</v>
      </c>
      <c r="B716" s="2135"/>
      <c r="C716" s="2136"/>
      <c r="D716" s="865" t="s">
        <v>771</v>
      </c>
      <c r="E716" s="2137" t="s">
        <v>902</v>
      </c>
      <c r="F716" s="2138"/>
      <c r="G716" s="2139"/>
      <c r="H716" s="1010">
        <f>IFERROR(VLOOKUP(E716,M716:N718,2,FALSE),"")</f>
        <v>0</v>
      </c>
      <c r="I716" s="614" t="str">
        <f>IF(E716&lt;&gt;M716,"X","")</f>
        <v/>
      </c>
      <c r="J716" s="2227"/>
      <c r="K716" s="2227"/>
      <c r="L716" s="2228"/>
      <c r="M716" s="2014" t="str">
        <f t="shared" ref="M716:N718" si="69">M438</f>
        <v>1. Standard (ÖN B 2110) ohne Zulagen</v>
      </c>
      <c r="N716" s="2091">
        <f t="shared" si="69"/>
        <v>0</v>
      </c>
    </row>
    <row r="717" spans="1:18" ht="17.850000000000001" customHeight="1" thickBot="1" x14ac:dyDescent="0.3">
      <c r="A717" s="672" t="s">
        <v>630</v>
      </c>
      <c r="B717" s="673"/>
      <c r="C717" s="674" t="s">
        <v>629</v>
      </c>
      <c r="D717" s="674" t="s">
        <v>631</v>
      </c>
      <c r="E717" s="674" t="s">
        <v>159</v>
      </c>
      <c r="F717" s="674" t="s">
        <v>8</v>
      </c>
      <c r="G717" s="674" t="s">
        <v>9</v>
      </c>
      <c r="H717" s="675" t="s">
        <v>10</v>
      </c>
      <c r="I717" s="613"/>
      <c r="L717" s="216"/>
      <c r="M717" s="2014" t="str">
        <f t="shared" si="69"/>
        <v>2. Wert gem Kalkulation Pkt D (K3_PP)</v>
      </c>
      <c r="N717" s="2091">
        <f ca="1">N439</f>
        <v>0.03</v>
      </c>
    </row>
    <row r="718" spans="1:18" ht="30" customHeight="1" thickTop="1" x14ac:dyDescent="0.25">
      <c r="A718" s="2185"/>
      <c r="B718" s="2186"/>
      <c r="C718" s="766">
        <v>1</v>
      </c>
      <c r="D718" s="871">
        <v>1</v>
      </c>
      <c r="E718" s="872" t="str">
        <f>IF(ISBLANK(A718),"",IF(L$27="",IFERROR(VLOOKUP(A718,Stammdaten!$A$70:$C$96,3,FALSE),KALKULATION!$M$283),"ungültig"))</f>
        <v/>
      </c>
      <c r="F718" s="676" t="str">
        <f>IFERROR(C718*D718*E718,"")</f>
        <v/>
      </c>
      <c r="G718" s="677">
        <f ca="1">IFERROR(VLOOKUP(A718,Stammdaten!$A$70:$C$96,2,FALSE),"")</f>
        <v>0</v>
      </c>
      <c r="H718" s="678">
        <f ca="1">IFERROR(C718*D718*G718,"")</f>
        <v>0</v>
      </c>
      <c r="I718" s="613"/>
      <c r="J718" s="2227" t="str">
        <f>VLOOKUP(E721,M721:Q724,5,FALSE)</f>
        <v>Hinweis zu R4.b - 1.) Wenn der Regiepreis keine Arbeitszeitzuschläge enthalten soll (Regelung gem ÖN B 2110) ist diese Einstellung (1.) zutreffend.</v>
      </c>
      <c r="K718" s="2227"/>
      <c r="L718" s="2228"/>
      <c r="M718" s="2014" t="str">
        <f t="shared" si="69"/>
        <v>3. Eigene Kalkulation für den Regiepreis</v>
      </c>
      <c r="N718" s="1950" t="str">
        <f t="shared" si="69"/>
        <v>berechnen:</v>
      </c>
    </row>
    <row r="719" spans="1:18" ht="17.850000000000001" customHeight="1" x14ac:dyDescent="0.25">
      <c r="A719" s="866"/>
      <c r="B719" s="867"/>
      <c r="C719" s="867"/>
      <c r="D719" s="874" t="s">
        <v>705</v>
      </c>
      <c r="E719" s="873">
        <f ca="1">' K3 Regie5'!O$21</f>
        <v>9.5</v>
      </c>
      <c r="F719" s="870">
        <f ca="1">IFERROR(F718/E719,0)</f>
        <v>0</v>
      </c>
      <c r="G719" s="868" t="str">
        <f ca="1">IF(G718=0,"",$G$131)</f>
        <v/>
      </c>
      <c r="H719" s="1007">
        <f ca="1">IFERROR(H718*G719,0)</f>
        <v>0</v>
      </c>
      <c r="I719" s="613"/>
      <c r="J719" s="2227"/>
      <c r="K719" s="2227"/>
      <c r="L719" s="2228"/>
    </row>
    <row r="720" spans="1:18" ht="17.850000000000001" customHeight="1" x14ac:dyDescent="0.25">
      <c r="A720" s="392" t="s">
        <v>768</v>
      </c>
      <c r="B720" s="67"/>
      <c r="C720" s="346"/>
      <c r="D720" s="346"/>
      <c r="E720" s="346"/>
      <c r="F720" s="498"/>
      <c r="G720" s="346"/>
      <c r="H720" s="92">
        <f>IFERROR(IF(E716=M718,SUM(F719,H719),H716),"")</f>
        <v>0</v>
      </c>
      <c r="I720" s="613"/>
      <c r="J720" s="2227"/>
      <c r="K720" s="2227"/>
      <c r="L720" s="2228"/>
      <c r="M720" s="1958" t="str">
        <f>M$442</f>
        <v>DD Arbeitszeitzuschläge</v>
      </c>
      <c r="N720" s="1958"/>
      <c r="O720" s="1958"/>
      <c r="P720" s="1958" t="str">
        <f t="shared" ref="P720" si="70">P$442</f>
        <v>Text in K3</v>
      </c>
      <c r="Q720" s="1958" t="str">
        <f>Q$442</f>
        <v>Text in Kalk</v>
      </c>
      <c r="R720" s="1960"/>
    </row>
    <row r="721" spans="1:18" ht="17.850000000000001" customHeight="1" x14ac:dyDescent="0.25">
      <c r="A721" s="2142" t="s">
        <v>767</v>
      </c>
      <c r="B721" s="2143"/>
      <c r="C721" s="2143"/>
      <c r="D721" s="928" t="s">
        <v>770</v>
      </c>
      <c r="E721" s="2137" t="s">
        <v>882</v>
      </c>
      <c r="F721" s="2138"/>
      <c r="G721" s="2138"/>
      <c r="H721" s="1010">
        <f>VLOOKUP(E721,M721:N724,2,FALSE)</f>
        <v>0</v>
      </c>
      <c r="I721" s="614" t="str">
        <f>IF(E721&lt;&gt;M721,"X","")</f>
        <v/>
      </c>
      <c r="J721" s="2227"/>
      <c r="K721" s="2227"/>
      <c r="L721" s="2228"/>
      <c r="M721" s="2014" t="str">
        <f>M$443</f>
        <v>1. Standard (ÖN B 2110) ohne Zuschlag</v>
      </c>
      <c r="N721" s="1999">
        <f t="shared" ref="N721:Q721" si="71">N$443</f>
        <v>0</v>
      </c>
      <c r="O721" s="1950"/>
      <c r="P721" s="1950" t="str">
        <f t="shared" si="71"/>
        <v>Regiestunde</v>
      </c>
      <c r="Q721" s="1950" t="str">
        <f t="shared" si="71"/>
        <v>Hinweis zu R4.b - 1.) Wenn der Regiepreis keine Arbeitszeitzuschläge enthalten soll (Regelung gem ÖN B 2110) ist diese Einstellung (1.) zutreffend.</v>
      </c>
      <c r="R721" s="1965"/>
    </row>
    <row r="722" spans="1:18" ht="17.850000000000001" customHeight="1" x14ac:dyDescent="0.25">
      <c r="A722" s="2321" t="s">
        <v>563</v>
      </c>
      <c r="B722" s="2322"/>
      <c r="C722" s="2322"/>
      <c r="D722" s="2322"/>
      <c r="E722" s="553" t="s">
        <v>378</v>
      </c>
      <c r="F722" s="524" t="s">
        <v>192</v>
      </c>
      <c r="G722" s="926">
        <v>1</v>
      </c>
      <c r="H722" s="607"/>
      <c r="I722" s="614" t="str">
        <f>IF(AND(E721=M724,F722=_Ja),"X","")</f>
        <v/>
      </c>
      <c r="J722" s="2176" t="str">
        <f>IF(OR(F722=$Q$31,F722=$Q$32),"","Bitte Ja oder Nein wählen!")</f>
        <v/>
      </c>
      <c r="K722" s="2176"/>
      <c r="L722" s="2177"/>
      <c r="M722" s="2014" t="str">
        <f>M$444</f>
        <v>2. Regie mit Ø-Zuschlag wie K3 Zeile 8</v>
      </c>
      <c r="N722" s="1999">
        <f t="shared" ref="N722:Q722" ca="1" si="72">N$444</f>
        <v>4.2999999999999997E-2</v>
      </c>
      <c r="O722" s="1950"/>
      <c r="P722" s="1950" t="str">
        <f t="shared" si="72"/>
        <v>Regiestd. (Ø-% wie K3 Z 8)</v>
      </c>
      <c r="Q722" s="1950" t="str">
        <f t="shared" si="72"/>
        <v>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v>
      </c>
      <c r="R722" s="1965"/>
    </row>
    <row r="723" spans="1:18" ht="17.850000000000001" customHeight="1" x14ac:dyDescent="0.25">
      <c r="A723" s="540" t="s">
        <v>379</v>
      </c>
      <c r="B723" s="2122"/>
      <c r="C723" s="2123"/>
      <c r="D723" s="2124"/>
      <c r="E723" s="542" t="str">
        <f>IF(OR(ISBLANK(B723),F722=_Nein),"",IFERROR(VLOOKUP(B723,Stammdaten!A$39:C$48,3,FALSE),KALKULATION!$M$283))</f>
        <v/>
      </c>
      <c r="F723" s="1101"/>
      <c r="G723" s="544"/>
      <c r="H723" s="608"/>
      <c r="I723" s="614"/>
      <c r="J723" s="2178" t="str">
        <f>IF(F722&lt;&gt;$Q$31,"",IF(AND(E723=KALKULATION!$M$283,F722=$Q$31),"Auswahl erneut vornehmen (ungültiger Verweis)!",IF(OR(AND(F722=$Q$31,B723=""),AND(F722=$Q$32,B723&lt;&gt;"")),"Eingabe unvollständig (ergänzen,  löschen od Nein wählen)!","")))</f>
        <v>Eingabe unvollständig (ergänzen,  löschen od Nein wählen)!</v>
      </c>
      <c r="K723" s="2178"/>
      <c r="L723" s="2179"/>
      <c r="M723" s="2014" t="str">
        <f>M$445</f>
        <v>3. Regie mit Std-Zuschlag wie K3</v>
      </c>
      <c r="N723" s="1999">
        <f t="shared" ref="N723:Q723" ca="1" si="73">N$445</f>
        <v>0.6</v>
      </c>
      <c r="O723" s="1950"/>
      <c r="P723" s="1950" t="str">
        <f t="shared" si="73"/>
        <v>Regiestd. (Std-% analog K3)</v>
      </c>
      <c r="Q723" s="1950" t="str">
        <f t="shared" si="73"/>
        <v>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v>
      </c>
      <c r="R723" s="1965"/>
    </row>
    <row r="724" spans="1:18" ht="17.850000000000001" customHeight="1" x14ac:dyDescent="0.25">
      <c r="A724" s="2297" t="s">
        <v>135</v>
      </c>
      <c r="B724" s="2298"/>
      <c r="C724" s="2298"/>
      <c r="D724" s="2298"/>
      <c r="E724" s="541">
        <f ca="1">IFERROR(IF(VLOOKUP(B723,Stammdaten!A$39:C$48,2,FALSE)=0,1,(VLOOKUP(B723,Stammdaten!A$39:C$48,2,FALSE))),"")</f>
        <v>1</v>
      </c>
      <c r="F724" s="1101"/>
      <c r="G724" s="545"/>
      <c r="H724" s="609"/>
      <c r="I724" s="614"/>
      <c r="L724" s="216"/>
      <c r="M724" s="2014" t="str">
        <f>M$446</f>
        <v>4. Regie berechnen</v>
      </c>
      <c r="N724" s="1950" t="str">
        <f t="shared" ref="N724:Q724" si="74">N$446</f>
        <v>berechnen:</v>
      </c>
      <c r="O724" s="1950"/>
      <c r="P724" s="1950"/>
      <c r="Q724" s="1950" t="str">
        <f t="shared" si="74"/>
        <v>Hinweis zu R4.b - 4.) Wenn ein Regiepreis unter kalkulatorischer Beachtung zeitlicher Rahmenbedingungen zu nennen ist, ist diese Auswahl zutreffend. Mehrarbeitszuschläge und Verr.std.zuschläge lassen sich individuell getrennt erfassen.</v>
      </c>
      <c r="R724" s="1965"/>
    </row>
    <row r="725" spans="1:18" ht="17.850000000000001" customHeight="1" x14ac:dyDescent="0.25">
      <c r="A725" s="2233" t="s">
        <v>560</v>
      </c>
      <c r="B725" s="2234"/>
      <c r="C725" s="2234"/>
      <c r="D725" s="2234"/>
      <c r="E725" s="2235"/>
      <c r="F725" s="351">
        <v>1</v>
      </c>
      <c r="G725" s="546">
        <f>IF(F725=1,1,IF(F725=2,((' K3 Regie5'!O$23+' K3 Regie5'!O$24)/' K3 Regie5'!O$23),IF(F725&gt;2,((' K3 Regie5'!O$23+' K3 Regie5'!O$24+' K3 Regie5'!O$25)/' K3 Regie5'!O$23),"")))</f>
        <v>1</v>
      </c>
      <c r="H725" s="608" t="str">
        <f ca="1">IFERROR(IF(AND(F722=$Q$31,F725&gt;0),(E723*E724*G725),""),"??")</f>
        <v>??</v>
      </c>
      <c r="I725" s="614"/>
      <c r="J725" s="1090" t="str">
        <f>IF(F722&lt;&gt;$Q$31,"",IF(AND(ISBLANK(F725),F722=$Q$31),"Kennzeichen setzen!",""))</f>
        <v/>
      </c>
      <c r="K725" s="1090"/>
      <c r="L725" s="365"/>
      <c r="M725" s="2069" t="s">
        <v>866</v>
      </c>
      <c r="R725" s="1965"/>
    </row>
    <row r="726" spans="1:18" ht="17.850000000000001" customHeight="1" x14ac:dyDescent="0.25">
      <c r="A726" s="2321" t="s">
        <v>565</v>
      </c>
      <c r="B726" s="2322"/>
      <c r="C726" s="2322"/>
      <c r="D726" s="2322"/>
      <c r="E726" s="553" t="s">
        <v>378</v>
      </c>
      <c r="F726" s="524" t="s">
        <v>192</v>
      </c>
      <c r="G726" s="543"/>
      <c r="H726" s="607"/>
      <c r="I726" s="614" t="str">
        <f>IF(AND(E721=M724,F726=_Ja),"X","")</f>
        <v/>
      </c>
      <c r="J726" s="2176"/>
      <c r="K726" s="2176"/>
      <c r="L726" s="2177"/>
      <c r="M726" s="1342" t="s">
        <v>859</v>
      </c>
      <c r="N726" s="2070" t="str">
        <f>IF(E721=M722,P722,IF(E721=M723,P723,IF(AND(E721=M724,F722=_Ja),B723,P721)))</f>
        <v>Regiestunde</v>
      </c>
      <c r="O726" s="2065"/>
      <c r="P726" s="1999" t="str">
        <f>IF(AND(E721=M724,F722=_Ja),TEXT(E723,"0%"),IF(N726=P722,TEXT(N722,"0,00%"),IF(N726=P723,TEXT($P$113,"0%"),"")))</f>
        <v/>
      </c>
      <c r="R726" s="1965"/>
    </row>
    <row r="727" spans="1:18" ht="17.850000000000001" customHeight="1" x14ac:dyDescent="0.25">
      <c r="A727" s="540" t="s">
        <v>379</v>
      </c>
      <c r="B727" s="2122"/>
      <c r="C727" s="2123"/>
      <c r="D727" s="2124"/>
      <c r="E727" s="549" t="str">
        <f>IF(OR(ISBLANK(B727),F726=_Nein),"",IFERROR(VLOOKUP(B727,Stammdaten!A$50:C$54,3,FALSE),KALKULATION!$M$283))</f>
        <v/>
      </c>
      <c r="F727" s="1101"/>
      <c r="G727" s="544"/>
      <c r="H727" s="608"/>
      <c r="I727" s="614"/>
      <c r="J727" s="2178" t="str">
        <f>IF(F726&lt;&gt;$Q$31,"",IF(AND(E727=KALKULATION!$M$283,F726=$Q$31),"Auswahl erneut vornehmen (ungültiger Verweis)!",IF(OR(AND(F726=$Q$31,B727=""),AND(F726=$Q$32,B727&lt;&gt;"")),"Eingabe unvollständig (ergänzen,  löschen od Nein wählen)!","")))</f>
        <v>Eingabe unvollständig (ergänzen,  löschen od Nein wählen)!</v>
      </c>
      <c r="K727" s="2178"/>
      <c r="L727" s="2179"/>
      <c r="M727" s="1342" t="s">
        <v>863</v>
      </c>
      <c r="N727" s="2071" t="str">
        <f>IF(AND(E721=M724,F726=_Ja),B727,"")</f>
        <v/>
      </c>
      <c r="O727" s="2072"/>
      <c r="P727" s="1999" t="str">
        <f>IF(N727="","",E727)</f>
        <v/>
      </c>
      <c r="Q727" s="1951"/>
      <c r="R727" s="2073"/>
    </row>
    <row r="728" spans="1:18" ht="17.850000000000001" customHeight="1" x14ac:dyDescent="0.25">
      <c r="A728" s="2241" t="s">
        <v>198</v>
      </c>
      <c r="B728" s="2242"/>
      <c r="C728" s="2242"/>
      <c r="D728" s="2242"/>
      <c r="E728" s="541" t="str">
        <f ca="1">IFERROR(IF(VLOOKUP(B727,Stammdaten!A$50:C$54,2,FALSE)=0,1,(VLOOKUP(B727,Stammdaten!A$50:C$54,2,FALSE))),"")</f>
        <v/>
      </c>
      <c r="F728" s="1101"/>
      <c r="G728" s="545"/>
      <c r="H728" s="609"/>
      <c r="I728" s="614"/>
      <c r="L728" s="216"/>
      <c r="M728" s="1342" t="s">
        <v>864</v>
      </c>
      <c r="N728" s="2071" t="str">
        <f>IF(AND(E721=M724,F730=_Ja),B731,"")</f>
        <v/>
      </c>
      <c r="O728" s="2014"/>
      <c r="P728" s="2074" t="str">
        <f>IF(N728="","",E731)</f>
        <v/>
      </c>
      <c r="Q728" s="1951"/>
      <c r="R728" s="2073"/>
    </row>
    <row r="729" spans="1:18" ht="17.850000000000001" customHeight="1" x14ac:dyDescent="0.25">
      <c r="A729" s="2233" t="str">
        <f>A725</f>
        <v xml:space="preserve">  Basis für die Aufzahlung in % (siehe Pkt C0; KZ = 1, 2, 3 od. 4):  ↓</v>
      </c>
      <c r="B729" s="2234"/>
      <c r="C729" s="2234"/>
      <c r="D729" s="2234"/>
      <c r="E729" s="2235"/>
      <c r="F729" s="351">
        <v>1</v>
      </c>
      <c r="G729" s="546">
        <f>IF(F729=1,1,IF(F729=2,((' K3 Regie5'!O$23+' K3 Regie5'!O$24)/' K3 Regie5'!O$23),IF(F729&gt;2,((' K3 Regie5'!O$23+' K3 Regie5'!O$24+' K3 Regie5'!O$25)/' K3 Regie5'!O$23),"")))</f>
        <v>1</v>
      </c>
      <c r="H729" s="608" t="str">
        <f ca="1">IFERROR(IF(F726=$Q$31,(E727*E728*G729),""),"??")</f>
        <v>??</v>
      </c>
      <c r="I729" s="614"/>
      <c r="J729" s="2176" t="str">
        <f>IF(F726&lt;&gt;$Q$31,"",IF(AND(ISBLANK(F729),F726=$Q$31),"Kennzeichen setzen!",""))</f>
        <v/>
      </c>
      <c r="K729" s="2176"/>
      <c r="L729" s="360"/>
      <c r="M729" s="1342" t="s">
        <v>868</v>
      </c>
      <c r="N729" s="1342">
        <f>IF(AND(N727&lt;&gt;"",N728&lt;&gt;""),2,IF(N727&amp;N728="",0,1))</f>
        <v>0</v>
      </c>
      <c r="R729" s="1965"/>
    </row>
    <row r="730" spans="1:18" ht="17.850000000000001" customHeight="1" x14ac:dyDescent="0.25">
      <c r="A730" s="2321" t="s">
        <v>566</v>
      </c>
      <c r="B730" s="2322"/>
      <c r="C730" s="2322"/>
      <c r="D730" s="2322"/>
      <c r="E730" s="553" t="s">
        <v>378</v>
      </c>
      <c r="F730" s="524" t="s">
        <v>192</v>
      </c>
      <c r="G730" s="547"/>
      <c r="H730" s="610"/>
      <c r="I730" s="614" t="str">
        <f>IF(AND(E721=M724,F730=_Ja),"X","")</f>
        <v/>
      </c>
      <c r="J730" s="2176"/>
      <c r="K730" s="2176"/>
      <c r="L730" s="2177"/>
      <c r="M730" s="1967"/>
      <c r="N730" s="2075" t="str">
        <f>IF(N729=2," "&amp;N727&amp;" "&amp;", "&amp;N728,IF(N729=1," "&amp;N727&amp;N728,""))</f>
        <v/>
      </c>
      <c r="O730" s="2075"/>
      <c r="P730" s="1967"/>
      <c r="Q730" s="1967"/>
      <c r="R730" s="1974"/>
    </row>
    <row r="731" spans="1:18" ht="17.850000000000001" customHeight="1" x14ac:dyDescent="0.25">
      <c r="A731" s="552" t="s">
        <v>379</v>
      </c>
      <c r="B731" s="2123"/>
      <c r="C731" s="2123"/>
      <c r="D731" s="2123"/>
      <c r="E731" s="550" t="str">
        <f>IF(OR(ISBLANK(B731),F730=_Nein),"",IFERROR(VLOOKUP(B731,Stammdaten!A$57:C$61,2,FALSE),KALKULATION!$M$283))</f>
        <v/>
      </c>
      <c r="F731" s="551" t="s">
        <v>197</v>
      </c>
      <c r="G731" s="548">
        <f ca="1">' K3 Regie5'!$O$21</f>
        <v>9.5</v>
      </c>
      <c r="H731" s="611" t="str">
        <f ca="1">IFERROR(IF(F730=$Q$31,E731/G731,""),"??")</f>
        <v>??</v>
      </c>
      <c r="I731" s="614"/>
      <c r="J731" s="271" t="str">
        <f>IF(AND(F730=$Q$31,B731=""),"Eingabe unvollständig (ergänzen od Nein wählen)!","")</f>
        <v>Eingabe unvollständig (ergänzen od Nein wählen)!</v>
      </c>
      <c r="L731" s="216"/>
    </row>
    <row r="732" spans="1:18" ht="17.850000000000001" customHeight="1" x14ac:dyDescent="0.25">
      <c r="A732" s="2221" t="s">
        <v>391</v>
      </c>
      <c r="B732" s="2222"/>
      <c r="C732" s="2222"/>
      <c r="D732" s="2222"/>
      <c r="E732" s="373"/>
      <c r="F732" s="377">
        <f>IF(F726=$Q$31,B727,IF(F730=$Q$31,B731,""))</f>
        <v>0</v>
      </c>
      <c r="G732" s="377" t="str">
        <f ca="1">IF(F726=$Q$31,TEXT(H729,"0%"),IF(F730=$Q$31,TEXT(G731,"0,00€"),""))</f>
        <v>??</v>
      </c>
      <c r="H732" s="612">
        <f>IF(E721=M724,SUM(H722:H731),H721)</f>
        <v>0</v>
      </c>
      <c r="I732" s="615"/>
      <c r="L732" s="216"/>
    </row>
    <row r="733" spans="1:18" ht="17.850000000000001" customHeight="1" x14ac:dyDescent="0.25">
      <c r="A733" s="2818" t="s">
        <v>385</v>
      </c>
      <c r="B733" s="2819"/>
      <c r="C733" s="2819"/>
      <c r="D733" s="2820"/>
      <c r="E733" s="2196" t="s">
        <v>640</v>
      </c>
      <c r="F733" s="2196"/>
      <c r="G733" s="2196" t="str">
        <f>G$455</f>
        <v>Optional überschrei-ben mit:</v>
      </c>
      <c r="H733" s="2125" t="str">
        <f>H$455</f>
        <v>Übertrag in K3 Regie</v>
      </c>
      <c r="I733" s="615"/>
      <c r="L733" s="216"/>
    </row>
    <row r="734" spans="1:18" ht="17.850000000000001" customHeight="1" x14ac:dyDescent="0.25">
      <c r="A734" s="2821"/>
      <c r="B734" s="2822"/>
      <c r="C734" s="2822"/>
      <c r="D734" s="2823"/>
      <c r="E734" s="2197"/>
      <c r="F734" s="2197"/>
      <c r="G734" s="2197"/>
      <c r="H734" s="2126"/>
      <c r="I734" s="615"/>
      <c r="L734" s="216"/>
    </row>
    <row r="735" spans="1:18" ht="17.850000000000001" customHeight="1" thickBot="1" x14ac:dyDescent="0.3">
      <c r="A735" s="2824"/>
      <c r="B735" s="2825"/>
      <c r="C735" s="2825"/>
      <c r="D735" s="2826"/>
      <c r="E735" s="2198"/>
      <c r="F735" s="2198"/>
      <c r="G735" s="2198"/>
      <c r="H735" s="2127"/>
      <c r="I735" s="615"/>
      <c r="L735" s="216"/>
    </row>
    <row r="736" spans="1:18" ht="17.850000000000001" customHeight="1" thickTop="1" x14ac:dyDescent="0.25">
      <c r="A736" s="2221" t="s">
        <v>386</v>
      </c>
      <c r="B736" s="2222"/>
      <c r="C736" s="2222"/>
      <c r="D736" s="2306"/>
      <c r="E736" s="51">
        <f ca="1">$H$228</f>
        <v>1.4</v>
      </c>
      <c r="F736" s="1887">
        <f>H705/G705</f>
        <v>0</v>
      </c>
      <c r="G736" s="364"/>
      <c r="H736" s="361">
        <f ca="1">IF(ISBLANK(G736),E736*(1+F736),G736)</f>
        <v>1.4</v>
      </c>
      <c r="I736" s="614" t="str">
        <f>IF(ISBLANK(G736),"","X")</f>
        <v/>
      </c>
      <c r="L736" s="216"/>
    </row>
    <row r="737" spans="1:17" ht="17.850000000000001" customHeight="1" x14ac:dyDescent="0.25">
      <c r="A737" s="2134" t="s">
        <v>387</v>
      </c>
      <c r="B737" s="2135"/>
      <c r="C737" s="2135"/>
      <c r="D737" s="2136"/>
      <c r="E737" s="48">
        <f ca="1">IF(E716=M717,$G$227,$G$229)</f>
        <v>1.6</v>
      </c>
      <c r="F737" s="1888">
        <f>H705/G705</f>
        <v>0</v>
      </c>
      <c r="G737" s="341"/>
      <c r="H737" s="362">
        <f ca="1">IF(ISBLANK(G737),E737*(1+F737),G737)</f>
        <v>1.6</v>
      </c>
      <c r="I737" s="614" t="str">
        <f>IF(ISBLANK(G737),"","X")</f>
        <v/>
      </c>
      <c r="L737" s="216"/>
    </row>
    <row r="738" spans="1:17" ht="17.850000000000001" customHeight="1" x14ac:dyDescent="0.25">
      <c r="A738" s="2134" t="s">
        <v>388</v>
      </c>
      <c r="B738" s="2135"/>
      <c r="C738" s="2135"/>
      <c r="D738" s="2136"/>
      <c r="E738" s="157">
        <f ca="1">$H$236</f>
        <v>0.28999999999999998</v>
      </c>
      <c r="F738" s="156"/>
      <c r="G738" s="337"/>
      <c r="H738" s="363">
        <f ca="1">IF(ISBLANK(G738),E738,G738)</f>
        <v>0.28999999999999998</v>
      </c>
      <c r="I738" s="614" t="str">
        <f ca="1">IF(OR(G738&lt;&gt;0,E738&lt;&gt;H738),"X","")</f>
        <v/>
      </c>
      <c r="J738" s="2293" t="str">
        <f>IF(G738="","","Hinweis: DPNK lassen sich genau bestimmen/nachrechnen!")</f>
        <v/>
      </c>
      <c r="K738" s="2293"/>
      <c r="L738" s="2294"/>
    </row>
    <row r="739" spans="1:17" ht="17.850000000000001" customHeight="1" x14ac:dyDescent="0.25">
      <c r="A739" s="2134" t="s">
        <v>389</v>
      </c>
      <c r="B739" s="2135"/>
      <c r="C739" s="2135"/>
      <c r="D739" s="2136"/>
      <c r="E739" s="157">
        <f ca="1">$H$265</f>
        <v>0.77</v>
      </c>
      <c r="F739" s="156"/>
      <c r="G739" s="337"/>
      <c r="H739" s="363">
        <f ca="1">IF(ISBLANK(G739),E739,G739)</f>
        <v>0.77</v>
      </c>
      <c r="I739" s="614" t="str">
        <f ca="1">IF(OR(G739&lt;&gt;0,E739&lt;&gt;H739),"X","")</f>
        <v/>
      </c>
      <c r="L739" s="216"/>
    </row>
    <row r="740" spans="1:17" ht="17.850000000000001" customHeight="1" x14ac:dyDescent="0.25">
      <c r="A740" s="435" t="s">
        <v>390</v>
      </c>
      <c r="B740" s="67"/>
      <c r="C740" s="67"/>
      <c r="D740" s="436"/>
      <c r="E740" s="48">
        <f ca="1">H$276</f>
        <v>7.0000000000000007E-2</v>
      </c>
      <c r="F740" s="156"/>
      <c r="G740" s="567"/>
      <c r="H740" s="362">
        <f ca="1">IF(ISBLANK(G740),E740,G740)</f>
        <v>7.0000000000000007E-2</v>
      </c>
      <c r="I740" s="614" t="str">
        <f ca="1">IF(OR(G740&lt;&gt;0,E740&lt;&gt;H740),"X","")</f>
        <v/>
      </c>
      <c r="L740" s="216"/>
    </row>
    <row r="741" spans="1:17" ht="17.850000000000001" customHeight="1" x14ac:dyDescent="0.25">
      <c r="A741" s="2134" t="s">
        <v>594</v>
      </c>
      <c r="B741" s="2136"/>
      <c r="C741" s="199">
        <f>$E$306</f>
        <v>0.06</v>
      </c>
      <c r="D741" s="48">
        <f ca="1">$F$307</f>
        <v>2.2599999999999998</v>
      </c>
      <c r="E741" s="338"/>
      <c r="F741" s="364"/>
      <c r="G741" s="363">
        <f>IF(ISBLANK(E741),C741,E741)</f>
        <v>0.06</v>
      </c>
      <c r="H741" s="361">
        <f ca="1">IF(ISBLANK(F741),D741,F741)</f>
        <v>2.2599999999999998</v>
      </c>
      <c r="I741" s="614" t="str">
        <f>IF(OR(F741&lt;&gt;0,E741&lt;&gt;0),"X","")</f>
        <v/>
      </c>
      <c r="L741" s="216"/>
    </row>
    <row r="742" spans="1:17" ht="17.850000000000001" customHeight="1" x14ac:dyDescent="0.25">
      <c r="A742" s="2142" t="str">
        <f ca="1">"R5)"&amp;IF($G$327=0," Keine Umlagen unter Pkt H1 bzw H2 angelgt!"," Umlagen (K3 Spalte A)")</f>
        <v>R5) Umlagen (K3 Spalte A)</v>
      </c>
      <c r="B742" s="2143"/>
      <c r="C742" s="2143"/>
      <c r="D742" s="2143"/>
      <c r="E742" s="2143"/>
      <c r="F742" s="2143"/>
      <c r="G742" s="2143"/>
      <c r="H742" s="2143"/>
      <c r="I742" s="615"/>
      <c r="L742" s="216"/>
    </row>
    <row r="743" spans="1:17" ht="17.850000000000001" customHeight="1" thickBot="1" x14ac:dyDescent="0.3">
      <c r="A743" s="2314" t="s">
        <v>562</v>
      </c>
      <c r="B743" s="2315"/>
      <c r="C743" s="2315"/>
      <c r="D743" s="2315"/>
      <c r="E743" s="523" t="str">
        <f ca="1">IF(SUM(F744:G746)&lt;&gt;$H$327,"!","")</f>
        <v>!</v>
      </c>
      <c r="F743" s="715" t="s">
        <v>69</v>
      </c>
      <c r="G743" s="747" t="s">
        <v>673</v>
      </c>
      <c r="H743" s="1008">
        <f ca="1">' K3 Regie5'!O33</f>
        <v>26.98</v>
      </c>
      <c r="I743" s="615"/>
      <c r="J743" s="2319" t="str">
        <f ca="1">IF(E743="!","Hinweis: Es sind nicht alle oder andere Umlagen wie oben (Pkt H) für K3 ausgewählt! Berechnung erfolgt mit den hier ausgewählten Umlagen.","")</f>
        <v>Hinweis: Es sind nicht alle oder andere Umlagen wie oben (Pkt H) für K3 ausgewählt! Berechnung erfolgt mit den hier ausgewählten Umlagen.</v>
      </c>
      <c r="K743" s="2319"/>
      <c r="L743" s="2320"/>
    </row>
    <row r="744" spans="1:17" ht="17.850000000000001" customHeight="1" thickTop="1" x14ac:dyDescent="0.25">
      <c r="A744" s="2370"/>
      <c r="B744" s="2370"/>
      <c r="C744" s="2370"/>
      <c r="D744" s="2370"/>
      <c r="E744" s="2370"/>
      <c r="F744" s="85" t="str">
        <f>IF(A744="","",IFERROR(VLOOKUP(A744,A$329:E$333,2,FALSE),KALKULATION!$M$283))</f>
        <v/>
      </c>
      <c r="G744" s="158" t="str">
        <f>IF(A744="","",IFERROR(VLOOKUP(A744,A$329:E$333,3,FALSE),""))</f>
        <v/>
      </c>
      <c r="H744" s="85" t="str">
        <f>IF(OR(G744="",G744=0),"",G744*H$743)</f>
        <v/>
      </c>
      <c r="I744" s="615"/>
      <c r="J744" s="2319"/>
      <c r="K744" s="2319"/>
      <c r="L744" s="2320"/>
    </row>
    <row r="745" spans="1:17" ht="17.850000000000001" customHeight="1" x14ac:dyDescent="0.25">
      <c r="A745" s="2265"/>
      <c r="B745" s="2265"/>
      <c r="C745" s="2265"/>
      <c r="D745" s="2265"/>
      <c r="E745" s="2265"/>
      <c r="F745" s="85" t="str">
        <f>IF(A745="","",IFERROR(VLOOKUP(A745,A$329:E$333,2,FALSE),KALKULATION!$M$283))</f>
        <v/>
      </c>
      <c r="G745" s="158" t="str">
        <f t="shared" ref="G745:G746" si="75">IF(A745="","",IFERROR(VLOOKUP(A745,A$329:E$333,3,FALSE),""))</f>
        <v/>
      </c>
      <c r="H745" s="85" t="str">
        <f t="shared" ref="H745:H746" si="76">IF(OR(G745="",G745=0),"",G745*H$743)</f>
        <v/>
      </c>
      <c r="I745" s="615"/>
      <c r="J745" s="2319"/>
      <c r="K745" s="2319"/>
      <c r="L745" s="2320"/>
    </row>
    <row r="746" spans="1:17" ht="17.850000000000001" customHeight="1" x14ac:dyDescent="0.25">
      <c r="A746" s="2265"/>
      <c r="B746" s="2265"/>
      <c r="C746" s="2265"/>
      <c r="D746" s="2265"/>
      <c r="E746" s="2265"/>
      <c r="F746" s="84" t="str">
        <f>IF(A746="","",IFERROR(VLOOKUP(A746,A$329:E$333,2,FALSE),KALKULATION!$M$283))</f>
        <v/>
      </c>
      <c r="G746" s="50" t="str">
        <f t="shared" si="75"/>
        <v/>
      </c>
      <c r="H746" s="84" t="str">
        <f t="shared" si="76"/>
        <v/>
      </c>
      <c r="I746" s="615"/>
      <c r="L746" s="216"/>
      <c r="M746" s="2095" t="s">
        <v>643</v>
      </c>
      <c r="N746" s="2095"/>
      <c r="O746" s="2095" t="str">
        <f>$A$413&amp;" gesamt"</f>
        <v>Regielohnpreis gesamt</v>
      </c>
      <c r="P746" s="2096"/>
    </row>
    <row r="747" spans="1:17" ht="17.850000000000001" customHeight="1" x14ac:dyDescent="0.25">
      <c r="A747" s="2180" t="str">
        <f>IF(SUM(F744:H746)=0,"R5.b) GZ auf UMLAGEN - keine Umlagen ausgewählt (oder in Pkt H1 angelegt)","R5.b) GZ auf Umlagen")</f>
        <v>R5.b) GZ auf UMLAGEN - keine Umlagen ausgewählt (oder in Pkt H1 angelegt)</v>
      </c>
      <c r="B747" s="2181"/>
      <c r="C747" s="2181"/>
      <c r="D747" s="2181"/>
      <c r="E747" s="2181"/>
      <c r="F747" s="2182"/>
      <c r="G747" s="2182"/>
      <c r="H747" s="2181"/>
      <c r="I747" s="615"/>
      <c r="L747" s="216"/>
      <c r="M747" s="2097" t="s">
        <v>644</v>
      </c>
      <c r="N747" s="2097"/>
      <c r="O747" s="2097" t="str">
        <f>IF(D692=""," [? Keine Bezeichnung vorhanden ?"," ["&amp;D692&amp;"]")</f>
        <v xml:space="preserve"> [Parteie FA &amp; HA]</v>
      </c>
      <c r="P747" s="2098"/>
    </row>
    <row r="748" spans="1:17" ht="17.850000000000001" customHeight="1" x14ac:dyDescent="0.25">
      <c r="A748" s="2221" t="s">
        <v>561</v>
      </c>
      <c r="B748" s="2222"/>
      <c r="C748" s="2222"/>
      <c r="D748" s="2137"/>
      <c r="E748" s="2138"/>
      <c r="F748" s="2139"/>
      <c r="G748" s="196" t="str">
        <f>IF(D748="","",IFERROR(VLOOKUP(D748,'K2 GZ'!I$25:M$32,5,FALSE),KALKULATION!$M$283))</f>
        <v/>
      </c>
      <c r="H748" s="1009" t="str">
        <f ca="1">IF($G$327=0,"",IF(G748=KALKULATION!$M$283,"",IF(SUM(F744:H746)=0,"",IF(D748="",$G$346,G748))))</f>
        <v/>
      </c>
      <c r="I748" s="614" t="str">
        <f>IF(AND(D748&lt;&gt;"",SUM(F744:H746)&lt;&gt;0),"X","")</f>
        <v/>
      </c>
      <c r="J748" s="2178" t="str">
        <f ca="1">IF(G748=KALKULATION!$M$283,"Auswahl erneut vornehmen (ungült. Verweis)/Text löschen!",IF(AND(H748="",SUM(F744:G746)&lt;&gt;0),"GZ fehlt oder gleich 0!)",""))</f>
        <v/>
      </c>
      <c r="K748" s="2178"/>
      <c r="L748" s="2179"/>
      <c r="M748" s="2097" t="s">
        <v>414</v>
      </c>
      <c r="N748" s="2097"/>
      <c r="O748" s="2097" t="str">
        <f>IF(AND(COUNTA(A695:C699)=1,E695=1)," für ["&amp;A695&amp;"]","")</f>
        <v/>
      </c>
      <c r="P748" s="2098"/>
      <c r="Q748" s="2098" t="str">
        <f>IF(O748="",IF(KALKULATION!H693="Ø"," als Ø-Preis pro Person und Stunde"," als Partiepreis pro Stunde"),O748)</f>
        <v xml:space="preserve"> als Partiepreis pro Stunde</v>
      </c>
    </row>
    <row r="749" spans="1:17" ht="17.850000000000001" customHeight="1" x14ac:dyDescent="0.25">
      <c r="A749" s="2393"/>
      <c r="B749" s="2394"/>
      <c r="C749" s="2394"/>
      <c r="D749" s="2394"/>
      <c r="E749" s="2394"/>
      <c r="F749" s="2394"/>
      <c r="G749" s="2394"/>
      <c r="H749" s="2394"/>
      <c r="I749" s="614"/>
      <c r="L749" s="216"/>
      <c r="M749" s="2099" t="s">
        <v>708</v>
      </c>
      <c r="N749" s="2097"/>
      <c r="O749" s="2100" t="str">
        <f>IF(O748="",IF(KALKULATION!H693="Ø"," als Ø-Preis pro Person und Stunde"," als Partiepreis pro Stunde für ["&amp;TEXT(E700,"0")&amp;" Personen]"),O748)</f>
        <v xml:space="preserve"> als Partiepreis pro Stunde für [2 Personen]</v>
      </c>
      <c r="P749" s="2098"/>
    </row>
    <row r="750" spans="1:17" ht="17.850000000000001" customHeight="1" x14ac:dyDescent="0.25">
      <c r="A750" s="2180" t="str">
        <f>A$472</f>
        <v>R6) GZ auf PERSONALKOSTEN (K3 Spalte B)</v>
      </c>
      <c r="B750" s="2181"/>
      <c r="C750" s="2181"/>
      <c r="D750" s="2313"/>
      <c r="E750" s="2313"/>
      <c r="F750" s="2313"/>
      <c r="G750" s="2313"/>
      <c r="H750" s="2313"/>
      <c r="I750" s="613"/>
      <c r="L750" s="216"/>
      <c r="M750" s="2080" t="s">
        <v>641</v>
      </c>
      <c r="N750" s="2081" t="str">
        <f ca="1">IF(AND(E721=M724,H725&lt;&gt;"")," als ["&amp;B723&amp;TEXT(E723," (0%)")&amp;"]",IF(E721=M722," mit [Ø Zuschlag gem K3 Mittelpersonalpreis Z 8]",IF(E721=M723," mit [Aufzahlung pro Std gem K3 Mittelpersonalpreis]","")))</f>
        <v/>
      </c>
      <c r="O750" s="2080"/>
      <c r="P750" s="2082"/>
    </row>
    <row r="751" spans="1:17" ht="17.850000000000001" customHeight="1" x14ac:dyDescent="0.25">
      <c r="A751" s="2459" t="s">
        <v>561</v>
      </c>
      <c r="B751" s="2460"/>
      <c r="C751" s="2460"/>
      <c r="D751" s="2309"/>
      <c r="E751" s="2276"/>
      <c r="F751" s="2686"/>
      <c r="G751" s="834" t="str">
        <f>IF(D751="","",IFERROR(VLOOKUP(D751,'K2 GZ'!I$25:M$32,5,FALSE),KALKULATION!$M$283))</f>
        <v/>
      </c>
      <c r="H751" s="1138">
        <f>IF(G751=KALKULATION!$M$283,"",IF(D751="",$G$345,G751))</f>
        <v>0.28999999999999998</v>
      </c>
      <c r="I751" s="614" t="str">
        <f>IF(D751&lt;&gt;"","X","")</f>
        <v/>
      </c>
      <c r="J751" s="2178" t="str">
        <f>IF(G751=KALKULATION!$M$283,"Auswahl erneut vornehmen (ungültiger Verweis)!",IF(H751=KALKULATION!$M$283,"GZ aus K2-Blatt wählen!",""))</f>
        <v/>
      </c>
      <c r="K751" s="2178"/>
      <c r="L751" s="2179"/>
      <c r="M751" s="2083" t="s">
        <v>642</v>
      </c>
      <c r="N751" s="2084" t="str">
        <f>IF(N730="",""," in ["&amp;N730&amp;"]")</f>
        <v/>
      </c>
      <c r="O751" s="2083"/>
      <c r="P751" s="2085"/>
    </row>
    <row r="752" spans="1:17" ht="20.100000000000001" customHeight="1" x14ac:dyDescent="0.25">
      <c r="A752" s="1194" t="s">
        <v>384</v>
      </c>
      <c r="B752" s="832"/>
      <c r="C752" s="832"/>
      <c r="D752" s="2828" t="str">
        <f>D714</f>
        <v>Regiepartie gesamt 2 Personen</v>
      </c>
      <c r="E752" s="2828"/>
      <c r="F752" s="2828"/>
      <c r="G752" s="832"/>
      <c r="H752" s="833">
        <f ca="1">' K3 Regie5'!N45</f>
        <v>79.62</v>
      </c>
      <c r="I752" s="617"/>
      <c r="J752" s="383"/>
      <c r="K752" s="383"/>
      <c r="L752" s="384"/>
      <c r="M752" s="2080"/>
      <c r="N752" s="2086"/>
      <c r="O752" s="2080"/>
      <c r="P752" s="2082"/>
    </row>
    <row r="753" spans="1:16" ht="17.850000000000001" customHeight="1" x14ac:dyDescent="0.25">
      <c r="A753" s="2116" t="s">
        <v>713</v>
      </c>
      <c r="B753" s="2267"/>
      <c r="C753" s="2193" t="str">
        <f>IFERROR(VLOOKUP(A755,M756:N763,2,FALSE),KALKULATION!$M$283)</f>
        <v>Regielohnpreis gesamt als Partiepreis pro Stunde für [2 Personen]</v>
      </c>
      <c r="D753" s="2193"/>
      <c r="E753" s="2193"/>
      <c r="F753" s="2193"/>
      <c r="G753" s="2193"/>
      <c r="H753" s="2193"/>
      <c r="I753" s="724"/>
      <c r="J753" s="2326" t="str">
        <f ca="1">IF(OR(H751&lt;Report!$G$13,KALKULATION!H751&gt;Report!$F$13,AND(SUM(KALKULATION!F744:H746)&lt;&gt;0,OR(H748&lt;Report!$G$13,KALKULATION!H748&gt;Report!$F$13))),"Hinweis: GZ in R5.b oder R6 liegt außerhalb der empfohlenen Grenzwerte gem Blatt REPORT!","")</f>
        <v/>
      </c>
      <c r="K753" s="2326"/>
      <c r="L753" s="2327"/>
      <c r="M753" s="2078"/>
      <c r="N753" s="2087"/>
      <c r="O753" s="2078"/>
      <c r="P753" s="2079"/>
    </row>
    <row r="754" spans="1:16" ht="17.850000000000001" customHeight="1" x14ac:dyDescent="0.25">
      <c r="A754" s="2117"/>
      <c r="B754" s="2310"/>
      <c r="C754" s="2193"/>
      <c r="D754" s="2193"/>
      <c r="E754" s="2193"/>
      <c r="F754" s="2193"/>
      <c r="G754" s="2193"/>
      <c r="H754" s="2193"/>
      <c r="I754" s="724"/>
      <c r="J754" s="2328"/>
      <c r="K754" s="2328"/>
      <c r="L754" s="2329"/>
      <c r="M754" s="2101" t="s">
        <v>709</v>
      </c>
      <c r="N754" s="2101" t="str">
        <f ca="1">N750&amp;N751</f>
        <v/>
      </c>
      <c r="P754" s="2102"/>
    </row>
    <row r="755" spans="1:16" ht="17.850000000000001" customHeight="1" x14ac:dyDescent="0.25">
      <c r="A755" s="2857" t="s">
        <v>718</v>
      </c>
      <c r="B755" s="2858"/>
      <c r="C755" s="2195"/>
      <c r="D755" s="2195"/>
      <c r="E755" s="2195"/>
      <c r="F755" s="2195"/>
      <c r="G755" s="2195"/>
      <c r="H755" s="2195"/>
      <c r="I755" s="724"/>
      <c r="L755" s="216"/>
      <c r="M755" s="1958" t="s">
        <v>710</v>
      </c>
      <c r="N755" s="1984"/>
    </row>
    <row r="756" spans="1:16" ht="17.850000000000001" customHeight="1" x14ac:dyDescent="0.25">
      <c r="A756" s="2116" t="s">
        <v>711</v>
      </c>
      <c r="B756" s="2272"/>
      <c r="C756" s="2385" t="s">
        <v>982</v>
      </c>
      <c r="D756" s="2385"/>
      <c r="E756" s="2385"/>
      <c r="F756" s="2385"/>
      <c r="G756" s="2385"/>
      <c r="H756" s="2385"/>
      <c r="I756" s="724"/>
      <c r="L756" s="216"/>
      <c r="M756" s="1946" t="s">
        <v>717</v>
      </c>
      <c r="N756" s="2103" t="str">
        <f>O746&amp;Q748</f>
        <v>Regielohnpreis gesamt als Partiepreis pro Stunde</v>
      </c>
    </row>
    <row r="757" spans="1:16" ht="17.850000000000001" customHeight="1" x14ac:dyDescent="0.25">
      <c r="A757" s="2117"/>
      <c r="B757" s="2299"/>
      <c r="C757" s="2571"/>
      <c r="D757" s="2571"/>
      <c r="E757" s="2571"/>
      <c r="F757" s="2571"/>
      <c r="G757" s="2571"/>
      <c r="H757" s="2571"/>
      <c r="I757" s="724"/>
      <c r="L757" s="216"/>
      <c r="M757" s="1946" t="s">
        <v>718</v>
      </c>
      <c r="N757" s="2103" t="str">
        <f>O746&amp;O749</f>
        <v>Regielohnpreis gesamt als Partiepreis pro Stunde für [2 Personen]</v>
      </c>
    </row>
    <row r="758" spans="1:16" ht="17.850000000000001" customHeight="1" x14ac:dyDescent="0.25">
      <c r="A758" s="2117"/>
      <c r="B758" s="2299"/>
      <c r="C758" s="2571"/>
      <c r="D758" s="2571"/>
      <c r="E758" s="2571"/>
      <c r="F758" s="2571"/>
      <c r="G758" s="2571"/>
      <c r="H758" s="2571"/>
      <c r="I758" s="724"/>
      <c r="L758" s="216"/>
      <c r="M758" s="1946" t="s">
        <v>719</v>
      </c>
      <c r="N758" s="2103" t="str">
        <f>O746&amp;O747&amp;Q748</f>
        <v>Regielohnpreis gesamt [Parteie FA &amp; HA] als Partiepreis pro Stunde</v>
      </c>
    </row>
    <row r="759" spans="1:16" ht="17.850000000000001" customHeight="1" x14ac:dyDescent="0.25">
      <c r="A759" s="2841"/>
      <c r="B759" s="2842"/>
      <c r="C759" s="2842"/>
      <c r="D759" s="2842"/>
      <c r="E759" s="2842"/>
      <c r="F759" s="2842"/>
      <c r="G759" s="2842"/>
      <c r="H759" s="2842"/>
      <c r="I759" s="2842"/>
      <c r="L759" s="216"/>
      <c r="M759" s="1946" t="s">
        <v>720</v>
      </c>
      <c r="N759" s="2104" t="str">
        <f>O746&amp;O747&amp;O749</f>
        <v>Regielohnpreis gesamt [Parteie FA &amp; HA] als Partiepreis pro Stunde für [2 Personen]</v>
      </c>
    </row>
    <row r="760" spans="1:16" ht="17.850000000000001" customHeight="1" x14ac:dyDescent="0.25">
      <c r="A760" s="2117" t="s">
        <v>672</v>
      </c>
      <c r="B760" s="2121"/>
      <c r="C760" s="2121"/>
      <c r="D760" s="2121"/>
      <c r="E760" s="2121"/>
      <c r="F760" s="2121"/>
      <c r="G760" s="2121"/>
      <c r="H760" s="2121"/>
      <c r="I760" s="2121"/>
      <c r="J760" s="45"/>
      <c r="L760" s="216"/>
      <c r="M760" s="1946" t="s">
        <v>721</v>
      </c>
      <c r="N760" s="2105" t="str">
        <f ca="1">O746&amp;Q748&amp;N754</f>
        <v>Regielohnpreis gesamt als Partiepreis pro Stunde</v>
      </c>
    </row>
    <row r="761" spans="1:16" ht="17.850000000000001" customHeight="1" x14ac:dyDescent="0.25">
      <c r="A761" s="2117"/>
      <c r="B761" s="2121"/>
      <c r="C761" s="2121"/>
      <c r="D761" s="2121"/>
      <c r="E761" s="2121"/>
      <c r="F761" s="2121"/>
      <c r="G761" s="2121"/>
      <c r="H761" s="2121"/>
      <c r="I761" s="2121"/>
      <c r="J761" s="46"/>
      <c r="K761" s="47"/>
      <c r="L761" s="594"/>
      <c r="M761" s="1946" t="s">
        <v>722</v>
      </c>
      <c r="N761" s="2104" t="str">
        <f ca="1">O746&amp;O747&amp;Q748&amp;N754</f>
        <v>Regielohnpreis gesamt [Parteie FA &amp; HA] als Partiepreis pro Stunde</v>
      </c>
    </row>
    <row r="762" spans="1:16" ht="17.850000000000001" customHeight="1" x14ac:dyDescent="0.25">
      <c r="A762" s="2835"/>
      <c r="B762" s="2835"/>
      <c r="C762" s="2835"/>
      <c r="D762" s="2835"/>
      <c r="E762" s="2835"/>
      <c r="F762" s="2835"/>
      <c r="G762" s="2835"/>
      <c r="H762" s="2835"/>
      <c r="I762" s="2835"/>
      <c r="L762" s="216"/>
      <c r="M762" s="1946" t="s">
        <v>887</v>
      </c>
      <c r="N762" s="2104" t="str">
        <f ca="1">O746&amp;O747&amp;O749&amp;N754</f>
        <v>Regielohnpreis gesamt [Parteie FA &amp; HA] als Partiepreis pro Stunde für [2 Personen]</v>
      </c>
    </row>
    <row r="763" spans="1:16" ht="25.15" customHeight="1" x14ac:dyDescent="0.25">
      <c r="A763" s="2838" t="str">
        <f ca="1">IF(A769="","Regie 6 -  [keine Beschäftigungsgruppe ausgewählt]",IF(D769=KALKULATION!$M$283," Regie 6 - [nicht vorhandene Beschäftigungsgruppe]",M764&amp;M765))</f>
        <v>Regielohnpreis gesamt 6 - 'Regiepartie' mit Ergebnis  Ø-Preis/Person</v>
      </c>
      <c r="B763" s="2839"/>
      <c r="C763" s="2839"/>
      <c r="D763" s="2839"/>
      <c r="E763" s="2839"/>
      <c r="F763" s="2839"/>
      <c r="G763" s="2839"/>
      <c r="H763" s="2839"/>
      <c r="I763" s="2839"/>
      <c r="J763" s="2238" t="str">
        <f>IF(AND(A770&amp;A771&amp;A772&amp;A773&lt;&gt;"",A769=""),"Die erste Eintragung muss in der 1. Zeile von R1 erfolgen!","")</f>
        <v/>
      </c>
      <c r="K763" s="2238"/>
      <c r="L763" s="2239"/>
      <c r="M763" s="1946" t="s">
        <v>716</v>
      </c>
      <c r="N763" s="2104" t="str">
        <f>C756</f>
        <v># Ihre individuelle Bezeichnung für die Auswahl in R7.a können Sie in R7.b eintragen.</v>
      </c>
    </row>
    <row r="764" spans="1:16" ht="17.850000000000001" customHeight="1" x14ac:dyDescent="0.25">
      <c r="A764" s="2117" t="s">
        <v>533</v>
      </c>
      <c r="B764" s="2417"/>
      <c r="C764" s="2418"/>
      <c r="D764" s="2840" t="s">
        <v>940</v>
      </c>
      <c r="E764" s="2571"/>
      <c r="F764" s="2571"/>
      <c r="G764" s="2571"/>
      <c r="H764" s="2571"/>
      <c r="I764" s="991"/>
      <c r="J764" s="2167" t="str">
        <f>IF(AND(COUNTA(A769:C773)=1,E769&lt;&gt;1),"Hinweis: Wenn nur eine Beschäftigungsgruppe angelegt wird, sollte die Anzahl 1,00 sein (wie Regie 1 bis Regie 4). Gfg korrigieren oder weitere Beschäftigte zur Bildung einer Partie hinzufügen","")</f>
        <v/>
      </c>
      <c r="K764" s="2167"/>
      <c r="L764" s="2167"/>
      <c r="M764" s="2094" t="str">
        <f>IF(M765&lt;&gt;"","","Regie 6"&amp;IF(A769=""," [keine Beschäftigungsgruppe ausgewählt]",IF(D769=KALKULATION!$M$283," - [nicht vorhandene Beschäftigungsgruppe]"," - kalkuliert für ["&amp;LEFT(A769,40)&amp;"]")))</f>
        <v/>
      </c>
    </row>
    <row r="765" spans="1:16" ht="17.850000000000001" customHeight="1" x14ac:dyDescent="0.25">
      <c r="A765" s="2405"/>
      <c r="B765" s="2406"/>
      <c r="C765" s="2407"/>
      <c r="D765" s="2386"/>
      <c r="E765" s="2387"/>
      <c r="F765" s="2387"/>
      <c r="G765" s="2387"/>
      <c r="H765" s="2387"/>
      <c r="I765" s="817"/>
      <c r="J765" s="2167"/>
      <c r="K765" s="2167"/>
      <c r="L765" s="2167"/>
      <c r="M765" s="2106" t="str">
        <f>IF(AND(COUNTA(A769:C773)&gt;1,A769&lt;&gt;""),O820&amp;" 6 - 'Regiepartie' mit Ergebnis "&amp;IF(H767="Ø"," Ø-Preis/Person",IF(H767="∑"," Gesamtpreis der Partie"," (??) KZ in R0.b wählen!")),"")</f>
        <v>Regielohnpreis gesamt 6 - 'Regiepartie' mit Ergebnis  Ø-Preis/Person</v>
      </c>
    </row>
    <row r="766" spans="1:16" ht="17.850000000000001" customHeight="1" x14ac:dyDescent="0.25">
      <c r="A766" s="2134" t="s">
        <v>645</v>
      </c>
      <c r="B766" s="2135"/>
      <c r="C766" s="2136"/>
      <c r="D766" s="2368"/>
      <c r="E766" s="2369"/>
      <c r="F766" s="2369"/>
      <c r="G766" s="2369"/>
      <c r="H766" s="2369"/>
      <c r="I766" s="817"/>
      <c r="J766" s="2167"/>
      <c r="K766" s="2167"/>
      <c r="L766" s="2167"/>
    </row>
    <row r="767" spans="1:16" ht="17.850000000000001" customHeight="1" x14ac:dyDescent="0.25">
      <c r="A767" s="2134" t="s">
        <v>396</v>
      </c>
      <c r="B767" s="2135"/>
      <c r="C767" s="2135"/>
      <c r="D767" s="2135"/>
      <c r="E767" s="2135"/>
      <c r="F767" s="2135"/>
      <c r="G767" s="2135"/>
      <c r="H767" s="1212" t="s">
        <v>381</v>
      </c>
      <c r="I767" s="817"/>
      <c r="J767" s="1121" t="str">
        <f>IF(H767="","KZ für Berechnung der ges. Partie (∑) od. des Ø/Person?","")</f>
        <v/>
      </c>
    </row>
    <row r="768" spans="1:16" ht="17.850000000000001" customHeight="1" thickBot="1" x14ac:dyDescent="0.3">
      <c r="A768" s="2266" t="s">
        <v>395</v>
      </c>
      <c r="B768" s="2266"/>
      <c r="C768" s="2266"/>
      <c r="D768" s="2266"/>
      <c r="E768" s="715" t="s">
        <v>18</v>
      </c>
      <c r="F768" s="715"/>
      <c r="G768" s="1011" t="s">
        <v>72</v>
      </c>
      <c r="H768" s="1120" t="s">
        <v>73</v>
      </c>
      <c r="I768" s="817"/>
    </row>
    <row r="769" spans="1:13" ht="17.850000000000001" customHeight="1" thickTop="1" x14ac:dyDescent="0.25">
      <c r="A769" s="2370" t="s">
        <v>1134</v>
      </c>
      <c r="B769" s="2370"/>
      <c r="C769" s="2370"/>
      <c r="D769" s="51">
        <f ca="1">IFERROR(VLOOKUP(A769,Stammdaten!A$7:D$33,4,FALSE),KALKULATION!$M$283)</f>
        <v>21.96</v>
      </c>
      <c r="E769" s="327">
        <v>0.15</v>
      </c>
      <c r="F769" s="1225">
        <f>IF(A769="","",IFERROR(E769/E$774,""))</f>
        <v>0.15</v>
      </c>
      <c r="G769" s="136">
        <f ca="1">IFERROR(VLOOKUP(A769,Stammdaten!A$7:F$33,4,FALSE)*F769,"")</f>
        <v>3.294</v>
      </c>
      <c r="H769" s="1221">
        <f ca="1">IFERROR(VLOOKUP(A769,Stammdaten!A$7:F$33,6,FALSE)*F769,"")</f>
        <v>0.49399999999999999</v>
      </c>
      <c r="I769" s="817"/>
      <c r="J769" s="2178" t="str">
        <f ca="1">IF(OR(COUNTA(A769,E769)=2,COUNTA(A769,E769)=0),IF(D769=KALKULATION!$M$283,"Auswahl erneut vornehmen (ungültiger Verweis)!",""),"Eingabe unvollständig (ergänzen oder löschen)!")</f>
        <v/>
      </c>
      <c r="K769" s="2178"/>
      <c r="L769" s="2179"/>
    </row>
    <row r="770" spans="1:13" ht="17.850000000000001" customHeight="1" x14ac:dyDescent="0.25">
      <c r="A770" s="2265" t="s">
        <v>1135</v>
      </c>
      <c r="B770" s="2265"/>
      <c r="C770" s="2265"/>
      <c r="D770" s="48">
        <f ca="1">IFERROR(VLOOKUP(A770,Stammdaten!A$7:D$33,4,FALSE),KALKULATION!$M$283)</f>
        <v>19.989999999999998</v>
      </c>
      <c r="E770" s="380">
        <v>0.35</v>
      </c>
      <c r="F770" s="1226">
        <f t="shared" ref="F770:F773" si="77">IFERROR(E770/E$774,"")</f>
        <v>0.35</v>
      </c>
      <c r="G770" s="54">
        <f ca="1">IFERROR(VLOOKUP(A770,Stammdaten!A$7:F$33,4,FALSE)*F770,"")</f>
        <v>6.9969999999999999</v>
      </c>
      <c r="H770" s="1222">
        <f ca="1">IFERROR(VLOOKUP(A770,Stammdaten!A$7:F$33,6,FALSE)*F770,"")</f>
        <v>1.05</v>
      </c>
      <c r="I770" s="817"/>
      <c r="J770" s="2178" t="str">
        <f ca="1">IF(OR(COUNTA(A770,E770)=2,COUNTA(A770,E770)=0),IF(D770=KALKULATION!$M$283,"Auswahl erneut vornehmen (ungültiger Verweis)!",""),"Eingabe unvollständig (ergänzen oder löschen)!")</f>
        <v/>
      </c>
      <c r="K770" s="2178"/>
      <c r="L770" s="2179"/>
    </row>
    <row r="771" spans="1:13" ht="17.850000000000001" customHeight="1" x14ac:dyDescent="0.25">
      <c r="A771" s="2137" t="s">
        <v>1144</v>
      </c>
      <c r="B771" s="2138"/>
      <c r="C771" s="2139"/>
      <c r="D771" s="48">
        <f ca="1">IFERROR(VLOOKUP(A771,Stammdaten!A$7:D$33,4,FALSE),KALKULATION!$M$283)</f>
        <v>19.53</v>
      </c>
      <c r="E771" s="380">
        <v>0.2</v>
      </c>
      <c r="F771" s="1226">
        <f t="shared" si="77"/>
        <v>0.2</v>
      </c>
      <c r="G771" s="54">
        <f ca="1">IFERROR(VLOOKUP(A771,Stammdaten!A$7:F$33,4,FALSE)*F771,"")</f>
        <v>3.9060000000000001</v>
      </c>
      <c r="H771" s="1222">
        <f ca="1">IFERROR(VLOOKUP(A771,Stammdaten!A$7:F$33,6,FALSE)*F771,"")</f>
        <v>0.58599999999999997</v>
      </c>
      <c r="I771" s="817"/>
      <c r="J771" s="2178" t="str">
        <f ca="1">IF(OR(COUNTA(A771,E771)=2,COUNTA(A771,E771)=0),IF(D771=KALKULATION!$M$283,"Auswahl erneut vornehmen (ungültiger Verweis)!",""),"Eingabe unvollständig (ergänzen oder löschen)!")</f>
        <v/>
      </c>
      <c r="K771" s="2178"/>
      <c r="L771" s="2179"/>
    </row>
    <row r="772" spans="1:13" ht="17.850000000000001" customHeight="1" x14ac:dyDescent="0.25">
      <c r="A772" s="2265" t="s">
        <v>1136</v>
      </c>
      <c r="B772" s="2265"/>
      <c r="C772" s="2265"/>
      <c r="D772" s="48">
        <f ca="1">IFERROR(VLOOKUP(A772,Stammdaten!A$7:D$33,4,FALSE),KALKULATION!$M$283)</f>
        <v>17.03</v>
      </c>
      <c r="E772" s="380">
        <v>0.3</v>
      </c>
      <c r="F772" s="1226">
        <f t="shared" si="77"/>
        <v>0.3</v>
      </c>
      <c r="G772" s="54">
        <f ca="1">IFERROR(VLOOKUP(A772,Stammdaten!A$7:F$33,4,FALSE)*F772,"")</f>
        <v>5.109</v>
      </c>
      <c r="H772" s="1222">
        <f ca="1">IFERROR(VLOOKUP(A772,Stammdaten!A$7:F$33,6,FALSE)*F772,"")</f>
        <v>0.76500000000000001</v>
      </c>
      <c r="I772" s="817"/>
      <c r="J772" s="2178" t="str">
        <f ca="1">IF(OR(COUNTA(A772,E772)=2,COUNTA(A772,E772)=0),IF(D772=KALKULATION!$M$283,"Auswahl erneut vornehmen (ungültiger Verweis)!",""),"Eingabe unvollständig (ergänzen oder löschen)!")</f>
        <v/>
      </c>
      <c r="K772" s="2178"/>
      <c r="L772" s="2179"/>
    </row>
    <row r="773" spans="1:13" ht="17.850000000000001" customHeight="1" thickBot="1" x14ac:dyDescent="0.3">
      <c r="A773" s="2295"/>
      <c r="B773" s="2295"/>
      <c r="C773" s="2295"/>
      <c r="D773" s="60">
        <f ca="1">IFERROR(VLOOKUP(A773,Stammdaten!A$7:D$33,4,FALSE),KALKULATION!$M$283)</f>
        <v>0</v>
      </c>
      <c r="E773" s="328"/>
      <c r="F773" s="1227">
        <f t="shared" si="77"/>
        <v>0</v>
      </c>
      <c r="G773" s="213">
        <f ca="1">IFERROR(VLOOKUP(A773,Stammdaten!A$7:F$33,4,FALSE)*F773,"")</f>
        <v>0</v>
      </c>
      <c r="H773" s="1223">
        <f ca="1">IFERROR(VLOOKUP(A773,Stammdaten!A$7:F$33,6,FALSE)*F773,"")</f>
        <v>0</v>
      </c>
      <c r="I773" s="817"/>
      <c r="J773" s="2178" t="str">
        <f ca="1">IF(OR(COUNTA(A773,E773)=2,COUNTA(A773,E773)=0),IF(D773=KALKULATION!$M$283,"Auswahl erneut vornehmen (ungültiger Verweis)!",""),"Eingabe unvollständig (ergänzen oder löschen)!")</f>
        <v/>
      </c>
      <c r="K773" s="2178"/>
      <c r="L773" s="2179"/>
    </row>
    <row r="774" spans="1:13" ht="17.850000000000001" customHeight="1" x14ac:dyDescent="0.25">
      <c r="A774" s="2221" t="s">
        <v>92</v>
      </c>
      <c r="B774" s="2222"/>
      <c r="C774" s="2222"/>
      <c r="D774" s="2306"/>
      <c r="E774" s="49">
        <f>SUM(E769:E773)</f>
        <v>1</v>
      </c>
      <c r="F774" s="382">
        <f>SUM(F769:F773)</f>
        <v>1</v>
      </c>
      <c r="G774" s="51">
        <f ca="1">IF(AND(_OK?="OK!",_OK_KV?="OK_KV!"),SUM(G769:G773),ROUNDUP(SUM(G769:G773),0))</f>
        <v>20</v>
      </c>
      <c r="H774" s="84">
        <f ca="1">SUM(H769:H773)</f>
        <v>2.9</v>
      </c>
      <c r="I774" s="818" t="str">
        <f ca="1">IF(OR(_OK?&lt;&gt;"OK!",_OK_KV?&lt;&gt;"OK_KV!"),"X","")</f>
        <v>X</v>
      </c>
      <c r="J774" s="2319" t="str">
        <f>IF(E774&lt;1,M775,IF(H767="∑",IF(INT(E774)&lt;&gt;E774,"Hinweis: Partien bestehen aus ganzen 'Köpfen'! Ev. Eingaben ändern oder KZ auf Ø stellen.",""),""))</f>
        <v/>
      </c>
      <c r="K774" s="2319"/>
      <c r="L774" s="2320"/>
    </row>
    <row r="775" spans="1:13" ht="17.850000000000001" customHeight="1" x14ac:dyDescent="0.25">
      <c r="A775" s="2142" t="s">
        <v>894</v>
      </c>
      <c r="B775" s="2143"/>
      <c r="C775" s="2143"/>
      <c r="D775" s="2143"/>
      <c r="E775" s="2143"/>
      <c r="F775" s="2143"/>
      <c r="G775" s="2143"/>
      <c r="H775" s="2143"/>
      <c r="I775" s="817"/>
      <c r="J775" s="2319"/>
      <c r="K775" s="2319"/>
      <c r="L775" s="2320"/>
      <c r="M775" s="1342" t="str">
        <f>M701</f>
        <v>Anzahl darf nicht unter 1,00 liegen!!</v>
      </c>
    </row>
    <row r="776" spans="1:13" ht="17.850000000000001" customHeight="1" thickBot="1" x14ac:dyDescent="0.3">
      <c r="A776" s="2395"/>
      <c r="B776" s="2396"/>
      <c r="C776" s="2397"/>
      <c r="D776" s="60">
        <f ca="1">IFERROR(VLOOKUP(A776,Stammdaten!A$7:D$33,4,FALSE),$M$283)</f>
        <v>0</v>
      </c>
      <c r="E776" s="359"/>
      <c r="F776" s="53" t="str">
        <f>IFERROR(IF(A776&lt;&gt;"",E776/E777,""),"")</f>
        <v/>
      </c>
      <c r="G776" s="60" t="str">
        <f ca="1">IFERROR(VLOOKUP(A776,Stammdaten!A$7:F$33,4,FALSE)*F776,"")</f>
        <v/>
      </c>
      <c r="H776" s="571" t="str">
        <f ca="1">IFERROR(VLOOKUP(A776,Stammdaten!A$7:F$33,6,FALSE)*F776,"")</f>
        <v/>
      </c>
      <c r="I776" s="819"/>
      <c r="J776" s="2178" t="str">
        <f ca="1">IF(OR(COUNTA(A776,E776)=2,COUNTA(A776,E776)=0),IF(D776=KALKULATION!$M$283,"Auswahl erneut vornehmen (ungültiger Verweis)!",""),"Eingabe unvollständig (ergänzen oder löschen)!")</f>
        <v/>
      </c>
      <c r="K776" s="2178"/>
      <c r="L776" s="2179"/>
    </row>
    <row r="777" spans="1:13" ht="17.850000000000001" customHeight="1" x14ac:dyDescent="0.25">
      <c r="A777" s="392" t="s">
        <v>92</v>
      </c>
      <c r="B777" s="373"/>
      <c r="C777" s="373"/>
      <c r="D777" s="212"/>
      <c r="E777" s="64">
        <f>SUM(E776:E776)</f>
        <v>0</v>
      </c>
      <c r="F777" s="50">
        <f>SUM(F776:F776)</f>
        <v>0</v>
      </c>
      <c r="G777" s="51">
        <f ca="1">SUM(G776:G776)</f>
        <v>0</v>
      </c>
      <c r="H777" s="84">
        <f ca="1">SUM(H776:H776)</f>
        <v>0</v>
      </c>
      <c r="I777" s="817"/>
      <c r="J777" s="2178" t="str">
        <f ca="1">IF(E777&gt;=E774,"Unzulässige Umlage (R2 größer/gleich R1)!!!",IF(AND(E777&lt;&gt;0,G774=0),"Beschäftigungsgruppe in R1 wählen!",""))</f>
        <v/>
      </c>
      <c r="K777" s="2178"/>
      <c r="L777" s="2179"/>
    </row>
    <row r="778" spans="1:13" ht="17.850000000000001" customHeight="1" x14ac:dyDescent="0.25">
      <c r="A778" s="2134" t="s">
        <v>841</v>
      </c>
      <c r="B778" s="2135"/>
      <c r="C778" s="2135"/>
      <c r="D778" s="2135"/>
      <c r="E778" s="2135"/>
      <c r="F778" s="2135"/>
      <c r="G778" s="2135"/>
      <c r="H778" s="572">
        <v>0</v>
      </c>
      <c r="I778" s="820"/>
      <c r="L778" s="216"/>
    </row>
    <row r="779" spans="1:13" ht="17.850000000000001" customHeight="1" x14ac:dyDescent="0.25">
      <c r="A779" s="2287" t="str">
        <f>IFERROR("Info: Kalk. Ø 'Regiepartie' ist zu "&amp;TEXT(G779,"0,0")&amp;" Std prod. und "&amp;TEXT(H779,"0,0")&amp;" Std unproduktiv ("&amp;TEXT(H779/G779,"0,0%")&amp;")","Unzulässige Division durch 0 - Berechnung kann nicht fortgesetzt werden!")</f>
        <v>Info: Kalk. Ø 'Regiepartie' ist zu 1,0 Std prod. und 0,0 Std unproduktiv (0,0%)</v>
      </c>
      <c r="B779" s="2288"/>
      <c r="C779" s="2288"/>
      <c r="D779" s="2288"/>
      <c r="E779" s="2288"/>
      <c r="F779" s="2288"/>
      <c r="G779" s="367">
        <f>IF(H778=1,E774,E774-E777)</f>
        <v>1</v>
      </c>
      <c r="H779" s="367">
        <f>E777</f>
        <v>0</v>
      </c>
      <c r="I779" s="817"/>
      <c r="J779" s="2176" t="str">
        <f>IF(AND(ISBLANK(H778),E777&lt;&gt;0),"Kennzeichen eingeben! Es sind unprod. Zeiten kalkuliert.","")</f>
        <v/>
      </c>
      <c r="K779" s="2176"/>
      <c r="L779" s="2177"/>
    </row>
    <row r="780" spans="1:13" ht="17.850000000000001" customHeight="1" x14ac:dyDescent="0.25">
      <c r="A780" s="2829"/>
      <c r="B780" s="2830"/>
      <c r="C780" s="2830"/>
      <c r="D780" s="2830"/>
      <c r="E780" s="2830"/>
      <c r="F780" s="2830"/>
      <c r="G780" s="2830"/>
      <c r="H780" s="2830"/>
      <c r="I780" s="817"/>
      <c r="J780" s="2280" t="str">
        <f>IFERROR(IF(H779/G779&gt;Report!$F$7,"Hinweis: Unproduktiver Anteil erscheint hoch!",""),"Der unprod. Anteil löst eine Division mit 0 aus!")</f>
        <v/>
      </c>
      <c r="K780" s="2280"/>
      <c r="L780" s="2281"/>
    </row>
    <row r="781" spans="1:13" ht="17.850000000000001" customHeight="1" thickBot="1" x14ac:dyDescent="0.3">
      <c r="A781" s="2144" t="s">
        <v>382</v>
      </c>
      <c r="B781" s="2145"/>
      <c r="C781" s="2146"/>
      <c r="D781" s="860" t="s">
        <v>72</v>
      </c>
      <c r="E781" s="861" t="s">
        <v>73</v>
      </c>
      <c r="F781" s="862" t="s">
        <v>118</v>
      </c>
      <c r="G781" s="863" t="s">
        <v>85</v>
      </c>
      <c r="H781" s="864" t="s">
        <v>73</v>
      </c>
      <c r="I781" s="817"/>
      <c r="L781" s="216"/>
    </row>
    <row r="782" spans="1:13" ht="17.850000000000001" customHeight="1" x14ac:dyDescent="0.25">
      <c r="A782" s="703" t="str">
        <f>A$498</f>
        <v>Verrechenbare Zeit</v>
      </c>
      <c r="B782" s="704"/>
      <c r="C782" s="880">
        <f>G779</f>
        <v>1</v>
      </c>
      <c r="D782" s="706">
        <f ca="1">G774*C782</f>
        <v>20</v>
      </c>
      <c r="E782" s="707">
        <f ca="1">H774*C782</f>
        <v>2.9</v>
      </c>
      <c r="F782" s="708" t="s">
        <v>204</v>
      </c>
      <c r="G782" s="685">
        <f ca="1">D782</f>
        <v>20</v>
      </c>
      <c r="H782" s="686">
        <f ca="1">IF(D785=_Ja,"",D784)</f>
        <v>20</v>
      </c>
      <c r="I782" s="817"/>
      <c r="L782" s="216"/>
    </row>
    <row r="783" spans="1:13" ht="17.850000000000001" customHeight="1" thickBot="1" x14ac:dyDescent="0.3">
      <c r="A783" s="687" t="str">
        <f>A$499</f>
        <v>Nicht verrechenb. Zeit</v>
      </c>
      <c r="B783" s="688"/>
      <c r="C783" s="881">
        <f>H779</f>
        <v>0</v>
      </c>
      <c r="D783" s="690">
        <f ca="1">G777*C783</f>
        <v>0</v>
      </c>
      <c r="E783" s="691">
        <f ca="1">H777*C783</f>
        <v>0</v>
      </c>
      <c r="F783" s="709" t="s">
        <v>203</v>
      </c>
      <c r="G783" s="693">
        <f ca="1">D783</f>
        <v>0</v>
      </c>
      <c r="H783" s="694">
        <f ca="1">IF(D785=_Ja,"",E784)</f>
        <v>2.9</v>
      </c>
      <c r="I783" s="817"/>
      <c r="L783" s="216"/>
    </row>
    <row r="784" spans="1:13" ht="17.850000000000001" customHeight="1" x14ac:dyDescent="0.25">
      <c r="A784" s="695"/>
      <c r="B784" s="696"/>
      <c r="C784" s="697" t="s">
        <v>56</v>
      </c>
      <c r="D784" s="698">
        <f ca="1">SUM(D782:D783)</f>
        <v>20</v>
      </c>
      <c r="E784" s="699">
        <f ca="1">SUM(E782:E783)</f>
        <v>2.9</v>
      </c>
      <c r="F784" s="710" t="s">
        <v>86</v>
      </c>
      <c r="G784" s="711">
        <f ca="1">G783/G782</f>
        <v>0</v>
      </c>
      <c r="H784" s="712">
        <f ca="1">IF(D785=_Ja,$H$73,H783/H782)</f>
        <v>0.14499999999999999</v>
      </c>
      <c r="I784" s="818" t="str">
        <f>IF(D785=_Ja,"X","")</f>
        <v/>
      </c>
      <c r="L784" s="216"/>
    </row>
    <row r="785" spans="1:18" ht="17.850000000000001" customHeight="1" thickBot="1" x14ac:dyDescent="0.3">
      <c r="A785" s="2756" t="str">
        <f ca="1">"Ø AKV Pkt B ist "&amp;TEXT($H$73,"0,00%")&amp;". Beibehalten?"</f>
        <v>Ø AKV Pkt B ist 14,40%. Beibehalten?</v>
      </c>
      <c r="B785" s="2757"/>
      <c r="C785" s="2758"/>
      <c r="D785" s="826" t="s">
        <v>193</v>
      </c>
      <c r="E785" s="2208" t="s">
        <v>383</v>
      </c>
      <c r="F785" s="2209"/>
      <c r="G785" s="378"/>
      <c r="H785" s="379"/>
      <c r="I785" s="818" t="str">
        <f>IF(OR(G785&lt;&gt;0,H785&lt;&gt;0),"X","")</f>
        <v/>
      </c>
      <c r="L785" s="216"/>
    </row>
    <row r="786" spans="1:18" ht="17.850000000000001" customHeight="1" x14ac:dyDescent="0.25">
      <c r="A786" s="2217"/>
      <c r="B786" s="2218"/>
      <c r="C786" s="2218"/>
      <c r="D786" s="2218"/>
      <c r="E786" s="2187" t="s">
        <v>556</v>
      </c>
      <c r="F786" s="2188"/>
      <c r="G786" s="86">
        <f ca="1">SUM(G784,G785)</f>
        <v>0</v>
      </c>
      <c r="H786" s="154">
        <f ca="1">SUM(H784,H785)</f>
        <v>0.14499999999999999</v>
      </c>
      <c r="I786" s="817"/>
      <c r="L786" s="216"/>
    </row>
    <row r="787" spans="1:18" ht="17.850000000000001" customHeight="1" x14ac:dyDescent="0.25">
      <c r="A787" s="2210"/>
      <c r="B787" s="2211"/>
      <c r="C787" s="2211"/>
      <c r="D787" s="2211"/>
      <c r="E787" s="2210"/>
      <c r="F787" s="2220"/>
      <c r="G787" s="368" t="s">
        <v>121</v>
      </c>
      <c r="H787" s="369" t="s">
        <v>122</v>
      </c>
      <c r="I787" s="817"/>
      <c r="L787" s="216"/>
    </row>
    <row r="788" spans="1:18" ht="17.850000000000001" customHeight="1" x14ac:dyDescent="0.25">
      <c r="A788" s="1195" t="s">
        <v>384</v>
      </c>
      <c r="B788" s="830"/>
      <c r="C788" s="830"/>
      <c r="D788" s="2827" t="str">
        <f>IF(H767="∑","Regiepartie gesamt "&amp;TEXT(E774,"0")&amp;" Personen","Ø-Preis pro Person")</f>
        <v>Ø-Preis pro Person</v>
      </c>
      <c r="E788" s="2827"/>
      <c r="F788" s="2827"/>
      <c r="G788" s="831"/>
      <c r="H788" s="829">
        <f ca="1">' K3 Regie6'!N45</f>
        <v>73.650000000000006</v>
      </c>
      <c r="I788" s="830"/>
      <c r="L788" s="216"/>
    </row>
    <row r="789" spans="1:18" ht="17.850000000000001" customHeight="1" x14ac:dyDescent="0.25">
      <c r="A789" s="2289" t="s">
        <v>632</v>
      </c>
      <c r="B789" s="2290"/>
      <c r="C789" s="2290"/>
      <c r="D789" s="2290"/>
      <c r="E789" s="2290"/>
      <c r="F789" s="2290"/>
      <c r="G789" s="2290"/>
      <c r="H789" s="2290"/>
      <c r="I789" s="817"/>
      <c r="J789" s="2227" t="str">
        <f>IF(OR(I790="X",I795="X"),M$301,"")</f>
        <v/>
      </c>
      <c r="K789" s="2227"/>
      <c r="L789" s="2228"/>
    </row>
    <row r="790" spans="1:18" ht="17.850000000000001" customHeight="1" x14ac:dyDescent="0.25">
      <c r="A790" s="2134" t="s">
        <v>704</v>
      </c>
      <c r="B790" s="2135"/>
      <c r="C790" s="2136"/>
      <c r="D790" s="865" t="s">
        <v>702</v>
      </c>
      <c r="E790" s="2137" t="s">
        <v>902</v>
      </c>
      <c r="F790" s="2138"/>
      <c r="G790" s="2139"/>
      <c r="H790" s="1010">
        <f>IFERROR(VLOOKUP(E790,M790:N792,2,FALSE),M369)</f>
        <v>0</v>
      </c>
      <c r="I790" s="818" t="str">
        <f>IF(E790&lt;&gt;M790,"X","")</f>
        <v/>
      </c>
      <c r="J790" s="2227"/>
      <c r="K790" s="2227"/>
      <c r="L790" s="2228"/>
      <c r="M790" s="2014" t="str">
        <f t="shared" ref="M790:N792" si="78">M438</f>
        <v>1. Standard (ÖN B 2110) ohne Zulagen</v>
      </c>
      <c r="N790" s="2091">
        <f t="shared" si="78"/>
        <v>0</v>
      </c>
    </row>
    <row r="791" spans="1:18" ht="17.850000000000001" customHeight="1" thickBot="1" x14ac:dyDescent="0.3">
      <c r="A791" s="672" t="s">
        <v>630</v>
      </c>
      <c r="B791" s="673"/>
      <c r="C791" s="674" t="s">
        <v>629</v>
      </c>
      <c r="D791" s="674" t="s">
        <v>631</v>
      </c>
      <c r="E791" s="674" t="s">
        <v>159</v>
      </c>
      <c r="F791" s="674" t="s">
        <v>8</v>
      </c>
      <c r="G791" s="674" t="s">
        <v>9</v>
      </c>
      <c r="H791" s="675" t="s">
        <v>10</v>
      </c>
      <c r="I791" s="817"/>
      <c r="L791" s="216"/>
      <c r="M791" s="2014" t="str">
        <f t="shared" si="78"/>
        <v>2. Wert gem Kalkulation Pkt D (K3_PP)</v>
      </c>
      <c r="N791" s="2091">
        <f ca="1">N439</f>
        <v>0.03</v>
      </c>
    </row>
    <row r="792" spans="1:18" ht="30" customHeight="1" thickTop="1" x14ac:dyDescent="0.25">
      <c r="A792" s="2185"/>
      <c r="B792" s="2186"/>
      <c r="C792" s="766">
        <v>1</v>
      </c>
      <c r="D792" s="871">
        <v>1</v>
      </c>
      <c r="E792" s="872" t="str">
        <f>IF(ISBLANK(A792),"",IF(L$27="",IFERROR(VLOOKUP(A792,Stammdaten!$A$70:$C$96,3,FALSE),KALKULATION!$M$283),"ungültig"))</f>
        <v/>
      </c>
      <c r="F792" s="676" t="str">
        <f>IFERROR(C792*D792*E792,"")</f>
        <v/>
      </c>
      <c r="G792" s="677">
        <f ca="1">IFERROR(VLOOKUP(A792,Stammdaten!$A$70:$C$96,2,FALSE),"")</f>
        <v>0</v>
      </c>
      <c r="H792" s="678">
        <f ca="1">IFERROR(C792*D792*G792,"")</f>
        <v>0</v>
      </c>
      <c r="I792" s="817"/>
      <c r="J792" s="2227" t="str">
        <f>VLOOKUP(E795,M795:Q798,5,FALSE)</f>
        <v>Hinweis zu R4.b - 1.) Wenn der Regiepreis keine Arbeitszeitzuschläge enthalten soll (Regelung gem ÖN B 2110) ist diese Einstellung (1.) zutreffend.</v>
      </c>
      <c r="K792" s="2227"/>
      <c r="L792" s="2228"/>
      <c r="M792" s="2014" t="str">
        <f t="shared" si="78"/>
        <v>3. Eigene Kalkulation für den Regiepreis</v>
      </c>
      <c r="N792" s="1950" t="str">
        <f t="shared" si="78"/>
        <v>berechnen:</v>
      </c>
    </row>
    <row r="793" spans="1:18" ht="17.850000000000001" customHeight="1" x14ac:dyDescent="0.25">
      <c r="A793" s="866"/>
      <c r="B793" s="867"/>
      <c r="C793" s="867"/>
      <c r="D793" s="874" t="s">
        <v>705</v>
      </c>
      <c r="E793" s="873">
        <f ca="1">' K3 Regie6'!O$21</f>
        <v>20</v>
      </c>
      <c r="F793" s="870">
        <f ca="1">IFERROR(F792/E793,0)</f>
        <v>0</v>
      </c>
      <c r="G793" s="868" t="str">
        <f ca="1">IF(G792=0,"",$G$131)</f>
        <v/>
      </c>
      <c r="H793" s="1007">
        <f ca="1">IFERROR(H792*G793,0)</f>
        <v>0</v>
      </c>
      <c r="I793" s="817"/>
      <c r="J793" s="2227"/>
      <c r="K793" s="2227"/>
      <c r="L793" s="2228"/>
    </row>
    <row r="794" spans="1:18" ht="17.850000000000001" customHeight="1" x14ac:dyDescent="0.25">
      <c r="A794" s="392" t="s">
        <v>768</v>
      </c>
      <c r="B794" s="67"/>
      <c r="C794" s="346"/>
      <c r="D794" s="346"/>
      <c r="E794" s="346"/>
      <c r="F794" s="498"/>
      <c r="G794" s="346"/>
      <c r="H794" s="92">
        <f>IF(E790=M792,SUM(F793,H793),H790)</f>
        <v>0</v>
      </c>
      <c r="I794" s="817"/>
      <c r="J794" s="2227"/>
      <c r="K794" s="2227"/>
      <c r="L794" s="2228"/>
      <c r="M794" s="1958" t="str">
        <f>M$442</f>
        <v>DD Arbeitszeitzuschläge</v>
      </c>
      <c r="N794" s="1958"/>
      <c r="O794" s="1958"/>
      <c r="P794" s="1958" t="str">
        <f t="shared" ref="P794" si="79">P$442</f>
        <v>Text in K3</v>
      </c>
      <c r="Q794" s="1958" t="str">
        <f>Q$442</f>
        <v>Text in Kalk</v>
      </c>
      <c r="R794" s="1960"/>
    </row>
    <row r="795" spans="1:18" ht="17.850000000000001" customHeight="1" x14ac:dyDescent="0.25">
      <c r="A795" s="2142" t="s">
        <v>564</v>
      </c>
      <c r="B795" s="2143"/>
      <c r="C795" s="2143"/>
      <c r="D795" s="928" t="s">
        <v>769</v>
      </c>
      <c r="E795" s="2137" t="s">
        <v>882</v>
      </c>
      <c r="F795" s="2138"/>
      <c r="G795" s="2138"/>
      <c r="H795" s="1010">
        <f>VLOOKUP(E795,M795:N798,2,FALSE)</f>
        <v>0</v>
      </c>
      <c r="I795" s="818" t="str">
        <f>IF(E795&lt;&gt;M795,"X","")</f>
        <v/>
      </c>
      <c r="J795" s="2227"/>
      <c r="K795" s="2227"/>
      <c r="L795" s="2228"/>
      <c r="M795" s="2014" t="str">
        <f>M$443</f>
        <v>1. Standard (ÖN B 2110) ohne Zuschlag</v>
      </c>
      <c r="N795" s="1999">
        <f t="shared" ref="N795:Q795" si="80">N$443</f>
        <v>0</v>
      </c>
      <c r="O795" s="1950"/>
      <c r="P795" s="1950" t="str">
        <f t="shared" si="80"/>
        <v>Regiestunde</v>
      </c>
      <c r="Q795" s="1950" t="str">
        <f t="shared" si="80"/>
        <v>Hinweis zu R4.b - 1.) Wenn der Regiepreis keine Arbeitszeitzuschläge enthalten soll (Regelung gem ÖN B 2110) ist diese Einstellung (1.) zutreffend.</v>
      </c>
      <c r="R795" s="1965"/>
    </row>
    <row r="796" spans="1:18" ht="17.850000000000001" customHeight="1" x14ac:dyDescent="0.25">
      <c r="A796" s="2321" t="s">
        <v>563</v>
      </c>
      <c r="B796" s="2322"/>
      <c r="C796" s="2322"/>
      <c r="D796" s="2322"/>
      <c r="E796" s="553" t="s">
        <v>378</v>
      </c>
      <c r="F796" s="524" t="s">
        <v>192</v>
      </c>
      <c r="G796" s="925">
        <v>1</v>
      </c>
      <c r="H796" s="607"/>
      <c r="I796" s="818" t="str">
        <f>IF(AND(E795=M797,F796=_Ja),"X","")</f>
        <v/>
      </c>
      <c r="J796" s="2176" t="str">
        <f>IF(OR(F796=$Q$31,F796=$Q$32),"","Bitte Ja oder Nein wählen!")</f>
        <v/>
      </c>
      <c r="K796" s="2176"/>
      <c r="L796" s="2177"/>
      <c r="M796" s="2014" t="str">
        <f>M$444</f>
        <v>2. Regie mit Ø-Zuschlag wie K3 Zeile 8</v>
      </c>
      <c r="N796" s="1999">
        <f t="shared" ref="N796:Q796" ca="1" si="81">N$444</f>
        <v>4.2999999999999997E-2</v>
      </c>
      <c r="O796" s="1950"/>
      <c r="P796" s="1950" t="str">
        <f t="shared" si="81"/>
        <v>Regiestd. (Ø-% wie K3 Z 8)</v>
      </c>
      <c r="Q796" s="1950" t="str">
        <f t="shared" si="81"/>
        <v>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v>
      </c>
      <c r="R796" s="1965"/>
    </row>
    <row r="797" spans="1:18" ht="17.850000000000001" customHeight="1" x14ac:dyDescent="0.25">
      <c r="A797" s="540" t="s">
        <v>379</v>
      </c>
      <c r="B797" s="2122"/>
      <c r="C797" s="2123"/>
      <c r="D797" s="2124"/>
      <c r="E797" s="542" t="str">
        <f>IF(OR(ISBLANK(B797),F796=_Nein),"",IFERROR(VLOOKUP(B797,Stammdaten!A$39:C$48,3,FALSE),KALKULATION!$M$283))</f>
        <v/>
      </c>
      <c r="F797" s="1101"/>
      <c r="G797" s="544"/>
      <c r="H797" s="608"/>
      <c r="I797" s="818"/>
      <c r="J797" s="2178" t="str">
        <f>IF(F796&lt;&gt;$Q$31,"",IF(AND(E797=KALKULATION!$M$283,F796=$Q$31),"Auswahl erneut vornehmen (ungültiger Verweis)!",IF(OR(AND(F796=$Q$31,B797=""),AND(F796=$Q$32,B797&lt;&gt;"")),"Eingabe unvollständig (ergänzen,  löschen od Nein wählen)!","")))</f>
        <v>Eingabe unvollständig (ergänzen,  löschen od Nein wählen)!</v>
      </c>
      <c r="K797" s="2178"/>
      <c r="L797" s="2179"/>
      <c r="M797" s="2014" t="str">
        <f>M$445</f>
        <v>3. Regie mit Std-Zuschlag wie K3</v>
      </c>
      <c r="N797" s="1999">
        <f t="shared" ref="N797:Q797" ca="1" si="82">N$445</f>
        <v>0.6</v>
      </c>
      <c r="O797" s="1950"/>
      <c r="P797" s="1950" t="str">
        <f t="shared" si="82"/>
        <v>Regiestd. (Std-% analog K3)</v>
      </c>
      <c r="Q797" s="1950" t="str">
        <f t="shared" si="82"/>
        <v>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v>
      </c>
      <c r="R797" s="1965"/>
    </row>
    <row r="798" spans="1:18" ht="17.850000000000001" customHeight="1" x14ac:dyDescent="0.25">
      <c r="A798" s="2297" t="s">
        <v>135</v>
      </c>
      <c r="B798" s="2298"/>
      <c r="C798" s="2298"/>
      <c r="D798" s="2298"/>
      <c r="E798" s="541">
        <f ca="1">IFERROR(IF(VLOOKUP(B797,Stammdaten!A$39:C$48,2,FALSE)=0,1,(VLOOKUP(B797,Stammdaten!A$39:C$48,2,FALSE))),"")</f>
        <v>1</v>
      </c>
      <c r="F798" s="1101"/>
      <c r="G798" s="545"/>
      <c r="H798" s="609"/>
      <c r="I798" s="818"/>
      <c r="L798" s="216"/>
      <c r="M798" s="2014" t="str">
        <f>M$446</f>
        <v>4. Regie berechnen</v>
      </c>
      <c r="N798" s="1950" t="str">
        <f t="shared" ref="N798:Q798" si="83">N$446</f>
        <v>berechnen:</v>
      </c>
      <c r="O798" s="1950"/>
      <c r="P798" s="1950"/>
      <c r="Q798" s="1950" t="str">
        <f t="shared" si="83"/>
        <v>Hinweis zu R4.b - 4.) Wenn ein Regiepreis unter kalkulatorischer Beachtung zeitlicher Rahmenbedingungen zu nennen ist, ist diese Auswahl zutreffend. Mehrarbeitszuschläge und Verr.std.zuschläge lassen sich individuell getrennt erfassen.</v>
      </c>
      <c r="R798" s="1965"/>
    </row>
    <row r="799" spans="1:18" ht="17.850000000000001" customHeight="1" x14ac:dyDescent="0.25">
      <c r="A799" s="2233" t="s">
        <v>560</v>
      </c>
      <c r="B799" s="2234"/>
      <c r="C799" s="2234"/>
      <c r="D799" s="2234"/>
      <c r="E799" s="2235"/>
      <c r="F799" s="351">
        <v>1</v>
      </c>
      <c r="G799" s="546">
        <f>IF(F799=1,1,IF(F799=2,((' K3 Regie6'!O$23+' K3 Regie6'!O$24)/' K3 Regie6'!O$23),IF(F799&gt;2,((' K3 Regie6'!O$23+' K3 Regie6'!O$24+' K3 Regie6'!O$25)/' K3 Regie6'!O$23),"")))</f>
        <v>1</v>
      </c>
      <c r="H799" s="608" t="str">
        <f ca="1">IFERROR(IF(AND(F796=$Q$31,F799&gt;0),(E797*E798*G799),""),"??")</f>
        <v>??</v>
      </c>
      <c r="I799" s="818"/>
      <c r="J799" s="1090" t="str">
        <f>IF(F796&lt;&gt;$Q$31,"",IF(AND(ISBLANK(F799),F796=$Q$31),"Kennzeichen setzen!",""))</f>
        <v/>
      </c>
      <c r="K799" s="1090"/>
      <c r="L799" s="365"/>
      <c r="M799" s="2069" t="s">
        <v>866</v>
      </c>
      <c r="R799" s="1965"/>
    </row>
    <row r="800" spans="1:18" ht="17.850000000000001" customHeight="1" x14ac:dyDescent="0.25">
      <c r="A800" s="2321" t="s">
        <v>565</v>
      </c>
      <c r="B800" s="2322"/>
      <c r="C800" s="2322"/>
      <c r="D800" s="2322"/>
      <c r="E800" s="553" t="s">
        <v>378</v>
      </c>
      <c r="F800" s="524" t="s">
        <v>192</v>
      </c>
      <c r="G800" s="543"/>
      <c r="H800" s="607"/>
      <c r="I800" s="818" t="str">
        <f>IF(AND(E795=M797,F800=_Ja),"X","")</f>
        <v/>
      </c>
      <c r="J800" s="2176"/>
      <c r="K800" s="2176"/>
      <c r="L800" s="2177"/>
      <c r="M800" s="1342" t="s">
        <v>859</v>
      </c>
      <c r="N800" s="2070" t="str">
        <f>IF(E795=M796,P796,IF(E795=M797,P797,IF(AND(E795=M798,F796=_Ja),B797,P795)))</f>
        <v>Regiestunde</v>
      </c>
      <c r="O800" s="2065"/>
      <c r="P800" s="1999" t="str">
        <f>IF(AND(E795=M798,F796=_Ja),TEXT(E797,"0%"),IF(N800=P796,TEXT(N796,"0,00%"),IF(N800=P797,TEXT($P$113,"0%"),"")))</f>
        <v/>
      </c>
      <c r="R800" s="1965"/>
    </row>
    <row r="801" spans="1:18" ht="17.850000000000001" customHeight="1" x14ac:dyDescent="0.25">
      <c r="A801" s="540" t="s">
        <v>379</v>
      </c>
      <c r="B801" s="2122"/>
      <c r="C801" s="2123"/>
      <c r="D801" s="2124"/>
      <c r="E801" s="549" t="str">
        <f>IF(OR(ISBLANK(B801),F800=_Nein),"",IFERROR(VLOOKUP(B801,Stammdaten!A$50:C$54,3,FALSE),KALKULATION!$M$283))</f>
        <v/>
      </c>
      <c r="F801" s="1101"/>
      <c r="G801" s="544"/>
      <c r="H801" s="608"/>
      <c r="I801" s="818"/>
      <c r="J801" s="2178" t="str">
        <f>IF(F800&lt;&gt;$Q$31,"",IF(AND(E801=KALKULATION!$M$283,F800=$Q$31),"Auswahl erneut vornehmen (ungültiger Verweis)!",IF(OR(AND(F800=$Q$31,B801=""),AND(F800=$Q$32,B801&lt;&gt;"")),"Eingabe unvollständig (ergänzen,  löschen od Nein wählen)!","")))</f>
        <v>Eingabe unvollständig (ergänzen,  löschen od Nein wählen)!</v>
      </c>
      <c r="K801" s="2178"/>
      <c r="L801" s="2179"/>
      <c r="M801" s="1342" t="s">
        <v>863</v>
      </c>
      <c r="N801" s="2071" t="str">
        <f>IF(AND(E795=M798,F800=_Ja),B801,"")</f>
        <v/>
      </c>
      <c r="O801" s="2072"/>
      <c r="P801" s="1999" t="str">
        <f>IF(N801="","",E801)</f>
        <v/>
      </c>
      <c r="Q801" s="1951"/>
      <c r="R801" s="2073"/>
    </row>
    <row r="802" spans="1:18" ht="17.850000000000001" customHeight="1" x14ac:dyDescent="0.25">
      <c r="A802" s="2241" t="s">
        <v>198</v>
      </c>
      <c r="B802" s="2242"/>
      <c r="C802" s="2242"/>
      <c r="D802" s="2242"/>
      <c r="E802" s="541" t="str">
        <f ca="1">IFERROR(IF(VLOOKUP(B801,Stammdaten!A$50:C$54,2,FALSE)=0,1,(VLOOKUP(B801,Stammdaten!A$50:C$54,2,FALSE))),"")</f>
        <v/>
      </c>
      <c r="F802" s="1101"/>
      <c r="G802" s="545"/>
      <c r="H802" s="609"/>
      <c r="I802" s="818"/>
      <c r="L802" s="216"/>
      <c r="M802" s="1342" t="s">
        <v>864</v>
      </c>
      <c r="N802" s="2071" t="str">
        <f>IF(AND(E795=M798,F804=_Ja),B805,"")</f>
        <v/>
      </c>
      <c r="O802" s="2014"/>
      <c r="P802" s="2074" t="str">
        <f>IF(N802="","",E805)</f>
        <v/>
      </c>
      <c r="Q802" s="1951"/>
      <c r="R802" s="2073"/>
    </row>
    <row r="803" spans="1:18" ht="17.850000000000001" customHeight="1" x14ac:dyDescent="0.25">
      <c r="A803" s="2233" t="str">
        <f>A799</f>
        <v xml:space="preserve">  Basis für die Aufzahlung in % (siehe Pkt C0; KZ = 1, 2, 3 od. 4):  ↓</v>
      </c>
      <c r="B803" s="2234"/>
      <c r="C803" s="2234"/>
      <c r="D803" s="2234"/>
      <c r="E803" s="2235"/>
      <c r="F803" s="351">
        <v>1</v>
      </c>
      <c r="G803" s="546">
        <f>IF(F803=1,1,IF(F803=2,((' K3 Regie6'!O$23+' K3 Regie6'!O$24)/' K3 Regie6'!O$23),IF(F803&gt;2,((' K3 Regie6'!O$23+' K3 Regie6'!O$24+' K3 Regie6'!O$25)/' K3 Regie6'!O$23),"")))</f>
        <v>1</v>
      </c>
      <c r="H803" s="608" t="str">
        <f ca="1">IFERROR(IF(F800=$Q$31,(E801*E802*G803),""),"??")</f>
        <v>??</v>
      </c>
      <c r="I803" s="818"/>
      <c r="J803" s="2176" t="str">
        <f>IF(F800&lt;&gt;$Q$31,"",IF(AND(ISBLANK(F803),F800=$Q$31),"Kennzeichen setzen!",""))</f>
        <v/>
      </c>
      <c r="K803" s="2176"/>
      <c r="L803" s="360"/>
      <c r="M803" s="1342" t="s">
        <v>868</v>
      </c>
      <c r="N803" s="1342">
        <f>IF(AND(N801&lt;&gt;"",N802&lt;&gt;""),2,IF(N801&amp;N802="",0,1))</f>
        <v>0</v>
      </c>
      <c r="R803" s="1965"/>
    </row>
    <row r="804" spans="1:18" ht="17.850000000000001" customHeight="1" x14ac:dyDescent="0.25">
      <c r="A804" s="2321" t="s">
        <v>566</v>
      </c>
      <c r="B804" s="2322"/>
      <c r="C804" s="2322"/>
      <c r="D804" s="2322"/>
      <c r="E804" s="553" t="s">
        <v>378</v>
      </c>
      <c r="F804" s="524" t="s">
        <v>192</v>
      </c>
      <c r="G804" s="547"/>
      <c r="H804" s="610"/>
      <c r="I804" s="818" t="str">
        <f>IF(AND(E795=M797,F804=_Ja),"X","")</f>
        <v/>
      </c>
      <c r="J804" s="2176"/>
      <c r="K804" s="2176"/>
      <c r="L804" s="2177"/>
      <c r="M804" s="1967"/>
      <c r="N804" s="2075" t="str">
        <f>IF(N803=2," "&amp;N801&amp;" "&amp;", "&amp;N802,IF(N803=1," "&amp;N801&amp;N802,""))</f>
        <v/>
      </c>
      <c r="O804" s="2075"/>
      <c r="P804" s="1967"/>
      <c r="Q804" s="1967"/>
      <c r="R804" s="1974"/>
    </row>
    <row r="805" spans="1:18" ht="17.850000000000001" customHeight="1" x14ac:dyDescent="0.25">
      <c r="A805" s="552" t="s">
        <v>379</v>
      </c>
      <c r="B805" s="2123"/>
      <c r="C805" s="2123"/>
      <c r="D805" s="2123"/>
      <c r="E805" s="550" t="str">
        <f>IF(OR(ISBLANK(B805),F804=_Nein),"",IFERROR(VLOOKUP(B805,Stammdaten!A$57:C$61,2,FALSE),KALKULATION!$M$283))</f>
        <v/>
      </c>
      <c r="F805" s="551" t="s">
        <v>197</v>
      </c>
      <c r="G805" s="548">
        <f ca="1">' K3 Regie6'!$O$21</f>
        <v>20</v>
      </c>
      <c r="H805" s="611" t="str">
        <f ca="1">IFERROR(IF(F804=$Q$31,E805/G805,""),"??")</f>
        <v>??</v>
      </c>
      <c r="I805" s="818"/>
      <c r="J805" s="271" t="str">
        <f>IF(AND(F804=$Q$31,B805=""),"Eingabe unvollständig (ergänzen od Nein wählen)!","")</f>
        <v>Eingabe unvollständig (ergänzen od Nein wählen)!</v>
      </c>
      <c r="L805" s="216"/>
    </row>
    <row r="806" spans="1:18" ht="17.850000000000001" customHeight="1" x14ac:dyDescent="0.25">
      <c r="A806" s="2221" t="s">
        <v>391</v>
      </c>
      <c r="B806" s="2222"/>
      <c r="C806" s="2222"/>
      <c r="D806" s="2222"/>
      <c r="E806" s="373"/>
      <c r="F806" s="377">
        <f>IF(F800=$Q$31,B801,IF(F804=$Q$31,B805,""))</f>
        <v>0</v>
      </c>
      <c r="G806" s="377" t="str">
        <f ca="1">IF(F800=$Q$31,TEXT(H803,"0%"),IF(F804=$Q$31,TEXT(G805,"0,00€"),""))</f>
        <v>??</v>
      </c>
      <c r="H806" s="612">
        <f>IF(E795=M798,SUM(H796:H805),H795)</f>
        <v>0</v>
      </c>
      <c r="I806" s="819"/>
      <c r="L806" s="216"/>
    </row>
    <row r="807" spans="1:18" ht="17.850000000000001" customHeight="1" x14ac:dyDescent="0.25">
      <c r="A807" s="2818" t="s">
        <v>385</v>
      </c>
      <c r="B807" s="2819"/>
      <c r="C807" s="2819"/>
      <c r="D807" s="2820"/>
      <c r="E807" s="2196" t="s">
        <v>640</v>
      </c>
      <c r="F807" s="2196"/>
      <c r="G807" s="2196" t="str">
        <f>G$455</f>
        <v>Optional überschrei-ben mit:</v>
      </c>
      <c r="H807" s="2125" t="str">
        <f>H$455</f>
        <v>Übertrag in K3 Regie</v>
      </c>
      <c r="I807" s="819"/>
      <c r="L807" s="216"/>
    </row>
    <row r="808" spans="1:18" ht="17.850000000000001" customHeight="1" x14ac:dyDescent="0.25">
      <c r="A808" s="2821"/>
      <c r="B808" s="2822"/>
      <c r="C808" s="2822"/>
      <c r="D808" s="2823"/>
      <c r="E808" s="2197"/>
      <c r="F808" s="2197"/>
      <c r="G808" s="2197"/>
      <c r="H808" s="2126"/>
      <c r="I808" s="819"/>
      <c r="L808" s="216"/>
    </row>
    <row r="809" spans="1:18" ht="17.850000000000001" customHeight="1" thickBot="1" x14ac:dyDescent="0.3">
      <c r="A809" s="2824"/>
      <c r="B809" s="2825"/>
      <c r="C809" s="2825"/>
      <c r="D809" s="2826"/>
      <c r="E809" s="2198"/>
      <c r="F809" s="2198"/>
      <c r="G809" s="2198"/>
      <c r="H809" s="2127"/>
      <c r="I809" s="819"/>
      <c r="L809" s="216"/>
    </row>
    <row r="810" spans="1:18" ht="17.850000000000001" customHeight="1" thickTop="1" x14ac:dyDescent="0.25">
      <c r="A810" s="2221" t="s">
        <v>386</v>
      </c>
      <c r="B810" s="2222"/>
      <c r="C810" s="2222"/>
      <c r="D810" s="2306"/>
      <c r="E810" s="51">
        <f ca="1">$H$228</f>
        <v>1.4</v>
      </c>
      <c r="F810" s="1887">
        <f>H779/G779</f>
        <v>0</v>
      </c>
      <c r="G810" s="364"/>
      <c r="H810" s="361">
        <f ca="1">IF(ISBLANK(G810),E810*(1+F810),G810)</f>
        <v>1.4</v>
      </c>
      <c r="I810" s="818" t="str">
        <f>IF(ISBLANK(G810),"","X")</f>
        <v/>
      </c>
      <c r="L810" s="216"/>
    </row>
    <row r="811" spans="1:18" ht="17.850000000000001" customHeight="1" x14ac:dyDescent="0.25">
      <c r="A811" s="2134" t="s">
        <v>387</v>
      </c>
      <c r="B811" s="2135"/>
      <c r="C811" s="2135"/>
      <c r="D811" s="2136"/>
      <c r="E811" s="48">
        <f ca="1">IF(E790=M791,$G$227,$G$229)</f>
        <v>1.6</v>
      </c>
      <c r="F811" s="1888">
        <f>H779/G779</f>
        <v>0</v>
      </c>
      <c r="G811" s="341"/>
      <c r="H811" s="362">
        <f ca="1">IF(ISBLANK(G811),E811*(1+F811),G811)</f>
        <v>1.6</v>
      </c>
      <c r="I811" s="818" t="str">
        <f>IF(ISBLANK(G811),"","X")</f>
        <v/>
      </c>
      <c r="L811" s="216"/>
    </row>
    <row r="812" spans="1:18" ht="17.850000000000001" customHeight="1" x14ac:dyDescent="0.25">
      <c r="A812" s="2134" t="s">
        <v>388</v>
      </c>
      <c r="B812" s="2135"/>
      <c r="C812" s="2135"/>
      <c r="D812" s="2136"/>
      <c r="E812" s="157">
        <f ca="1">$H$236</f>
        <v>0.28999999999999998</v>
      </c>
      <c r="F812" s="156"/>
      <c r="G812" s="337"/>
      <c r="H812" s="363">
        <f ca="1">IF(ISBLANK(G812),E812,G812)</f>
        <v>0.28999999999999998</v>
      </c>
      <c r="I812" s="818" t="str">
        <f ca="1">IF(OR(G812&lt;&gt;0,E812&lt;&gt;H812),"X","")</f>
        <v/>
      </c>
      <c r="J812" s="2293" t="str">
        <f>IF(G812="","","Hinweis: DPNK lassen sich genau bestimmen/nachrechnen!")</f>
        <v/>
      </c>
      <c r="K812" s="2293"/>
      <c r="L812" s="2294"/>
    </row>
    <row r="813" spans="1:18" ht="17.850000000000001" customHeight="1" x14ac:dyDescent="0.25">
      <c r="A813" s="2134" t="s">
        <v>389</v>
      </c>
      <c r="B813" s="2135"/>
      <c r="C813" s="2135"/>
      <c r="D813" s="2136"/>
      <c r="E813" s="157">
        <f ca="1">$H$265</f>
        <v>0.77</v>
      </c>
      <c r="F813" s="156"/>
      <c r="G813" s="337"/>
      <c r="H813" s="363">
        <f ca="1">IF(ISBLANK(G813),E813,G813)</f>
        <v>0.77</v>
      </c>
      <c r="I813" s="818" t="str">
        <f ca="1">IF(OR(G813&lt;&gt;0,E813&lt;&gt;H813),"X","")</f>
        <v/>
      </c>
      <c r="L813" s="216"/>
    </row>
    <row r="814" spans="1:18" ht="17.850000000000001" customHeight="1" x14ac:dyDescent="0.25">
      <c r="A814" s="435" t="s">
        <v>390</v>
      </c>
      <c r="B814" s="67"/>
      <c r="C814" s="67"/>
      <c r="D814" s="436"/>
      <c r="E814" s="48">
        <f ca="1">H$276</f>
        <v>7.0000000000000007E-2</v>
      </c>
      <c r="F814" s="156"/>
      <c r="G814" s="567"/>
      <c r="H814" s="362">
        <f ca="1">IF(ISBLANK(G814),E814,G814)</f>
        <v>7.0000000000000007E-2</v>
      </c>
      <c r="I814" s="818" t="str">
        <f ca="1">IF(OR(G814&lt;&gt;0,E814&lt;&gt;H814),"X","")</f>
        <v/>
      </c>
      <c r="L814" s="216"/>
    </row>
    <row r="815" spans="1:18" ht="17.850000000000001" customHeight="1" x14ac:dyDescent="0.25">
      <c r="A815" s="2134" t="s">
        <v>594</v>
      </c>
      <c r="B815" s="2136"/>
      <c r="C815" s="199">
        <f>$E$306</f>
        <v>0.06</v>
      </c>
      <c r="D815" s="48">
        <f ca="1">$F$307</f>
        <v>2.2599999999999998</v>
      </c>
      <c r="E815" s="338"/>
      <c r="F815" s="364"/>
      <c r="G815" s="363">
        <f>IF(ISBLANK(E815),C815,E815)</f>
        <v>0.06</v>
      </c>
      <c r="H815" s="361">
        <f ca="1">IF(ISBLANK(F815),D815,F815)</f>
        <v>2.2599999999999998</v>
      </c>
      <c r="I815" s="818" t="str">
        <f>IF(OR(F815&lt;&gt;0,E815&lt;&gt;0),"X","")</f>
        <v/>
      </c>
      <c r="L815" s="216"/>
    </row>
    <row r="816" spans="1:18" ht="17.850000000000001" customHeight="1" x14ac:dyDescent="0.25">
      <c r="A816" s="2142" t="str">
        <f ca="1">"R5)"&amp;IF($G$327=0," Keine Umlagen unter Pkt H1 bzw H2 angelgt!"," Umlagen (K3 Spalte A)")</f>
        <v>R5) Umlagen (K3 Spalte A)</v>
      </c>
      <c r="B816" s="2143"/>
      <c r="C816" s="2143"/>
      <c r="D816" s="2143"/>
      <c r="E816" s="2143"/>
      <c r="F816" s="2143"/>
      <c r="G816" s="2143"/>
      <c r="H816" s="2143"/>
      <c r="I816" s="819"/>
      <c r="L816" s="216"/>
    </row>
    <row r="817" spans="1:17" ht="17.850000000000001" customHeight="1" thickBot="1" x14ac:dyDescent="0.3">
      <c r="A817" s="2314" t="s">
        <v>562</v>
      </c>
      <c r="B817" s="2315"/>
      <c r="C817" s="2315"/>
      <c r="D817" s="2315"/>
      <c r="E817" s="523" t="str">
        <f ca="1">IF(SUM(F818:G820)&lt;&gt;$H$327,"!","")</f>
        <v>!</v>
      </c>
      <c r="F817" s="715" t="s">
        <v>69</v>
      </c>
      <c r="G817" s="747" t="s">
        <v>673</v>
      </c>
      <c r="H817" s="1008">
        <f>' K3 Regie5'!O133</f>
        <v>0</v>
      </c>
      <c r="I817" s="819"/>
      <c r="J817" s="2319" t="str">
        <f ca="1">IF(E817="!","Hinweis: Es sind nicht alle oder andere Umlagen wie oben (Pkt H) für K3 ausgewählt! Berechnung erfolgt mit den hier ausgewählten Umlagen.","")</f>
        <v>Hinweis: Es sind nicht alle oder andere Umlagen wie oben (Pkt H) für K3 ausgewählt! Berechnung erfolgt mit den hier ausgewählten Umlagen.</v>
      </c>
      <c r="K817" s="2319"/>
      <c r="L817" s="2320"/>
    </row>
    <row r="818" spans="1:17" ht="17.850000000000001" customHeight="1" thickTop="1" x14ac:dyDescent="0.25">
      <c r="A818" s="2370"/>
      <c r="B818" s="2370"/>
      <c r="C818" s="2370"/>
      <c r="D818" s="2370"/>
      <c r="E818" s="2370"/>
      <c r="F818" s="85" t="str">
        <f>IF(A818="","",IFERROR(VLOOKUP(A818,A$329:E$333,2,FALSE),KALKULATION!$M$283))</f>
        <v/>
      </c>
      <c r="G818" s="158" t="str">
        <f>IF(A818="","",IFERROR(VLOOKUP(A818,A$329:E$333,3,FALSE),""))</f>
        <v/>
      </c>
      <c r="H818" s="85" t="str">
        <f>IF(OR(G818="",G818=0),"",G818*H$743)</f>
        <v/>
      </c>
      <c r="I818" s="819"/>
      <c r="J818" s="2319"/>
      <c r="K818" s="2319"/>
      <c r="L818" s="2320"/>
    </row>
    <row r="819" spans="1:17" ht="17.850000000000001" customHeight="1" x14ac:dyDescent="0.25">
      <c r="A819" s="2265"/>
      <c r="B819" s="2265"/>
      <c r="C819" s="2265"/>
      <c r="D819" s="2265"/>
      <c r="E819" s="2265"/>
      <c r="F819" s="85" t="str">
        <f>IF(A819="","",IFERROR(VLOOKUP(A819,A$329:E$333,2,FALSE),KALKULATION!$M$283))</f>
        <v/>
      </c>
      <c r="G819" s="158" t="str">
        <f t="shared" ref="G819:G820" si="84">IF(A819="","",IFERROR(VLOOKUP(A819,A$329:E$333,3,FALSE),""))</f>
        <v/>
      </c>
      <c r="H819" s="85" t="str">
        <f t="shared" ref="H819:H820" si="85">IF(OR(G819="",G819=0),"",G819*H$743)</f>
        <v/>
      </c>
      <c r="I819" s="819"/>
      <c r="J819" s="2319"/>
      <c r="K819" s="2319"/>
      <c r="L819" s="2320"/>
    </row>
    <row r="820" spans="1:17" ht="17.850000000000001" customHeight="1" x14ac:dyDescent="0.25">
      <c r="A820" s="2265"/>
      <c r="B820" s="2265"/>
      <c r="C820" s="2265"/>
      <c r="D820" s="2265"/>
      <c r="E820" s="2265"/>
      <c r="F820" s="84" t="str">
        <f>IF(A820="","",IFERROR(VLOOKUP(A820,A$329:E$333,2,FALSE),KALKULATION!$M$283))</f>
        <v/>
      </c>
      <c r="G820" s="50" t="str">
        <f t="shared" si="84"/>
        <v/>
      </c>
      <c r="H820" s="84" t="str">
        <f t="shared" si="85"/>
        <v/>
      </c>
      <c r="I820" s="819"/>
      <c r="L820" s="216"/>
      <c r="M820" s="2095" t="s">
        <v>643</v>
      </c>
      <c r="N820" s="2095"/>
      <c r="O820" s="2095" t="str">
        <f>$A$413&amp;" gesamt"</f>
        <v>Regielohnpreis gesamt</v>
      </c>
      <c r="P820" s="2096"/>
    </row>
    <row r="821" spans="1:17" ht="17.850000000000001" customHeight="1" x14ac:dyDescent="0.25">
      <c r="A821" s="2180" t="str">
        <f>IF(SUM(F818:H820)=0,"R5.b) GZ auf UMLAGEN - keine Umlagen ausgewählt (oder in Pkt H1 angelegt)","R5.b) GZ auf Umlagen")</f>
        <v>R5.b) GZ auf UMLAGEN - keine Umlagen ausgewählt (oder in Pkt H1 angelegt)</v>
      </c>
      <c r="B821" s="2181"/>
      <c r="C821" s="2181"/>
      <c r="D821" s="2181"/>
      <c r="E821" s="2181"/>
      <c r="F821" s="2182"/>
      <c r="G821" s="2182"/>
      <c r="H821" s="2181"/>
      <c r="I821" s="819"/>
      <c r="L821" s="216"/>
      <c r="M821" s="2097" t="s">
        <v>644</v>
      </c>
      <c r="N821" s="2097"/>
      <c r="O821" s="2097" t="str">
        <f>IF(D766="","[-? Keine Bezeichnung vorhanden ?-"," ["&amp;D766&amp;"]")</f>
        <v>[-? Keine Bezeichnung vorhanden ?-</v>
      </c>
      <c r="P821" s="2098"/>
    </row>
    <row r="822" spans="1:17" ht="17.850000000000001" customHeight="1" x14ac:dyDescent="0.25">
      <c r="A822" s="2221" t="s">
        <v>561</v>
      </c>
      <c r="B822" s="2222"/>
      <c r="C822" s="2222"/>
      <c r="D822" s="2137"/>
      <c r="E822" s="2138"/>
      <c r="F822" s="2139"/>
      <c r="G822" s="196" t="str">
        <f>IF(D822="","",IFERROR(VLOOKUP(D822,'K2 GZ'!I$25:M$32,5,FALSE),KALKULATION!$M$283))</f>
        <v/>
      </c>
      <c r="H822" s="1009" t="str">
        <f ca="1">IF($G$327=0,"",IF(G822=KALKULATION!$M$283,"",IF(SUM(F818:H820)=0,"",IF(D822="",$G$346,G822))))</f>
        <v/>
      </c>
      <c r="I822" s="818" t="str">
        <f>IF(AND(D822&lt;&gt;"",SUM(F818:H820)&lt;&gt;0),"X","")</f>
        <v/>
      </c>
      <c r="J822" s="2178" t="str">
        <f ca="1">IF(G822=KALKULATION!$M$283,"Auswahl erneut vornehmen (ungült. Verweis)/Text löschen!",IF(AND(H822="",SUM(F818:G820)&lt;&gt;0),"GZ fehlt oder gleich 0!)",""))</f>
        <v/>
      </c>
      <c r="K822" s="2178"/>
      <c r="L822" s="2179"/>
      <c r="M822" s="2097" t="s">
        <v>414</v>
      </c>
      <c r="N822" s="2097"/>
      <c r="O822" s="2097" t="str">
        <f>IF(AND(COUNTA(A769:C773)=1,E769=1)," für ["&amp;A769&amp;"]","")</f>
        <v/>
      </c>
      <c r="P822" s="2098"/>
      <c r="Q822" s="2098" t="str">
        <f>IF(O822="",IF(H767="Ø"," als Ø-Preis pro Person und Stunde"," als Partiepreis pro Stunde"),O822)</f>
        <v xml:space="preserve"> als Ø-Preis pro Person und Stunde</v>
      </c>
    </row>
    <row r="823" spans="1:17" ht="17.850000000000001" customHeight="1" x14ac:dyDescent="0.25">
      <c r="A823" s="2393"/>
      <c r="B823" s="2394"/>
      <c r="C823" s="2394"/>
      <c r="D823" s="2394"/>
      <c r="E823" s="2394"/>
      <c r="F823" s="2394"/>
      <c r="G823" s="2394"/>
      <c r="H823" s="2394"/>
      <c r="I823" s="818"/>
      <c r="L823" s="216"/>
      <c r="M823" s="2099" t="s">
        <v>708</v>
      </c>
      <c r="N823" s="2097"/>
      <c r="O823" s="2100" t="str">
        <f>IF(O822="",IF(H767="Ø"," als Ø-Preis pro Person und Stunde"," als Partiepreis pro Stunde für ["&amp;TEXT(E774,"0")&amp;" Personen]"),O822)</f>
        <v xml:space="preserve"> als Ø-Preis pro Person und Stunde</v>
      </c>
      <c r="P823" s="2098"/>
    </row>
    <row r="824" spans="1:17" ht="17.850000000000001" customHeight="1" x14ac:dyDescent="0.25">
      <c r="A824" s="2180" t="str">
        <f>A$472</f>
        <v>R6) GZ auf PERSONALKOSTEN (K3 Spalte B)</v>
      </c>
      <c r="B824" s="2181"/>
      <c r="C824" s="2181"/>
      <c r="D824" s="2313"/>
      <c r="E824" s="2313"/>
      <c r="F824" s="2313"/>
      <c r="G824" s="2313"/>
      <c r="H824" s="2313"/>
      <c r="I824" s="817"/>
      <c r="L824" s="216"/>
      <c r="M824" s="2080" t="s">
        <v>641</v>
      </c>
      <c r="N824" s="2081" t="str">
        <f ca="1">IF(AND(E795=M798,H799&lt;&gt;"")," als ["&amp;B797&amp;TEXT(E797," (0%)")&amp;"]",IF(E795=M796," mit [Ø Zuschlag gem K3 Mittelpersonalpreis Z 8]",IF(E795=M797," mit [Aufzahlung pro Std gem K3 Mittelpersonalpreis]","")))</f>
        <v/>
      </c>
      <c r="O824" s="2080"/>
      <c r="P824" s="2082"/>
    </row>
    <row r="825" spans="1:17" ht="17.850000000000001" customHeight="1" x14ac:dyDescent="0.25">
      <c r="A825" s="2221" t="s">
        <v>561</v>
      </c>
      <c r="B825" s="2222"/>
      <c r="C825" s="2222"/>
      <c r="D825" s="2137"/>
      <c r="E825" s="2138"/>
      <c r="F825" s="2139"/>
      <c r="G825" s="196" t="str">
        <f>IF(D825="","",IFERROR(VLOOKUP(D825,'K2 GZ'!I$25:M$32,5,FALSE),KALKULATION!$M$283))</f>
        <v/>
      </c>
      <c r="H825" s="1057">
        <f>IF(G825=KALKULATION!$M$283,"",IF(D825="",$G$345,G825))</f>
        <v>0.28999999999999998</v>
      </c>
      <c r="I825" s="818" t="str">
        <f>IF(D825&lt;&gt;"","X","")</f>
        <v/>
      </c>
      <c r="J825" s="2178" t="str">
        <f>IF(G825=KALKULATION!$M$283,"Auswahl erneut vornehmen (ungültiger Verweis)!",IF(H825=KALKULATION!$M$283,"GZ aus K2-Blatt wählen!",""))</f>
        <v/>
      </c>
      <c r="K825" s="2178"/>
      <c r="L825" s="2179"/>
      <c r="M825" s="2083" t="s">
        <v>642</v>
      </c>
      <c r="N825" s="2084" t="str">
        <f>IF(N804="",""," in ["&amp;N804&amp;"]")</f>
        <v/>
      </c>
      <c r="O825" s="2083"/>
      <c r="P825" s="2085"/>
    </row>
    <row r="826" spans="1:17" ht="17.850000000000001" customHeight="1" x14ac:dyDescent="0.25">
      <c r="A826" s="1196" t="s">
        <v>384</v>
      </c>
      <c r="B826" s="828"/>
      <c r="C826" s="828"/>
      <c r="D826" s="2827" t="str">
        <f>D788</f>
        <v>Ø-Preis pro Person</v>
      </c>
      <c r="E826" s="2827"/>
      <c r="F826" s="2827"/>
      <c r="G826" s="831"/>
      <c r="H826" s="829">
        <f ca="1">' K3 Regie6'!N45</f>
        <v>73.650000000000006</v>
      </c>
      <c r="I826" s="817"/>
      <c r="J826" s="383"/>
      <c r="K826" s="383"/>
      <c r="L826" s="384"/>
      <c r="M826" s="2080"/>
      <c r="N826" s="2086"/>
      <c r="O826" s="2080"/>
      <c r="P826" s="2082"/>
    </row>
    <row r="827" spans="1:17" ht="17.850000000000001" customHeight="1" x14ac:dyDescent="0.25">
      <c r="A827" s="2149" t="s">
        <v>714</v>
      </c>
      <c r="B827" s="2277"/>
      <c r="C827" s="2161" t="str">
        <f>IFERROR(VLOOKUP(A829,M830:N837,2,FALSE),KALKULATION!$M$283)</f>
        <v>Regielohnpreis gesamt als Ø-Preis pro Person und Stunde</v>
      </c>
      <c r="D827" s="2162"/>
      <c r="E827" s="2162"/>
      <c r="F827" s="2162"/>
      <c r="G827" s="2162"/>
      <c r="H827" s="2162"/>
      <c r="I827" s="821"/>
      <c r="J827" s="2326" t="str">
        <f ca="1">IF(OR(H825&lt;Report!$G$13,KALKULATION!H825&gt;Report!$F$13,AND(SUM(KALKULATION!F818:H820)&lt;&gt;0,OR(H822&lt;Report!$G$13,KALKULATION!H822&gt;Report!$F$13))),"Hinweis: GZ in R5.b oder R6 liegt außerhalb der empfohlenen Grenzwerte gem Blatt REPORT!","")</f>
        <v/>
      </c>
      <c r="K827" s="2326"/>
      <c r="L827" s="2327"/>
      <c r="M827" s="2078"/>
      <c r="N827" s="2087"/>
      <c r="O827" s="2078"/>
      <c r="P827" s="2079"/>
    </row>
    <row r="828" spans="1:17" ht="17.850000000000001" customHeight="1" x14ac:dyDescent="0.25">
      <c r="A828" s="2153"/>
      <c r="B828" s="2278"/>
      <c r="C828" s="2163"/>
      <c r="D828" s="2164"/>
      <c r="E828" s="2164"/>
      <c r="F828" s="2164"/>
      <c r="G828" s="2164"/>
      <c r="H828" s="2164"/>
      <c r="I828" s="821"/>
      <c r="J828" s="2328"/>
      <c r="K828" s="2328"/>
      <c r="L828" s="2329"/>
      <c r="M828" s="2101" t="s">
        <v>709</v>
      </c>
      <c r="N828" s="2101" t="str">
        <f ca="1">N824&amp;N825</f>
        <v/>
      </c>
      <c r="P828" s="2102"/>
    </row>
    <row r="829" spans="1:17" ht="17.850000000000001" customHeight="1" x14ac:dyDescent="0.25">
      <c r="A829" s="2147" t="s">
        <v>718</v>
      </c>
      <c r="B829" s="2148"/>
      <c r="C829" s="2165"/>
      <c r="D829" s="2166"/>
      <c r="E829" s="2166"/>
      <c r="F829" s="2166"/>
      <c r="G829" s="2166"/>
      <c r="H829" s="2166"/>
      <c r="I829" s="821"/>
      <c r="L829" s="216"/>
      <c r="M829" s="2107" t="s">
        <v>710</v>
      </c>
      <c r="N829" s="2108"/>
    </row>
    <row r="830" spans="1:17" ht="17.850000000000001" customHeight="1" x14ac:dyDescent="0.25">
      <c r="A830" s="2149" t="s">
        <v>711</v>
      </c>
      <c r="B830" s="2150"/>
      <c r="C830" s="2155" t="s">
        <v>1099</v>
      </c>
      <c r="D830" s="2156"/>
      <c r="E830" s="2156"/>
      <c r="F830" s="2156"/>
      <c r="G830" s="2156"/>
      <c r="H830" s="2156"/>
      <c r="I830" s="821"/>
      <c r="L830" s="216"/>
      <c r="M830" s="1946" t="s">
        <v>717</v>
      </c>
      <c r="N830" s="2103" t="str">
        <f>O820&amp;Q822</f>
        <v>Regielohnpreis gesamt als Ø-Preis pro Person und Stunde</v>
      </c>
    </row>
    <row r="831" spans="1:17" ht="17.850000000000001" customHeight="1" x14ac:dyDescent="0.25">
      <c r="A831" s="2151"/>
      <c r="B831" s="2152"/>
      <c r="C831" s="2157"/>
      <c r="D831" s="2158"/>
      <c r="E831" s="2158"/>
      <c r="F831" s="2158"/>
      <c r="G831" s="2158"/>
      <c r="H831" s="2158"/>
      <c r="I831" s="821"/>
      <c r="L831" s="216"/>
      <c r="M831" s="1946" t="s">
        <v>718</v>
      </c>
      <c r="N831" s="2103" t="str">
        <f>O820&amp;O823</f>
        <v>Regielohnpreis gesamt als Ø-Preis pro Person und Stunde</v>
      </c>
    </row>
    <row r="832" spans="1:17" ht="17.850000000000001" customHeight="1" x14ac:dyDescent="0.25">
      <c r="A832" s="2153"/>
      <c r="B832" s="2154"/>
      <c r="C832" s="2159"/>
      <c r="D832" s="2160"/>
      <c r="E832" s="2160"/>
      <c r="F832" s="2160"/>
      <c r="G832" s="2160"/>
      <c r="H832" s="2160"/>
      <c r="I832" s="821"/>
      <c r="L832" s="216"/>
      <c r="M832" s="1946" t="s">
        <v>719</v>
      </c>
      <c r="N832" s="2103" t="str">
        <f>O820&amp;O821&amp;Q822</f>
        <v>Regielohnpreis gesamt[-? Keine Bezeichnung vorhanden ?- als Ø-Preis pro Person und Stunde</v>
      </c>
    </row>
    <row r="833" spans="1:14" ht="17.850000000000001" customHeight="1" x14ac:dyDescent="0.25">
      <c r="A833" s="2401"/>
      <c r="B833" s="2402"/>
      <c r="C833" s="2402"/>
      <c r="D833" s="2402"/>
      <c r="E833" s="2402"/>
      <c r="F833" s="2402"/>
      <c r="G833" s="2402"/>
      <c r="H833" s="2402"/>
      <c r="I833" s="821"/>
      <c r="L833" s="216"/>
      <c r="M833" s="1946" t="s">
        <v>720</v>
      </c>
      <c r="N833" s="2104" t="str">
        <f>O820&amp;O821&amp;O823</f>
        <v>Regielohnpreis gesamt[-? Keine Bezeichnung vorhanden ?- als Ø-Preis pro Person und Stunde</v>
      </c>
    </row>
    <row r="834" spans="1:14" ht="17.850000000000001" customHeight="1" x14ac:dyDescent="0.25">
      <c r="A834" s="2116" t="s">
        <v>672</v>
      </c>
      <c r="B834" s="2121"/>
      <c r="C834" s="2121"/>
      <c r="D834" s="2121"/>
      <c r="E834" s="2121"/>
      <c r="F834" s="2121"/>
      <c r="G834" s="2121"/>
      <c r="H834" s="2121"/>
      <c r="I834" s="2121"/>
      <c r="J834" s="45"/>
      <c r="L834" s="216"/>
      <c r="M834" s="1946" t="s">
        <v>721</v>
      </c>
      <c r="N834" s="2105" t="str">
        <f ca="1">O820&amp;Q822&amp;N828</f>
        <v>Regielohnpreis gesamt als Ø-Preis pro Person und Stunde</v>
      </c>
    </row>
    <row r="835" spans="1:14" ht="17.850000000000001" customHeight="1" x14ac:dyDescent="0.25">
      <c r="A835" s="2117"/>
      <c r="B835" s="2121"/>
      <c r="C835" s="2121"/>
      <c r="D835" s="2121"/>
      <c r="E835" s="2121"/>
      <c r="F835" s="2121"/>
      <c r="G835" s="2121"/>
      <c r="H835" s="2121"/>
      <c r="I835" s="2121"/>
      <c r="J835" s="46"/>
      <c r="K835" s="47"/>
      <c r="L835" s="594"/>
      <c r="M835" s="1946" t="s">
        <v>722</v>
      </c>
      <c r="N835" s="2104" t="str">
        <f ca="1">O820&amp;O821&amp;Q822&amp;N828</f>
        <v>Regielohnpreis gesamt[-? Keine Bezeichnung vorhanden ?- als Ø-Preis pro Person und Stunde</v>
      </c>
    </row>
    <row r="836" spans="1:14" ht="17.850000000000001" customHeight="1" x14ac:dyDescent="0.25">
      <c r="A836" s="2880"/>
      <c r="B836" s="2880"/>
      <c r="C836" s="2880"/>
      <c r="D836" s="2880"/>
      <c r="E836" s="2880"/>
      <c r="F836" s="2880"/>
      <c r="G836" s="2880"/>
      <c r="H836" s="2880"/>
      <c r="I836" s="2880"/>
      <c r="L836" s="216"/>
      <c r="M836" s="1946" t="s">
        <v>887</v>
      </c>
      <c r="N836" s="2104" t="str">
        <f ca="1">O820&amp;O821&amp;O823&amp;N828</f>
        <v>Regielohnpreis gesamt[-? Keine Bezeichnung vorhanden ?- als Ø-Preis pro Person und Stunde</v>
      </c>
    </row>
    <row r="837" spans="1:14" ht="25.15" customHeight="1" x14ac:dyDescent="0.25">
      <c r="A837" s="2223" t="s">
        <v>430</v>
      </c>
      <c r="B837" s="2224"/>
      <c r="C837" s="2224"/>
      <c r="D837" s="2224"/>
      <c r="E837" s="2224"/>
      <c r="F837" s="2224"/>
      <c r="G837" s="2224"/>
      <c r="H837" s="2224"/>
      <c r="I837" s="2224"/>
      <c r="J837" s="59"/>
      <c r="K837" s="59"/>
      <c r="L837" s="593"/>
      <c r="M837" s="2109" t="s">
        <v>716</v>
      </c>
      <c r="N837" s="2110" t="str">
        <f>C830</f>
        <v>#Ihre individuelle Bezeichnung für die Auswahl in R7.a können Sie in R7.b eintragen.</v>
      </c>
    </row>
    <row r="838" spans="1:14" ht="17.850000000000001" customHeight="1" x14ac:dyDescent="0.25">
      <c r="A838" s="58"/>
      <c r="B838" s="59"/>
      <c r="C838" s="2410" t="s">
        <v>72</v>
      </c>
      <c r="D838" s="2196" t="s">
        <v>983</v>
      </c>
      <c r="E838" s="2408" t="s">
        <v>274</v>
      </c>
      <c r="F838" s="1116" t="s">
        <v>687</v>
      </c>
      <c r="G838" s="2196" t="s">
        <v>686</v>
      </c>
      <c r="H838" s="2408" t="s">
        <v>275</v>
      </c>
      <c r="I838" s="438"/>
      <c r="L838" s="216"/>
    </row>
    <row r="839" spans="1:14" ht="17.850000000000001" customHeight="1" x14ac:dyDescent="0.25">
      <c r="A839" s="45"/>
      <c r="C839" s="2411"/>
      <c r="D839" s="2197"/>
      <c r="E839" s="2409"/>
      <c r="F839" s="2196" t="s">
        <v>685</v>
      </c>
      <c r="G839" s="2197"/>
      <c r="H839" s="2409"/>
      <c r="I839" s="438"/>
      <c r="L839" s="216"/>
    </row>
    <row r="840" spans="1:14" ht="17.850000000000001" customHeight="1" thickBot="1" x14ac:dyDescent="0.3">
      <c r="A840" s="45"/>
      <c r="C840" s="2411"/>
      <c r="D840" s="2197"/>
      <c r="E840" s="2409"/>
      <c r="F840" s="2400"/>
      <c r="G840" s="910" t="s">
        <v>86</v>
      </c>
      <c r="H840" s="2409"/>
      <c r="I840" s="438"/>
      <c r="L840" s="216"/>
    </row>
    <row r="841" spans="1:14" ht="17.850000000000001" customHeight="1" x14ac:dyDescent="0.25">
      <c r="A841" s="2398" t="s">
        <v>272</v>
      </c>
      <c r="B841" s="2399"/>
      <c r="C841" s="223">
        <f ca="1">' K3 PP'!O21</f>
        <v>20</v>
      </c>
      <c r="D841" s="224">
        <f ca="1">' K3 PP'!O23</f>
        <v>22</v>
      </c>
      <c r="E841" s="223">
        <f ca="1">' K3 PP'!O28</f>
        <v>28</v>
      </c>
      <c r="F841" s="51">
        <f ca="1">SUM(' K3 PP'!O29)</f>
        <v>1.9</v>
      </c>
      <c r="G841" s="51">
        <f ca="1">SUM(' K3 PP'!O34)</f>
        <v>5.86</v>
      </c>
      <c r="H841" s="604"/>
      <c r="I841" s="438"/>
      <c r="L841" s="216"/>
    </row>
    <row r="842" spans="1:14" ht="17.850000000000001" customHeight="1" x14ac:dyDescent="0.25">
      <c r="A842" s="768"/>
      <c r="B842" s="769"/>
      <c r="C842" s="770"/>
      <c r="D842" s="771"/>
      <c r="E842" s="770"/>
      <c r="F842" s="93">
        <f ca="1">SUM(' K3 PP'!O30:P32)</f>
        <v>29.75</v>
      </c>
      <c r="G842" s="93">
        <f ca="1">SUM(' K3 PP'!M39)</f>
        <v>1.02</v>
      </c>
      <c r="H842" s="73">
        <f ca="1">SUM(' K3 PP'!M43,' K3 PP'!O43)</f>
        <v>19.399999999999999</v>
      </c>
      <c r="I842" s="438"/>
      <c r="L842" s="216"/>
    </row>
    <row r="843" spans="1:14" ht="17.850000000000001" customHeight="1" x14ac:dyDescent="0.25">
      <c r="A843" s="1099"/>
      <c r="B843" s="1100"/>
      <c r="C843" s="218"/>
      <c r="D843" s="93"/>
      <c r="E843" s="218"/>
      <c r="F843" s="225">
        <f ca="1">SUM(E841,F841,F842)</f>
        <v>59.65</v>
      </c>
      <c r="G843" s="225">
        <f ca="1">SUM(F843,G841,G842)</f>
        <v>66.53</v>
      </c>
      <c r="H843" s="1048">
        <f ca="1">SUM(G843,H842)</f>
        <v>85.93</v>
      </c>
      <c r="I843" s="438"/>
      <c r="L843" s="216"/>
    </row>
    <row r="844" spans="1:14" ht="17.850000000000001" customHeight="1" thickBot="1" x14ac:dyDescent="0.3">
      <c r="A844" s="1108"/>
      <c r="B844" s="1109"/>
      <c r="C844" s="220" t="s">
        <v>59</v>
      </c>
      <c r="D844" s="221">
        <f ca="1">D841/$C841-1</f>
        <v>0.1</v>
      </c>
      <c r="E844" s="222">
        <f ca="1">E841/$C841-1</f>
        <v>0.4</v>
      </c>
      <c r="F844" s="221">
        <f ca="1">F843/$C841-1</f>
        <v>1.9824999999999999</v>
      </c>
      <c r="G844" s="221">
        <f ca="1">G843/$C841-1</f>
        <v>2.3264999999999998</v>
      </c>
      <c r="H844" s="222">
        <f ca="1">H843/$C841-1</f>
        <v>3.2965</v>
      </c>
      <c r="I844" s="438"/>
      <c r="L844" s="216"/>
    </row>
    <row r="845" spans="1:14" ht="17.850000000000001" customHeight="1" thickBot="1" x14ac:dyDescent="0.3">
      <c r="A845" s="2833"/>
      <c r="B845" s="2834"/>
      <c r="C845" s="2834"/>
      <c r="D845" s="2834"/>
      <c r="E845" s="2834"/>
      <c r="F845" s="2834"/>
      <c r="G845" s="2834"/>
      <c r="H845" s="2834"/>
      <c r="I845" s="438"/>
      <c r="L845" s="216"/>
    </row>
    <row r="846" spans="1:14" ht="17.850000000000001" customHeight="1" x14ac:dyDescent="0.25">
      <c r="A846" s="2382" t="s">
        <v>273</v>
      </c>
      <c r="B846" s="2383"/>
      <c r="C846" s="226">
        <f ca="1">' K3 Regie1'!O21</f>
        <v>22</v>
      </c>
      <c r="D846" s="227">
        <f ca="1">' K3 Regie1'!O23</f>
        <v>22</v>
      </c>
      <c r="E846" s="226">
        <f ca="1">' K3 Regie1'!O28</f>
        <v>26.69</v>
      </c>
      <c r="F846" s="219">
        <f ca="1">SUM(' K3 Regie1'!O29)</f>
        <v>1.6</v>
      </c>
      <c r="G846" s="219">
        <f ca="1">SUM(' K3 Regie1'!O34)</f>
        <v>5.66</v>
      </c>
      <c r="H846" s="1049"/>
      <c r="I846" s="438"/>
      <c r="L846" s="216"/>
    </row>
    <row r="847" spans="1:14" ht="17.850000000000001" customHeight="1" x14ac:dyDescent="0.25">
      <c r="A847" s="768"/>
      <c r="B847" s="769"/>
      <c r="C847" s="770"/>
      <c r="D847" s="771"/>
      <c r="E847" s="770"/>
      <c r="F847" s="93">
        <f ca="1">SUM(' K3 Regie1'!O30:P32)</f>
        <v>28.36</v>
      </c>
      <c r="G847" s="93">
        <f>SUM(' K3 Regie1'!M39)</f>
        <v>0</v>
      </c>
      <c r="H847" s="218">
        <f ca="1">SUM(' K3 Regie1'!M43:P43)</f>
        <v>18.07</v>
      </c>
      <c r="I847" s="438"/>
      <c r="L847" s="216"/>
    </row>
    <row r="848" spans="1:14" ht="17.850000000000001" customHeight="1" x14ac:dyDescent="0.25">
      <c r="A848" s="768" t="str">
        <f>' K3 Regie1'!B10</f>
        <v>IIa.    Vorarbeiter</v>
      </c>
      <c r="B848" s="1100"/>
      <c r="C848" s="218"/>
      <c r="D848" s="93"/>
      <c r="E848" s="218"/>
      <c r="F848" s="228">
        <f ca="1">SUM(E846,F846,F847)</f>
        <v>56.65</v>
      </c>
      <c r="G848" s="228">
        <f ca="1">SUM(F848,G846,G847)</f>
        <v>62.31</v>
      </c>
      <c r="H848" s="1050">
        <f ca="1">SUM(G848,H847)</f>
        <v>80.38</v>
      </c>
      <c r="I848" s="438"/>
      <c r="L848" s="216"/>
    </row>
    <row r="849" spans="1:12" ht="17.850000000000001" customHeight="1" thickBot="1" x14ac:dyDescent="0.3">
      <c r="A849" s="1104" t="str">
        <f>' K3 Regie1'!K11</f>
        <v>Regiestunde</v>
      </c>
      <c r="B849" s="1109"/>
      <c r="C849" s="220" t="s">
        <v>59</v>
      </c>
      <c r="D849" s="221">
        <f ca="1">D846/$C846-1</f>
        <v>0</v>
      </c>
      <c r="E849" s="222">
        <f ca="1">E846/$C846-1</f>
        <v>0.2132</v>
      </c>
      <c r="F849" s="221">
        <f ca="1">F848/$C846-1</f>
        <v>1.575</v>
      </c>
      <c r="G849" s="221">
        <f ca="1">G848/$C846-1</f>
        <v>1.8323</v>
      </c>
      <c r="H849" s="222">
        <f ca="1">H848/$C846-1</f>
        <v>2.6536</v>
      </c>
      <c r="I849" s="438"/>
      <c r="L849" s="216"/>
    </row>
    <row r="850" spans="1:12" ht="17.850000000000001" customHeight="1" thickBot="1" x14ac:dyDescent="0.3">
      <c r="A850" s="2831"/>
      <c r="B850" s="2832"/>
      <c r="C850" s="2832"/>
      <c r="D850" s="2832"/>
      <c r="E850" s="2832"/>
      <c r="F850" s="2832"/>
      <c r="G850" s="2832"/>
      <c r="H850" s="2832"/>
      <c r="I850" s="438"/>
      <c r="L850" s="216"/>
    </row>
    <row r="851" spans="1:12" ht="17.850000000000001" customHeight="1" x14ac:dyDescent="0.25">
      <c r="A851" s="2836" t="s">
        <v>277</v>
      </c>
      <c r="B851" s="2837"/>
      <c r="C851" s="238">
        <f ca="1">' K3 Regie2'!O21</f>
        <v>20</v>
      </c>
      <c r="D851" s="239">
        <f ca="1">' K3 Regie2'!O23</f>
        <v>20</v>
      </c>
      <c r="E851" s="238">
        <f ca="1">' K3 Regie2'!O28</f>
        <v>24.4</v>
      </c>
      <c r="F851" s="219">
        <f ca="1">SUM(' K3 Regie2'!O29)</f>
        <v>1.6</v>
      </c>
      <c r="G851" s="219">
        <f ca="1">SUM(' K3 Regie2'!O34)</f>
        <v>5.38</v>
      </c>
      <c r="H851" s="1049"/>
      <c r="I851" s="438"/>
      <c r="L851" s="216"/>
    </row>
    <row r="852" spans="1:12" ht="17.850000000000001" customHeight="1" x14ac:dyDescent="0.25">
      <c r="A852" s="772"/>
      <c r="B852" s="773"/>
      <c r="C852" s="774"/>
      <c r="D852" s="775"/>
      <c r="E852" s="774"/>
      <c r="F852" s="93">
        <f ca="1">SUM(' K3 Regie2'!O30:P32)</f>
        <v>25.94</v>
      </c>
      <c r="G852" s="93">
        <f>SUM(' K3 Regie2'!M39)</f>
        <v>0</v>
      </c>
      <c r="H852" s="218">
        <f ca="1">SUM(' K3 Regie2'!M43:P43)</f>
        <v>16.62</v>
      </c>
      <c r="I852" s="438"/>
      <c r="L852" s="216"/>
    </row>
    <row r="853" spans="1:12" ht="17.850000000000001" customHeight="1" x14ac:dyDescent="0.25">
      <c r="A853" s="768" t="str">
        <f>' K3 Regie2'!B10</f>
        <v>IIb.   Facharbeiter</v>
      </c>
      <c r="B853" s="1100"/>
      <c r="C853" s="218"/>
      <c r="D853" s="93"/>
      <c r="E853" s="218"/>
      <c r="F853" s="240">
        <f ca="1">SUM(E851,F851,F852)</f>
        <v>51.94</v>
      </c>
      <c r="G853" s="240">
        <f ca="1">SUM(F853,G851,G852)</f>
        <v>57.32</v>
      </c>
      <c r="H853" s="1051">
        <f ca="1">SUM(G853,H852)</f>
        <v>73.94</v>
      </c>
      <c r="I853" s="438"/>
      <c r="L853" s="216"/>
    </row>
    <row r="854" spans="1:12" ht="17.850000000000001" customHeight="1" thickBot="1" x14ac:dyDescent="0.3">
      <c r="A854" s="1104" t="str">
        <f>' K3 Regie2'!K11</f>
        <v>Regiestunde</v>
      </c>
      <c r="B854" s="1109"/>
      <c r="C854" s="220" t="s">
        <v>59</v>
      </c>
      <c r="D854" s="221">
        <f ca="1">D851/$C851-1</f>
        <v>0</v>
      </c>
      <c r="E854" s="222">
        <f ca="1">E851/$C851-1</f>
        <v>0.22</v>
      </c>
      <c r="F854" s="221">
        <f ca="1">F853/$C851-1</f>
        <v>1.597</v>
      </c>
      <c r="G854" s="221">
        <f ca="1">G853/$C851-1</f>
        <v>1.8660000000000001</v>
      </c>
      <c r="H854" s="222">
        <f ca="1">H853/$C851-1</f>
        <v>2.6970000000000001</v>
      </c>
      <c r="I854" s="438"/>
      <c r="L854" s="216"/>
    </row>
    <row r="855" spans="1:12" ht="17.850000000000001" customHeight="1" thickBot="1" x14ac:dyDescent="0.3">
      <c r="A855" s="2831"/>
      <c r="B855" s="2832"/>
      <c r="C855" s="2832"/>
      <c r="D855" s="2832"/>
      <c r="E855" s="2832"/>
      <c r="F855" s="2832"/>
      <c r="G855" s="2832"/>
      <c r="H855" s="2832"/>
      <c r="I855" s="438"/>
      <c r="L855" s="216"/>
    </row>
    <row r="856" spans="1:12" ht="17.850000000000001" customHeight="1" x14ac:dyDescent="0.25">
      <c r="A856" s="245" t="s">
        <v>276</v>
      </c>
      <c r="B856" s="241"/>
      <c r="C856" s="229">
        <f ca="1">' K3 Regie3'!O21</f>
        <v>18</v>
      </c>
      <c r="D856" s="230">
        <f ca="1">' K3 Regie3'!O23</f>
        <v>18</v>
      </c>
      <c r="E856" s="229">
        <f ca="1">' K3 Regie3'!O28</f>
        <v>21.95</v>
      </c>
      <c r="F856" s="219">
        <f ca="1">SUM(' K3 Regie3'!O29)</f>
        <v>1.6</v>
      </c>
      <c r="G856" s="219">
        <f ca="1">SUM(' K3 Regie3'!O34)</f>
        <v>5.07</v>
      </c>
      <c r="H856" s="1049"/>
      <c r="I856" s="438"/>
      <c r="L856" s="216"/>
    </row>
    <row r="857" spans="1:12" ht="17.850000000000001" customHeight="1" x14ac:dyDescent="0.25">
      <c r="A857" s="772"/>
      <c r="B857" s="773"/>
      <c r="C857" s="774"/>
      <c r="D857" s="775"/>
      <c r="E857" s="774"/>
      <c r="F857" s="93">
        <f ca="1">SUM(' K3 Regie3'!O30:P32)</f>
        <v>23.34</v>
      </c>
      <c r="G857" s="93">
        <f>SUM(' K3 Regie3'!M39)</f>
        <v>0</v>
      </c>
      <c r="H857" s="218">
        <f ca="1">SUM(' K3 Regie3'!M43:P43)</f>
        <v>15.07</v>
      </c>
      <c r="I857" s="438"/>
      <c r="L857" s="216"/>
    </row>
    <row r="858" spans="1:12" ht="17.850000000000001" customHeight="1" x14ac:dyDescent="0.25">
      <c r="A858" s="768" t="str">
        <f>' K3 Regie3'!B10</f>
        <v>IV.   Bauhilfsarbeiter</v>
      </c>
      <c r="B858" s="1100"/>
      <c r="C858" s="218"/>
      <c r="D858" s="93"/>
      <c r="E858" s="218"/>
      <c r="F858" s="231">
        <f ca="1">SUM(E856,F856,F857)</f>
        <v>46.89</v>
      </c>
      <c r="G858" s="231">
        <f ca="1">SUM(F858,G856,G857)</f>
        <v>51.96</v>
      </c>
      <c r="H858" s="1052">
        <f ca="1">SUM(G858,H857)</f>
        <v>67.03</v>
      </c>
      <c r="I858" s="438"/>
      <c r="L858" s="216"/>
    </row>
    <row r="859" spans="1:12" ht="17.850000000000001" customHeight="1" thickBot="1" x14ac:dyDescent="0.3">
      <c r="A859" s="1104" t="str">
        <f>' K3 Regie3'!K11</f>
        <v>Regiestunde</v>
      </c>
      <c r="B859" s="1109"/>
      <c r="C859" s="220" t="s">
        <v>59</v>
      </c>
      <c r="D859" s="221">
        <f ca="1">D856/$C856-1</f>
        <v>0</v>
      </c>
      <c r="E859" s="222">
        <f ca="1">E856/$C856-1</f>
        <v>0.21940000000000001</v>
      </c>
      <c r="F859" s="221">
        <f ca="1">F858/$C856-1</f>
        <v>1.605</v>
      </c>
      <c r="G859" s="221">
        <f ca="1">G858/$C856-1</f>
        <v>1.8867</v>
      </c>
      <c r="H859" s="222">
        <f ca="1">H858/$C856-1</f>
        <v>2.7239</v>
      </c>
      <c r="I859" s="438"/>
      <c r="L859" s="216"/>
    </row>
    <row r="860" spans="1:12" ht="17.850000000000001" customHeight="1" thickBot="1" x14ac:dyDescent="0.3">
      <c r="A860" s="2831"/>
      <c r="B860" s="2832"/>
      <c r="C860" s="2832"/>
      <c r="D860" s="2832"/>
      <c r="E860" s="2832"/>
      <c r="F860" s="2832"/>
      <c r="G860" s="2832"/>
      <c r="H860" s="2832"/>
      <c r="I860" s="438"/>
      <c r="L860" s="216"/>
    </row>
    <row r="861" spans="1:12" ht="17.850000000000001" customHeight="1" x14ac:dyDescent="0.25">
      <c r="A861" s="246" t="s">
        <v>278</v>
      </c>
      <c r="B861" s="242"/>
      <c r="C861" s="232">
        <f ca="1">' K3 Regie4'!O21</f>
        <v>20</v>
      </c>
      <c r="D861" s="233">
        <f ca="1">' K3 Regie4'!O23</f>
        <v>20</v>
      </c>
      <c r="E861" s="232">
        <f ca="1">' K3 Regie4'!O28</f>
        <v>36.4</v>
      </c>
      <c r="F861" s="219">
        <f ca="1">SUM(' K3 Regie4'!O29)</f>
        <v>1.6</v>
      </c>
      <c r="G861" s="219">
        <f ca="1">SUM(' K3 Regie4'!O34)</f>
        <v>6.86</v>
      </c>
      <c r="H861" s="1049"/>
      <c r="I861" s="438"/>
      <c r="L861" s="216"/>
    </row>
    <row r="862" spans="1:12" ht="17.850000000000001" customHeight="1" x14ac:dyDescent="0.25">
      <c r="A862" s="776"/>
      <c r="B862" s="777"/>
      <c r="C862" s="774"/>
      <c r="D862" s="775"/>
      <c r="E862" s="774"/>
      <c r="F862" s="93">
        <f ca="1">SUM(' K3 Regie4'!O30:P32)</f>
        <v>38.659999999999997</v>
      </c>
      <c r="G862" s="93">
        <f>SUM(' K3 Regie4'!M39)</f>
        <v>0</v>
      </c>
      <c r="H862" s="218">
        <f ca="1">SUM(' K3 Regie4'!M43:P43)</f>
        <v>24.22</v>
      </c>
      <c r="I862" s="438"/>
      <c r="L862" s="216"/>
    </row>
    <row r="863" spans="1:12" ht="17.850000000000001" customHeight="1" x14ac:dyDescent="0.25">
      <c r="A863" s="87" t="str">
        <f>' K3 Regie4'!B10</f>
        <v>IIb.   Facharbeiter</v>
      </c>
      <c r="B863" s="160"/>
      <c r="C863" s="218"/>
      <c r="D863" s="93"/>
      <c r="E863" s="218"/>
      <c r="F863" s="234">
        <f ca="1">SUM(E861,F861,F862)</f>
        <v>76.66</v>
      </c>
      <c r="G863" s="234">
        <f ca="1">SUM(F863,G861,G862)</f>
        <v>83.52</v>
      </c>
      <c r="H863" s="1053">
        <f ca="1">SUM(G863,H862)</f>
        <v>107.74</v>
      </c>
      <c r="I863" s="438"/>
      <c r="L863" s="216"/>
    </row>
    <row r="864" spans="1:12" ht="17.850000000000001" customHeight="1" thickBot="1" x14ac:dyDescent="0.3">
      <c r="A864" s="68" t="str">
        <f>' K3 Regie4'!K11</f>
        <v>Überstunde 50%</v>
      </c>
      <c r="B864" s="62"/>
      <c r="C864" s="220" t="s">
        <v>59</v>
      </c>
      <c r="D864" s="221">
        <f ca="1">D861/$C861-1</f>
        <v>0</v>
      </c>
      <c r="E864" s="222">
        <f ca="1">E861/$C861-1</f>
        <v>0.82</v>
      </c>
      <c r="F864" s="221">
        <f ca="1">F863/$C861-1</f>
        <v>2.8330000000000002</v>
      </c>
      <c r="G864" s="221">
        <f ca="1">G863/$C861-1</f>
        <v>3.1760000000000002</v>
      </c>
      <c r="H864" s="222">
        <f ca="1">H863/$C861-1</f>
        <v>4.3869999999999996</v>
      </c>
      <c r="I864" s="438"/>
      <c r="L864" s="216"/>
    </row>
    <row r="865" spans="1:13" ht="17.850000000000001" customHeight="1" thickBot="1" x14ac:dyDescent="0.3">
      <c r="A865" s="2831"/>
      <c r="B865" s="2832"/>
      <c r="C865" s="2832"/>
      <c r="D865" s="2832"/>
      <c r="E865" s="2832"/>
      <c r="F865" s="2832"/>
      <c r="G865" s="2832"/>
      <c r="H865" s="2832"/>
      <c r="I865" s="438"/>
      <c r="L865" s="216"/>
    </row>
    <row r="866" spans="1:13" ht="17.850000000000001" customHeight="1" x14ac:dyDescent="0.25">
      <c r="A866" s="247" t="s">
        <v>693</v>
      </c>
      <c r="B866" s="243"/>
      <c r="C866" s="235">
        <f ca="1">' K3 Regie5'!O21</f>
        <v>9.5</v>
      </c>
      <c r="D866" s="236">
        <f ca="1">' K3 Regie5'!O23</f>
        <v>9.5</v>
      </c>
      <c r="E866" s="235">
        <f ca="1">' K3 Regie5'!O28</f>
        <v>12.29</v>
      </c>
      <c r="F866" s="219">
        <f ca="1">SUM(' K3 Regie5'!O29)</f>
        <v>1.6</v>
      </c>
      <c r="G866" s="219">
        <f ca="1">SUM(' K3 Regie5'!O34)</f>
        <v>3.88</v>
      </c>
      <c r="H866" s="1049"/>
      <c r="I866" s="438"/>
      <c r="L866" s="216"/>
    </row>
    <row r="867" spans="1:13" ht="17.850000000000001" customHeight="1" x14ac:dyDescent="0.25">
      <c r="A867" s="1099" t="str">
        <f>H693</f>
        <v>∑</v>
      </c>
      <c r="B867" s="777"/>
      <c r="C867" s="774"/>
      <c r="D867" s="775"/>
      <c r="E867" s="774"/>
      <c r="F867" s="93">
        <f ca="1">SUM(' K3 Regie5'!O30:P32)</f>
        <v>13.09</v>
      </c>
      <c r="G867" s="93">
        <f>SUM(' K3 Regie5'!M39)</f>
        <v>0</v>
      </c>
      <c r="H867" s="218">
        <f ca="1">SUM(' K3 Regie5'!M43:P43)</f>
        <v>8.9499999999999993</v>
      </c>
      <c r="I867" s="438"/>
      <c r="L867" s="216"/>
    </row>
    <row r="868" spans="1:13" ht="17.850000000000001" customHeight="1" x14ac:dyDescent="0.25">
      <c r="A868" s="87" t="str">
        <f>IF(COUNTA(A695:C699)=1,A695,"Regiepartie")</f>
        <v>Regiepartie</v>
      </c>
      <c r="B868" s="160"/>
      <c r="C868" s="218"/>
      <c r="D868" s="93"/>
      <c r="E868" s="218"/>
      <c r="F868" s="237">
        <f ca="1">SUM(E866,F866,F867)</f>
        <v>26.98</v>
      </c>
      <c r="G868" s="237">
        <f ca="1">SUM(F868,G866,G867)</f>
        <v>30.86</v>
      </c>
      <c r="H868" s="1054">
        <f ca="1">SUM(G868,H867)</f>
        <v>39.81</v>
      </c>
      <c r="I868" s="438"/>
      <c r="L868" s="216"/>
    </row>
    <row r="869" spans="1:13" ht="17.850000000000001" customHeight="1" thickBot="1" x14ac:dyDescent="0.3">
      <c r="A869" s="68" t="str">
        <f>' K3 Regie5'!K11</f>
        <v>Regiestunde</v>
      </c>
      <c r="B869" s="62"/>
      <c r="C869" s="220" t="s">
        <v>59</v>
      </c>
      <c r="D869" s="221">
        <f ca="1">D866/$C866-1</f>
        <v>0</v>
      </c>
      <c r="E869" s="222">
        <f ca="1">E866/$C866-1</f>
        <v>0.29370000000000002</v>
      </c>
      <c r="F869" s="221">
        <f ca="1">F868/$C866-1</f>
        <v>1.84</v>
      </c>
      <c r="G869" s="221">
        <f ca="1">G868/$C866-1</f>
        <v>2.2484000000000002</v>
      </c>
      <c r="H869" s="222">
        <f ca="1">H868/$C866-1</f>
        <v>3.1905000000000001</v>
      </c>
      <c r="I869" s="438"/>
      <c r="L869" s="216"/>
    </row>
    <row r="870" spans="1:13" ht="17.850000000000001" customHeight="1" thickBot="1" x14ac:dyDescent="0.3">
      <c r="A870" s="2831"/>
      <c r="B870" s="2832"/>
      <c r="C870" s="2832"/>
      <c r="D870" s="2832"/>
      <c r="E870" s="2832"/>
      <c r="F870" s="2832"/>
      <c r="G870" s="2832"/>
      <c r="H870" s="2832"/>
      <c r="I870" s="438"/>
      <c r="L870" s="216"/>
    </row>
    <row r="871" spans="1:13" ht="17.850000000000001" customHeight="1" x14ac:dyDescent="0.25">
      <c r="A871" s="822" t="s">
        <v>694</v>
      </c>
      <c r="B871" s="1058"/>
      <c r="C871" s="823">
        <f ca="1">' K3 Regie6'!O21</f>
        <v>20</v>
      </c>
      <c r="D871" s="824">
        <f ca="1">' K3 Regie6'!O23</f>
        <v>20</v>
      </c>
      <c r="E871" s="823">
        <f ca="1">' K3 Regie6'!O28</f>
        <v>24.3</v>
      </c>
      <c r="F871" s="219">
        <f ca="1">SUM(' K3 Regie6'!O29)</f>
        <v>1.6</v>
      </c>
      <c r="G871" s="219">
        <f ca="1">SUM(' K3 Regie6'!O34)</f>
        <v>5.36</v>
      </c>
      <c r="H871" s="1049"/>
      <c r="I871" s="438"/>
      <c r="L871" s="216"/>
    </row>
    <row r="872" spans="1:13" ht="17.850000000000001" customHeight="1" x14ac:dyDescent="0.25">
      <c r="A872" s="1099" t="str">
        <f>H767</f>
        <v>Ø</v>
      </c>
      <c r="B872" s="777"/>
      <c r="C872" s="774"/>
      <c r="D872" s="775"/>
      <c r="E872" s="774"/>
      <c r="F872" s="93">
        <f ca="1">SUM(' K3 Regie6'!O30:P32)</f>
        <v>25.83</v>
      </c>
      <c r="G872" s="93">
        <f>SUM(' K3 Regie6'!M39)</f>
        <v>0</v>
      </c>
      <c r="H872" s="218">
        <f ca="1">SUM(' K3 Regie6'!M43:P43)</f>
        <v>16.559999999999999</v>
      </c>
      <c r="I872" s="438"/>
      <c r="L872" s="216"/>
    </row>
    <row r="873" spans="1:13" ht="17.850000000000001" customHeight="1" x14ac:dyDescent="0.25">
      <c r="A873" s="87" t="str">
        <f>IF(COUNTA(A769:C773)=1,A769,"Regiepartie")</f>
        <v>Regiepartie</v>
      </c>
      <c r="B873" s="160"/>
      <c r="C873" s="218"/>
      <c r="D873" s="93"/>
      <c r="E873" s="218"/>
      <c r="F873" s="825">
        <f ca="1">SUM(E871,F871,F872)</f>
        <v>51.73</v>
      </c>
      <c r="G873" s="825">
        <f ca="1">SUM(F873,G871,G872)</f>
        <v>57.09</v>
      </c>
      <c r="H873" s="1055">
        <f ca="1">SUM(G873,H872)</f>
        <v>73.650000000000006</v>
      </c>
      <c r="I873" s="438"/>
      <c r="L873" s="216"/>
    </row>
    <row r="874" spans="1:13" ht="17.850000000000001" customHeight="1" thickBot="1" x14ac:dyDescent="0.3">
      <c r="A874" s="68" t="str">
        <f>' K3 Regie6'!K11</f>
        <v>Regiestunde</v>
      </c>
      <c r="B874" s="62"/>
      <c r="C874" s="220" t="s">
        <v>59</v>
      </c>
      <c r="D874" s="221">
        <f ca="1">D871/$C871-1</f>
        <v>0</v>
      </c>
      <c r="E874" s="222">
        <f ca="1">E871/$C871-1</f>
        <v>0.215</v>
      </c>
      <c r="F874" s="221">
        <f ca="1">F873/$C871-1</f>
        <v>1.5865</v>
      </c>
      <c r="G874" s="221">
        <f ca="1">G873/$C871-1</f>
        <v>1.8545</v>
      </c>
      <c r="H874" s="222">
        <f ca="1">H873/$C871-1</f>
        <v>2.6825000000000001</v>
      </c>
      <c r="I874" s="438"/>
      <c r="L874" s="216"/>
    </row>
    <row r="875" spans="1:13" ht="17.850000000000001" customHeight="1" x14ac:dyDescent="0.25">
      <c r="A875" s="1197"/>
      <c r="B875" s="438"/>
      <c r="C875" s="438"/>
      <c r="D875" s="438"/>
      <c r="E875" s="438"/>
      <c r="F875" s="438"/>
      <c r="G875" s="438"/>
      <c r="H875" s="438"/>
      <c r="I875" s="438"/>
      <c r="L875" s="216"/>
    </row>
    <row r="876" spans="1:13" ht="17.850000000000001" customHeight="1" x14ac:dyDescent="0.25">
      <c r="A876" s="2144" t="s">
        <v>905</v>
      </c>
      <c r="B876" s="2145"/>
      <c r="C876" s="2145"/>
      <c r="D876" s="2145"/>
      <c r="E876" s="2145"/>
      <c r="F876" s="2145"/>
      <c r="G876" s="2145"/>
      <c r="H876" s="2145"/>
      <c r="I876" s="438"/>
      <c r="L876" s="216"/>
    </row>
    <row r="877" spans="1:13" ht="17.850000000000001" customHeight="1" x14ac:dyDescent="0.25">
      <c r="A877" s="2225" t="s">
        <v>899</v>
      </c>
      <c r="B877" s="2226"/>
      <c r="C877" s="1067" t="s">
        <v>900</v>
      </c>
      <c r="D877" s="1067" t="s">
        <v>136</v>
      </c>
      <c r="E877" s="1067" t="s">
        <v>907</v>
      </c>
      <c r="F877" s="1067" t="s">
        <v>908</v>
      </c>
      <c r="G877" s="1059" t="s">
        <v>908</v>
      </c>
      <c r="H877" s="1076" t="s">
        <v>616</v>
      </c>
      <c r="I877" s="438"/>
      <c r="L877" s="216"/>
    </row>
    <row r="878" spans="1:13" ht="17.850000000000001" customHeight="1" x14ac:dyDescent="0.25">
      <c r="A878" s="1056" t="s">
        <v>18</v>
      </c>
      <c r="B878" s="212" t="s">
        <v>227</v>
      </c>
      <c r="C878" s="1068" t="s">
        <v>901</v>
      </c>
      <c r="D878" s="1072"/>
      <c r="E878" s="1072" t="s">
        <v>906</v>
      </c>
      <c r="F878" s="196" t="s">
        <v>76</v>
      </c>
      <c r="G878" s="1060" t="s">
        <v>909</v>
      </c>
      <c r="H878" s="501"/>
      <c r="I878" s="438"/>
      <c r="L878" s="216"/>
    </row>
    <row r="879" spans="1:13" ht="17.850000000000001" customHeight="1" x14ac:dyDescent="0.25">
      <c r="A879" s="1061">
        <f t="shared" ref="A879:A884" ca="1" si="86">INDIRECT("E"&amp;M879)</f>
        <v>0</v>
      </c>
      <c r="B879" s="1062">
        <f t="shared" ref="B879:B884" ca="1" si="87">INDIRECT("H"&amp;(M879+1))</f>
        <v>0</v>
      </c>
      <c r="C879" s="1069" t="str">
        <f t="shared" ref="C879:C884" ca="1" si="88">INDIRECT("D"&amp;(M879+8))</f>
        <v>Nein</v>
      </c>
      <c r="D879" s="1069" t="str">
        <f t="shared" ref="D879:D884" ca="1" si="89">INDIRECT("E"&amp;(M879+13))</f>
        <v>1. Standard (ÖN B 2110) ohne Zulagen</v>
      </c>
      <c r="E879" s="1069" t="str">
        <f t="shared" ref="E879:E884" ca="1" si="90">INDIRECT("E"&amp;(M879+18))</f>
        <v>1. Standard (ÖN B 2110) ohne Zuschlag</v>
      </c>
      <c r="F879" s="1073" t="str">
        <f t="shared" ref="F879:F884" ca="1" si="91">INDIRECT("H"&amp;(M879+45))</f>
        <v/>
      </c>
      <c r="G879" s="1198">
        <f t="shared" ref="G879:G884" ca="1" si="92">INDIRECT("H"&amp;(M879+48))</f>
        <v>0.28999999999999998</v>
      </c>
      <c r="H879" s="1073" t="str">
        <f ca="1">INDIRECT("A"&amp;(M879+52))</f>
        <v>Auswahl 2</v>
      </c>
      <c r="I879" s="438"/>
      <c r="L879" s="216"/>
      <c r="M879" s="1342">
        <v>425</v>
      </c>
    </row>
    <row r="880" spans="1:13" ht="17.850000000000001" customHeight="1" x14ac:dyDescent="0.25">
      <c r="A880" s="1063">
        <f t="shared" ca="1" si="86"/>
        <v>0</v>
      </c>
      <c r="B880" s="1064">
        <f t="shared" ca="1" si="87"/>
        <v>0</v>
      </c>
      <c r="C880" s="1070" t="str">
        <f t="shared" ca="1" si="88"/>
        <v>Nein</v>
      </c>
      <c r="D880" s="1070" t="str">
        <f t="shared" ca="1" si="89"/>
        <v>1. Standard (ÖN B 2110) ohne Zulagen</v>
      </c>
      <c r="E880" s="1070" t="str">
        <f t="shared" ca="1" si="90"/>
        <v>1. Standard (ÖN B 2110) ohne Zuschlag</v>
      </c>
      <c r="F880" s="1074" t="str">
        <f t="shared" ca="1" si="91"/>
        <v/>
      </c>
      <c r="G880" s="1199">
        <f t="shared" ca="1" si="92"/>
        <v>0.28999999999999998</v>
      </c>
      <c r="H880" s="1074" t="str">
        <f t="shared" ref="H880:H884" ca="1" si="93">INDIRECT("A"&amp;(M880+52))</f>
        <v>Auswahl 2</v>
      </c>
      <c r="I880" s="438"/>
      <c r="L880" s="216"/>
      <c r="M880" s="1342">
        <v>493</v>
      </c>
    </row>
    <row r="881" spans="1:13" ht="17.850000000000001" customHeight="1" x14ac:dyDescent="0.25">
      <c r="A881" s="1078">
        <f t="shared" ca="1" si="86"/>
        <v>0</v>
      </c>
      <c r="B881" s="1079">
        <f t="shared" ca="1" si="87"/>
        <v>0</v>
      </c>
      <c r="C881" s="1080" t="str">
        <f t="shared" ca="1" si="88"/>
        <v>Nein</v>
      </c>
      <c r="D881" s="1080" t="str">
        <f t="shared" ca="1" si="89"/>
        <v>1. Standard (ÖN B 2110) ohne Zulagen</v>
      </c>
      <c r="E881" s="1080" t="str">
        <f t="shared" ca="1" si="90"/>
        <v>1. Standard (ÖN B 2110) ohne Zuschlag</v>
      </c>
      <c r="F881" s="1081" t="str">
        <f t="shared" ca="1" si="91"/>
        <v/>
      </c>
      <c r="G881" s="1200">
        <f t="shared" ca="1" si="92"/>
        <v>0.28999999999999998</v>
      </c>
      <c r="H881" s="1081" t="str">
        <f t="shared" ca="1" si="93"/>
        <v>Auswahl 5</v>
      </c>
      <c r="I881" s="438"/>
      <c r="L881" s="216"/>
      <c r="M881" s="1342">
        <v>561</v>
      </c>
    </row>
    <row r="882" spans="1:13" ht="17.850000000000001" customHeight="1" x14ac:dyDescent="0.25">
      <c r="A882" s="1082">
        <f t="shared" ca="1" si="86"/>
        <v>0</v>
      </c>
      <c r="B882" s="1083">
        <f t="shared" ca="1" si="87"/>
        <v>0</v>
      </c>
      <c r="C882" s="1084" t="str">
        <f t="shared" ca="1" si="88"/>
        <v>Nein</v>
      </c>
      <c r="D882" s="1084" t="str">
        <f t="shared" ca="1" si="89"/>
        <v>1. Standard (ÖN B 2110) ohne Zulagen</v>
      </c>
      <c r="E882" s="1084" t="str">
        <f t="shared" ca="1" si="90"/>
        <v>4. Regie berechnen</v>
      </c>
      <c r="F882" s="1085" t="str">
        <f t="shared" ca="1" si="91"/>
        <v/>
      </c>
      <c r="G882" s="1201">
        <f t="shared" ca="1" si="92"/>
        <v>0.28999999999999998</v>
      </c>
      <c r="H882" s="1085" t="str">
        <f t="shared" ca="1" si="93"/>
        <v>Auswahl 5</v>
      </c>
      <c r="I882" s="438"/>
      <c r="L882" s="216"/>
      <c r="M882" s="1342">
        <v>629</v>
      </c>
    </row>
    <row r="883" spans="1:13" ht="17.850000000000001" customHeight="1" x14ac:dyDescent="0.25">
      <c r="A883" s="1086">
        <f t="shared" ca="1" si="86"/>
        <v>0</v>
      </c>
      <c r="B883" s="1087">
        <f t="shared" ca="1" si="87"/>
        <v>0</v>
      </c>
      <c r="C883" s="1088" t="str">
        <f t="shared" ca="1" si="88"/>
        <v>Nein</v>
      </c>
      <c r="D883" s="1088" t="str">
        <f t="shared" ca="1" si="89"/>
        <v>1. Standard (ÖN B 2110) ohne Zulagen</v>
      </c>
      <c r="E883" s="1088" t="str">
        <f t="shared" ca="1" si="90"/>
        <v>1. Standard (ÖN B 2110) ohne Zuschlag</v>
      </c>
      <c r="F883" s="1077" t="str">
        <f t="shared" ca="1" si="91"/>
        <v/>
      </c>
      <c r="G883" s="1202">
        <f t="shared" ca="1" si="92"/>
        <v>0.28999999999999998</v>
      </c>
      <c r="H883" s="1077" t="str">
        <f t="shared" ca="1" si="93"/>
        <v>Auswahl 2</v>
      </c>
      <c r="I883" s="438"/>
      <c r="L883" s="216"/>
      <c r="M883" s="1342">
        <v>703</v>
      </c>
    </row>
    <row r="884" spans="1:13" ht="17.850000000000001" customHeight="1" x14ac:dyDescent="0.25">
      <c r="A884" s="1065">
        <f t="shared" ca="1" si="86"/>
        <v>0</v>
      </c>
      <c r="B884" s="1066">
        <f t="shared" ca="1" si="87"/>
        <v>0</v>
      </c>
      <c r="C884" s="1071" t="str">
        <f t="shared" ca="1" si="88"/>
        <v>Nein</v>
      </c>
      <c r="D884" s="1071" t="str">
        <f t="shared" ca="1" si="89"/>
        <v>1. Standard (ÖN B 2110) ohne Zulagen</v>
      </c>
      <c r="E884" s="1071" t="str">
        <f t="shared" ca="1" si="90"/>
        <v>1. Standard (ÖN B 2110) ohne Zuschlag</v>
      </c>
      <c r="F884" s="1075" t="str">
        <f t="shared" ca="1" si="91"/>
        <v/>
      </c>
      <c r="G884" s="1203">
        <f t="shared" ca="1" si="92"/>
        <v>0.28999999999999998</v>
      </c>
      <c r="H884" s="1075" t="str">
        <f t="shared" ca="1" si="93"/>
        <v>Auswahl 2</v>
      </c>
      <c r="I884" s="438"/>
      <c r="L884" s="216"/>
      <c r="M884" s="1342">
        <v>777</v>
      </c>
    </row>
    <row r="885" spans="1:13" ht="17.850000000000001" customHeight="1" x14ac:dyDescent="0.25">
      <c r="A885" s="1204"/>
      <c r="B885" s="1205"/>
      <c r="C885" s="1205"/>
      <c r="D885" s="1205"/>
      <c r="E885" s="1205"/>
      <c r="F885" s="1205"/>
      <c r="G885" s="1205"/>
      <c r="H885" s="1205"/>
      <c r="I885" s="1205"/>
      <c r="J885" s="47"/>
      <c r="K885" s="47"/>
      <c r="L885" s="594"/>
    </row>
    <row r="886" spans="1:13" ht="17.850000000000001" customHeight="1" x14ac:dyDescent="0.25">
      <c r="A886" s="2881"/>
      <c r="B886" s="2881"/>
      <c r="C886" s="2881"/>
      <c r="D886" s="2881"/>
      <c r="E886" s="2881"/>
      <c r="F886" s="2881"/>
      <c r="G886" s="2881"/>
      <c r="H886" s="2881"/>
      <c r="I886" s="2881"/>
    </row>
  </sheetData>
  <sheetProtection password="B984" sheet="1" formatColumns="0" selectLockedCells="1"/>
  <mergeCells count="1090">
    <mergeCell ref="J323:L323"/>
    <mergeCell ref="J84:L85"/>
    <mergeCell ref="J98:L99"/>
    <mergeCell ref="A836:I836"/>
    <mergeCell ref="A886:I886"/>
    <mergeCell ref="F29:H29"/>
    <mergeCell ref="E28:H28"/>
    <mergeCell ref="J73:K74"/>
    <mergeCell ref="J116:L116"/>
    <mergeCell ref="J226:L226"/>
    <mergeCell ref="J460:L460"/>
    <mergeCell ref="J234:L235"/>
    <mergeCell ref="J236:L236"/>
    <mergeCell ref="J528:L528"/>
    <mergeCell ref="A117:I117"/>
    <mergeCell ref="A275:F275"/>
    <mergeCell ref="A267:H267"/>
    <mergeCell ref="J278:L279"/>
    <mergeCell ref="D164:F164"/>
    <mergeCell ref="A155:H155"/>
    <mergeCell ref="J425:L425"/>
    <mergeCell ref="G295:H296"/>
    <mergeCell ref="A236:G236"/>
    <mergeCell ref="A72:E72"/>
    <mergeCell ref="A291:D291"/>
    <mergeCell ref="J210:L212"/>
    <mergeCell ref="B517:D517"/>
    <mergeCell ref="J722:L722"/>
    <mergeCell ref="R55:S55"/>
    <mergeCell ref="A241:H241"/>
    <mergeCell ref="A151:F151"/>
    <mergeCell ref="A216:H216"/>
    <mergeCell ref="A217:H217"/>
    <mergeCell ref="M238:Q239"/>
    <mergeCell ref="M240:Q243"/>
    <mergeCell ref="J238:L239"/>
    <mergeCell ref="J240:L242"/>
    <mergeCell ref="A367:H367"/>
    <mergeCell ref="H59:H60"/>
    <mergeCell ref="J356:L356"/>
    <mergeCell ref="A307:D307"/>
    <mergeCell ref="H66:H67"/>
    <mergeCell ref="A70:B70"/>
    <mergeCell ref="F84:F86"/>
    <mergeCell ref="A87:B87"/>
    <mergeCell ref="D317:E317"/>
    <mergeCell ref="A312:H312"/>
    <mergeCell ref="J90:L90"/>
    <mergeCell ref="J91:L91"/>
    <mergeCell ref="J92:L92"/>
    <mergeCell ref="A123:B123"/>
    <mergeCell ref="A180:H180"/>
    <mergeCell ref="A176:C176"/>
    <mergeCell ref="D133:E133"/>
    <mergeCell ref="A186:C186"/>
    <mergeCell ref="A308:D308"/>
    <mergeCell ref="H132:H133"/>
    <mergeCell ref="J357:L364"/>
    <mergeCell ref="J365:L409"/>
    <mergeCell ref="K125:L125"/>
    <mergeCell ref="M415:U418"/>
    <mergeCell ref="K123:L123"/>
    <mergeCell ref="K124:L124"/>
    <mergeCell ref="J340:L341"/>
    <mergeCell ref="J355:L355"/>
    <mergeCell ref="C221:E221"/>
    <mergeCell ref="J221:L225"/>
    <mergeCell ref="A221:B221"/>
    <mergeCell ref="A251:E251"/>
    <mergeCell ref="J284:L286"/>
    <mergeCell ref="A208:B208"/>
    <mergeCell ref="G172:G173"/>
    <mergeCell ref="A774:D774"/>
    <mergeCell ref="A336:E336"/>
    <mergeCell ref="A442:E442"/>
    <mergeCell ref="A471:H471"/>
    <mergeCell ref="A669:D669"/>
    <mergeCell ref="A532:H532"/>
    <mergeCell ref="A648:D648"/>
    <mergeCell ref="A624:D624"/>
    <mergeCell ref="A621:H621"/>
    <mergeCell ref="A622:C623"/>
    <mergeCell ref="D622:H623"/>
    <mergeCell ref="A652:D652"/>
    <mergeCell ref="E637:F637"/>
    <mergeCell ref="A485:H485"/>
    <mergeCell ref="A486:C487"/>
    <mergeCell ref="D486:H487"/>
    <mergeCell ref="J679:L680"/>
    <mergeCell ref="J611:L612"/>
    <mergeCell ref="A755:B755"/>
    <mergeCell ref="K126:L126"/>
    <mergeCell ref="A712:D713"/>
    <mergeCell ref="J730:L730"/>
    <mergeCell ref="A716:C716"/>
    <mergeCell ref="E716:G716"/>
    <mergeCell ref="A704:G704"/>
    <mergeCell ref="A736:D736"/>
    <mergeCell ref="B727:D727"/>
    <mergeCell ref="A718:B718"/>
    <mergeCell ref="A747:H747"/>
    <mergeCell ref="A693:G693"/>
    <mergeCell ref="A759:I759"/>
    <mergeCell ref="J763:L763"/>
    <mergeCell ref="J769:L769"/>
    <mergeCell ref="J696:L696"/>
    <mergeCell ref="D714:F714"/>
    <mergeCell ref="A715:H715"/>
    <mergeCell ref="A722:D722"/>
    <mergeCell ref="A870:H870"/>
    <mergeCell ref="A865:H865"/>
    <mergeCell ref="A860:H860"/>
    <mergeCell ref="A855:H855"/>
    <mergeCell ref="A850:H850"/>
    <mergeCell ref="A845:H845"/>
    <mergeCell ref="A762:I762"/>
    <mergeCell ref="A433:C433"/>
    <mergeCell ref="A501:C501"/>
    <mergeCell ref="A569:C569"/>
    <mergeCell ref="A637:C637"/>
    <mergeCell ref="A711:C711"/>
    <mergeCell ref="A785:C785"/>
    <mergeCell ref="A834:A835"/>
    <mergeCell ref="B834:I835"/>
    <mergeCell ref="B805:D805"/>
    <mergeCell ref="D788:F788"/>
    <mergeCell ref="A789:H789"/>
    <mergeCell ref="A792:B792"/>
    <mergeCell ref="A796:D796"/>
    <mergeCell ref="A790:C790"/>
    <mergeCell ref="A770:C770"/>
    <mergeCell ref="A673:H673"/>
    <mergeCell ref="B653:D653"/>
    <mergeCell ref="D436:G436"/>
    <mergeCell ref="A851:B851"/>
    <mergeCell ref="D504:G504"/>
    <mergeCell ref="A516:D516"/>
    <mergeCell ref="E713:F713"/>
    <mergeCell ref="A756:B758"/>
    <mergeCell ref="C756:H758"/>
    <mergeCell ref="A810:D810"/>
    <mergeCell ref="A705:F705"/>
    <mergeCell ref="J743:L745"/>
    <mergeCell ref="J729:K729"/>
    <mergeCell ref="J703:L703"/>
    <mergeCell ref="J705:L705"/>
    <mergeCell ref="A753:B754"/>
    <mergeCell ref="A748:C748"/>
    <mergeCell ref="A751:C751"/>
    <mergeCell ref="J718:L721"/>
    <mergeCell ref="A706:H706"/>
    <mergeCell ref="A775:H775"/>
    <mergeCell ref="J753:L754"/>
    <mergeCell ref="H733:H735"/>
    <mergeCell ref="A780:H780"/>
    <mergeCell ref="A729:E729"/>
    <mergeCell ref="F733:F735"/>
    <mergeCell ref="G733:G735"/>
    <mergeCell ref="A732:D732"/>
    <mergeCell ref="A728:D728"/>
    <mergeCell ref="J723:L723"/>
    <mergeCell ref="A763:I763"/>
    <mergeCell ref="A764:C765"/>
    <mergeCell ref="D764:H765"/>
    <mergeCell ref="A766:C766"/>
    <mergeCell ref="D766:H766"/>
    <mergeCell ref="A767:G767"/>
    <mergeCell ref="A768:D768"/>
    <mergeCell ref="A769:C769"/>
    <mergeCell ref="A730:D730"/>
    <mergeCell ref="J706:L706"/>
    <mergeCell ref="D748:F748"/>
    <mergeCell ref="J727:L727"/>
    <mergeCell ref="J804:L804"/>
    <mergeCell ref="J822:L822"/>
    <mergeCell ref="J825:L825"/>
    <mergeCell ref="J827:L828"/>
    <mergeCell ref="A823:H823"/>
    <mergeCell ref="A824:H824"/>
    <mergeCell ref="A825:C825"/>
    <mergeCell ref="D825:F825"/>
    <mergeCell ref="D826:F826"/>
    <mergeCell ref="A813:D813"/>
    <mergeCell ref="A815:B815"/>
    <mergeCell ref="A816:H816"/>
    <mergeCell ref="A817:D817"/>
    <mergeCell ref="A818:E818"/>
    <mergeCell ref="A819:E819"/>
    <mergeCell ref="A820:E820"/>
    <mergeCell ref="A821:H821"/>
    <mergeCell ref="A822:C822"/>
    <mergeCell ref="D822:F822"/>
    <mergeCell ref="J817:L819"/>
    <mergeCell ref="A827:B828"/>
    <mergeCell ref="J812:L812"/>
    <mergeCell ref="J796:L796"/>
    <mergeCell ref="J797:L797"/>
    <mergeCell ref="J751:L751"/>
    <mergeCell ref="A798:D798"/>
    <mergeCell ref="A799:E799"/>
    <mergeCell ref="A739:D739"/>
    <mergeCell ref="A742:H742"/>
    <mergeCell ref="A744:E744"/>
    <mergeCell ref="A800:D800"/>
    <mergeCell ref="B801:D801"/>
    <mergeCell ref="A802:D802"/>
    <mergeCell ref="J800:L800"/>
    <mergeCell ref="J801:L801"/>
    <mergeCell ref="J803:K803"/>
    <mergeCell ref="J789:L790"/>
    <mergeCell ref="E787:F787"/>
    <mergeCell ref="A781:C781"/>
    <mergeCell ref="E785:F785"/>
    <mergeCell ref="A786:D787"/>
    <mergeCell ref="E786:F786"/>
    <mergeCell ref="E795:G795"/>
    <mergeCell ref="A741:B741"/>
    <mergeCell ref="J770:L770"/>
    <mergeCell ref="J771:L771"/>
    <mergeCell ref="J772:L772"/>
    <mergeCell ref="J773:L773"/>
    <mergeCell ref="J774:L775"/>
    <mergeCell ref="J776:L776"/>
    <mergeCell ref="J777:L777"/>
    <mergeCell ref="J779:L779"/>
    <mergeCell ref="J780:L780"/>
    <mergeCell ref="D752:F752"/>
    <mergeCell ref="B797:D797"/>
    <mergeCell ref="A750:H750"/>
    <mergeCell ref="A743:D743"/>
    <mergeCell ref="A738:D738"/>
    <mergeCell ref="A771:C771"/>
    <mergeCell ref="A733:D735"/>
    <mergeCell ref="E733:E735"/>
    <mergeCell ref="A726:D726"/>
    <mergeCell ref="A804:D804"/>
    <mergeCell ref="A806:D806"/>
    <mergeCell ref="A807:D809"/>
    <mergeCell ref="E807:E809"/>
    <mergeCell ref="F807:F809"/>
    <mergeCell ref="G807:G809"/>
    <mergeCell ref="H807:H809"/>
    <mergeCell ref="E790:G790"/>
    <mergeCell ref="A795:C795"/>
    <mergeCell ref="A737:D737"/>
    <mergeCell ref="A746:E746"/>
    <mergeCell ref="C753:H755"/>
    <mergeCell ref="J336:L339"/>
    <mergeCell ref="A446:D446"/>
    <mergeCell ref="A491:H491"/>
    <mergeCell ref="A426:G426"/>
    <mergeCell ref="A423:H423"/>
    <mergeCell ref="A361:F361"/>
    <mergeCell ref="A424:C424"/>
    <mergeCell ref="A422:D422"/>
    <mergeCell ref="A556:D556"/>
    <mergeCell ref="A557:C557"/>
    <mergeCell ref="A531:B531"/>
    <mergeCell ref="A599:B599"/>
    <mergeCell ref="D554:H555"/>
    <mergeCell ref="E571:F571"/>
    <mergeCell ref="A570:D571"/>
    <mergeCell ref="J585:L585"/>
    <mergeCell ref="A346:D346"/>
    <mergeCell ref="J475:L476"/>
    <mergeCell ref="A514:D514"/>
    <mergeCell ref="A55:D55"/>
    <mergeCell ref="E59:E60"/>
    <mergeCell ref="D143:D146"/>
    <mergeCell ref="A32:H32"/>
    <mergeCell ref="A45:D45"/>
    <mergeCell ref="A73:F73"/>
    <mergeCell ref="G66:G67"/>
    <mergeCell ref="A102:B102"/>
    <mergeCell ref="E110:G110"/>
    <mergeCell ref="A118:H118"/>
    <mergeCell ref="A39:C39"/>
    <mergeCell ref="A54:C54"/>
    <mergeCell ref="A44:C44"/>
    <mergeCell ref="A658:D658"/>
    <mergeCell ref="A412:I412"/>
    <mergeCell ref="A515:E515"/>
    <mergeCell ref="A495:F495"/>
    <mergeCell ref="A519:E519"/>
    <mergeCell ref="A505:H505"/>
    <mergeCell ref="A528:D528"/>
    <mergeCell ref="A512:D512"/>
    <mergeCell ref="A526:D526"/>
    <mergeCell ref="A481:I481"/>
    <mergeCell ref="A534:E534"/>
    <mergeCell ref="A580:D580"/>
    <mergeCell ref="B581:D581"/>
    <mergeCell ref="A582:D582"/>
    <mergeCell ref="A345:D345"/>
    <mergeCell ref="A349:I349"/>
    <mergeCell ref="C413:F413"/>
    <mergeCell ref="A414:I415"/>
    <mergeCell ref="E409:H409"/>
    <mergeCell ref="G297:H298"/>
    <mergeCell ref="A315:B315"/>
    <mergeCell ref="A65:H65"/>
    <mergeCell ref="A119:H119"/>
    <mergeCell ref="C120:C122"/>
    <mergeCell ref="D120:D122"/>
    <mergeCell ref="E120:F120"/>
    <mergeCell ref="G120:H120"/>
    <mergeCell ref="E121:E122"/>
    <mergeCell ref="F121:F122"/>
    <mergeCell ref="G121:G122"/>
    <mergeCell ref="H121:H122"/>
    <mergeCell ref="E141:I141"/>
    <mergeCell ref="A120:B121"/>
    <mergeCell ref="C143:C146"/>
    <mergeCell ref="D84:D86"/>
    <mergeCell ref="G84:G86"/>
    <mergeCell ref="A90:B90"/>
    <mergeCell ref="A108:B108"/>
    <mergeCell ref="A326:E326"/>
    <mergeCell ref="A428:H428"/>
    <mergeCell ref="E501:F501"/>
    <mergeCell ref="A461:D461"/>
    <mergeCell ref="A462:D462"/>
    <mergeCell ref="A448:D448"/>
    <mergeCell ref="A351:E351"/>
    <mergeCell ref="A339:E339"/>
    <mergeCell ref="A343:H343"/>
    <mergeCell ref="A484:I484"/>
    <mergeCell ref="A466:E466"/>
    <mergeCell ref="A467:E467"/>
    <mergeCell ref="J260:L264"/>
    <mergeCell ref="A287:D287"/>
    <mergeCell ref="K345:L348"/>
    <mergeCell ref="C319:E319"/>
    <mergeCell ref="J282:L283"/>
    <mergeCell ref="J449:L449"/>
    <mergeCell ref="A492:C492"/>
    <mergeCell ref="J452:L452"/>
    <mergeCell ref="A319:B319"/>
    <mergeCell ref="A261:G261"/>
    <mergeCell ref="A297:D297"/>
    <mergeCell ref="A364:H364"/>
    <mergeCell ref="G366:H366"/>
    <mergeCell ref="A283:D283"/>
    <mergeCell ref="A306:D306"/>
    <mergeCell ref="A342:I342"/>
    <mergeCell ref="A323:D323"/>
    <mergeCell ref="A420:D420"/>
    <mergeCell ref="A295:D295"/>
    <mergeCell ref="A309:H309"/>
    <mergeCell ref="A273:E273"/>
    <mergeCell ref="A317:C317"/>
    <mergeCell ref="A304:D304"/>
    <mergeCell ref="A278:H278"/>
    <mergeCell ref="A258:C258"/>
    <mergeCell ref="A224:F224"/>
    <mergeCell ref="A223:E223"/>
    <mergeCell ref="A222:F222"/>
    <mergeCell ref="A226:F226"/>
    <mergeCell ref="G132:G133"/>
    <mergeCell ref="A325:E325"/>
    <mergeCell ref="D242:F242"/>
    <mergeCell ref="C315:E315"/>
    <mergeCell ref="R474:T474"/>
    <mergeCell ref="R542:T542"/>
    <mergeCell ref="A416:I416"/>
    <mergeCell ref="B445:D445"/>
    <mergeCell ref="B453:D453"/>
    <mergeCell ref="A450:D450"/>
    <mergeCell ref="A469:H469"/>
    <mergeCell ref="J473:L473"/>
    <mergeCell ref="A458:D458"/>
    <mergeCell ref="G455:G457"/>
    <mergeCell ref="F455:F457"/>
    <mergeCell ref="J427:L427"/>
    <mergeCell ref="A494:G494"/>
    <mergeCell ref="C474:E474"/>
    <mergeCell ref="J437:L438"/>
    <mergeCell ref="J505:L506"/>
    <mergeCell ref="A318:F318"/>
    <mergeCell ref="A322:H322"/>
    <mergeCell ref="D316:E316"/>
    <mergeCell ref="F66:F67"/>
    <mergeCell ref="F204:F207"/>
    <mergeCell ref="G59:G60"/>
    <mergeCell ref="A94:B94"/>
    <mergeCell ref="A200:F200"/>
    <mergeCell ref="A230:H230"/>
    <mergeCell ref="A101:B101"/>
    <mergeCell ref="A237:H237"/>
    <mergeCell ref="A255:C255"/>
    <mergeCell ref="A235:G235"/>
    <mergeCell ref="F252:G252"/>
    <mergeCell ref="A129:B129"/>
    <mergeCell ref="A122:B122"/>
    <mergeCell ref="A157:E157"/>
    <mergeCell ref="A239:G239"/>
    <mergeCell ref="G201:H201"/>
    <mergeCell ref="B362:D362"/>
    <mergeCell ref="A292:D292"/>
    <mergeCell ref="A311:I311"/>
    <mergeCell ref="A310:H310"/>
    <mergeCell ref="G304:H307"/>
    <mergeCell ref="A316:C316"/>
    <mergeCell ref="E344:F344"/>
    <mergeCell ref="A350:B350"/>
    <mergeCell ref="E345:F345"/>
    <mergeCell ref="A320:C320"/>
    <mergeCell ref="D320:E320"/>
    <mergeCell ref="A324:E324"/>
    <mergeCell ref="E143:F143"/>
    <mergeCell ref="G352:H360"/>
    <mergeCell ref="F323:G323"/>
    <mergeCell ref="A299:F299"/>
    <mergeCell ref="A212:H212"/>
    <mergeCell ref="A214:C214"/>
    <mergeCell ref="A265:F265"/>
    <mergeCell ref="H172:H173"/>
    <mergeCell ref="A197:C197"/>
    <mergeCell ref="A198:C198"/>
    <mergeCell ref="A188:C188"/>
    <mergeCell ref="A174:C174"/>
    <mergeCell ref="G179:H179"/>
    <mergeCell ref="H104:H106"/>
    <mergeCell ref="H182:H183"/>
    <mergeCell ref="C104:C106"/>
    <mergeCell ref="J265:L266"/>
    <mergeCell ref="J256:L259"/>
    <mergeCell ref="J249:L255"/>
    <mergeCell ref="J243:L248"/>
    <mergeCell ref="E84:E89"/>
    <mergeCell ref="D104:D106"/>
    <mergeCell ref="A264:F264"/>
    <mergeCell ref="K127:L127"/>
    <mergeCell ref="K128:L128"/>
    <mergeCell ref="K129:L129"/>
    <mergeCell ref="B303:D303"/>
    <mergeCell ref="G182:G183"/>
    <mergeCell ref="A185:C185"/>
    <mergeCell ref="A284:D284"/>
    <mergeCell ref="B269:F269"/>
    <mergeCell ref="A204:B205"/>
    <mergeCell ref="A256:C256"/>
    <mergeCell ref="A234:G234"/>
    <mergeCell ref="A249:G249"/>
    <mergeCell ref="F243:G243"/>
    <mergeCell ref="A220:F220"/>
    <mergeCell ref="A228:E228"/>
    <mergeCell ref="G204:H206"/>
    <mergeCell ref="G190:H190"/>
    <mergeCell ref="A206:B207"/>
    <mergeCell ref="C205:C206"/>
    <mergeCell ref="A286:D286"/>
    <mergeCell ref="F251:G251"/>
    <mergeCell ref="A274:G274"/>
    <mergeCell ref="A285:D285"/>
    <mergeCell ref="B270:F270"/>
    <mergeCell ref="A242:C242"/>
    <mergeCell ref="A266:H266"/>
    <mergeCell ref="A252:E252"/>
    <mergeCell ref="G282:H284"/>
    <mergeCell ref="D193:D194"/>
    <mergeCell ref="A276:F276"/>
    <mergeCell ref="A271:G271"/>
    <mergeCell ref="A282:F282"/>
    <mergeCell ref="A289:D289"/>
    <mergeCell ref="A290:D290"/>
    <mergeCell ref="A246:H246"/>
    <mergeCell ref="D152:E152"/>
    <mergeCell ref="D153:E153"/>
    <mergeCell ref="A148:B148"/>
    <mergeCell ref="A169:I169"/>
    <mergeCell ref="G210:H210"/>
    <mergeCell ref="G215:H215"/>
    <mergeCell ref="D214:F214"/>
    <mergeCell ref="A2:A5"/>
    <mergeCell ref="J39:L39"/>
    <mergeCell ref="J40:L40"/>
    <mergeCell ref="C272:F272"/>
    <mergeCell ref="A272:B272"/>
    <mergeCell ref="A277:G277"/>
    <mergeCell ref="A281:D281"/>
    <mergeCell ref="A263:G263"/>
    <mergeCell ref="A196:C196"/>
    <mergeCell ref="A259:C259"/>
    <mergeCell ref="L27:L35"/>
    <mergeCell ref="J36:L36"/>
    <mergeCell ref="A79:D79"/>
    <mergeCell ref="A77:G77"/>
    <mergeCell ref="C98:C100"/>
    <mergeCell ref="A95:B95"/>
    <mergeCell ref="D98:D100"/>
    <mergeCell ref="A62:H62"/>
    <mergeCell ref="F98:F100"/>
    <mergeCell ref="F59:F60"/>
    <mergeCell ref="A225:D225"/>
    <mergeCell ref="A191:H191"/>
    <mergeCell ref="A232:H232"/>
    <mergeCell ref="J140:L141"/>
    <mergeCell ref="J42:L42"/>
    <mergeCell ref="J1:L5"/>
    <mergeCell ref="J18:K25"/>
    <mergeCell ref="C28:D28"/>
    <mergeCell ref="A43:C43"/>
    <mergeCell ref="J53:L53"/>
    <mergeCell ref="J54:L54"/>
    <mergeCell ref="A59:C59"/>
    <mergeCell ref="A1:I1"/>
    <mergeCell ref="D11:G11"/>
    <mergeCell ref="D12:G12"/>
    <mergeCell ref="D13:G13"/>
    <mergeCell ref="H6:I6"/>
    <mergeCell ref="B19:C19"/>
    <mergeCell ref="B18:C18"/>
    <mergeCell ref="A8:I8"/>
    <mergeCell ref="A14:C15"/>
    <mergeCell ref="J16:K17"/>
    <mergeCell ref="H11:I17"/>
    <mergeCell ref="A21:H21"/>
    <mergeCell ref="A20:E20"/>
    <mergeCell ref="C29:D29"/>
    <mergeCell ref="J57:L58"/>
    <mergeCell ref="A57:F57"/>
    <mergeCell ref="A31:I31"/>
    <mergeCell ref="B34:G34"/>
    <mergeCell ref="J37:L37"/>
    <mergeCell ref="A36:C36"/>
    <mergeCell ref="A37:C37"/>
    <mergeCell ref="A38:C38"/>
    <mergeCell ref="A56:G56"/>
    <mergeCell ref="A27:H27"/>
    <mergeCell ref="A58:H58"/>
    <mergeCell ref="J28:K29"/>
    <mergeCell ref="J32:K35"/>
    <mergeCell ref="L6:L20"/>
    <mergeCell ref="A11:C13"/>
    <mergeCell ref="A16:C17"/>
    <mergeCell ref="A7:I7"/>
    <mergeCell ref="A9:I10"/>
    <mergeCell ref="A30:H30"/>
    <mergeCell ref="A22:H26"/>
    <mergeCell ref="A35:C35"/>
    <mergeCell ref="E51:H51"/>
    <mergeCell ref="A51:C51"/>
    <mergeCell ref="A40:C40"/>
    <mergeCell ref="D6:G6"/>
    <mergeCell ref="D14:G15"/>
    <mergeCell ref="D16:G17"/>
    <mergeCell ref="F20:G20"/>
    <mergeCell ref="A28:B29"/>
    <mergeCell ref="F18:G19"/>
    <mergeCell ref="A33:H33"/>
    <mergeCell ref="D18:E19"/>
    <mergeCell ref="J43:L43"/>
    <mergeCell ref="J44:L44"/>
    <mergeCell ref="A50:H50"/>
    <mergeCell ref="A46:H49"/>
    <mergeCell ref="J6:K15"/>
    <mergeCell ref="J102:L102"/>
    <mergeCell ref="A137:B137"/>
    <mergeCell ref="J95:L96"/>
    <mergeCell ref="J97:L97"/>
    <mergeCell ref="J110:L110"/>
    <mergeCell ref="A128:B128"/>
    <mergeCell ref="A127:B127"/>
    <mergeCell ref="J38:L38"/>
    <mergeCell ref="G104:G106"/>
    <mergeCell ref="A104:B105"/>
    <mergeCell ref="J55:L56"/>
    <mergeCell ref="J61:L62"/>
    <mergeCell ref="A80:D80"/>
    <mergeCell ref="A88:B89"/>
    <mergeCell ref="A64:H64"/>
    <mergeCell ref="A75:I75"/>
    <mergeCell ref="A96:H96"/>
    <mergeCell ref="A84:B86"/>
    <mergeCell ref="C84:C86"/>
    <mergeCell ref="J47:L48"/>
    <mergeCell ref="J50:L52"/>
    <mergeCell ref="J89:L89"/>
    <mergeCell ref="A130:D130"/>
    <mergeCell ref="A61:D61"/>
    <mergeCell ref="A131:E131"/>
    <mergeCell ref="A126:B126"/>
    <mergeCell ref="A98:B99"/>
    <mergeCell ref="A41:C41"/>
    <mergeCell ref="A42:C42"/>
    <mergeCell ref="A60:D60"/>
    <mergeCell ref="A53:C53"/>
    <mergeCell ref="A76:H76"/>
    <mergeCell ref="J138:L138"/>
    <mergeCell ref="A140:H140"/>
    <mergeCell ref="A177:D177"/>
    <mergeCell ref="A147:B147"/>
    <mergeCell ref="J41:L41"/>
    <mergeCell ref="J45:L45"/>
    <mergeCell ref="J103:L103"/>
    <mergeCell ref="J157:L159"/>
    <mergeCell ref="D132:E132"/>
    <mergeCell ref="A136:B136"/>
    <mergeCell ref="A171:C171"/>
    <mergeCell ref="A172:C173"/>
    <mergeCell ref="D172:D173"/>
    <mergeCell ref="E172:E173"/>
    <mergeCell ref="F172:F173"/>
    <mergeCell ref="D171:H171"/>
    <mergeCell ref="E156:I156"/>
    <mergeCell ref="A141:D141"/>
    <mergeCell ref="A156:D156"/>
    <mergeCell ref="A143:B146"/>
    <mergeCell ref="A164:C164"/>
    <mergeCell ref="H152:H153"/>
    <mergeCell ref="G152:G153"/>
    <mergeCell ref="A92:B92"/>
    <mergeCell ref="A91:B91"/>
    <mergeCell ref="A93:B93"/>
    <mergeCell ref="A124:B124"/>
    <mergeCell ref="J87:L88"/>
    <mergeCell ref="A116:H116"/>
    <mergeCell ref="J93:L93"/>
    <mergeCell ref="J94:L94"/>
    <mergeCell ref="J101:L101"/>
    <mergeCell ref="J63:L69"/>
    <mergeCell ref="J71:L72"/>
    <mergeCell ref="A82:D82"/>
    <mergeCell ref="A74:H74"/>
    <mergeCell ref="A83:H83"/>
    <mergeCell ref="A71:F71"/>
    <mergeCell ref="G98:G100"/>
    <mergeCell ref="E98:E100"/>
    <mergeCell ref="A100:B100"/>
    <mergeCell ref="A78:D78"/>
    <mergeCell ref="A159:H159"/>
    <mergeCell ref="J168:L169"/>
    <mergeCell ref="L73:L75"/>
    <mergeCell ref="A149:B149"/>
    <mergeCell ref="D160:E160"/>
    <mergeCell ref="A112:G112"/>
    <mergeCell ref="A113:G113"/>
    <mergeCell ref="A81:D81"/>
    <mergeCell ref="A107:B107"/>
    <mergeCell ref="A97:G97"/>
    <mergeCell ref="A165:G165"/>
    <mergeCell ref="A154:F154"/>
    <mergeCell ref="A134:E134"/>
    <mergeCell ref="F134:G134"/>
    <mergeCell ref="H144:H146"/>
    <mergeCell ref="A63:D63"/>
    <mergeCell ref="H84:H86"/>
    <mergeCell ref="J151:K151"/>
    <mergeCell ref="J131:K131"/>
    <mergeCell ref="A103:B103"/>
    <mergeCell ref="A106:B106"/>
    <mergeCell ref="J142:L146"/>
    <mergeCell ref="G136:H136"/>
    <mergeCell ref="A111:H111"/>
    <mergeCell ref="A114:G114"/>
    <mergeCell ref="J114:L115"/>
    <mergeCell ref="L151:L153"/>
    <mergeCell ref="F104:F106"/>
    <mergeCell ref="A150:D150"/>
    <mergeCell ref="D213:F213"/>
    <mergeCell ref="A218:H218"/>
    <mergeCell ref="A152:C153"/>
    <mergeCell ref="A142:G142"/>
    <mergeCell ref="E144:E146"/>
    <mergeCell ref="F144:F146"/>
    <mergeCell ref="G144:G146"/>
    <mergeCell ref="H193:H194"/>
    <mergeCell ref="G193:G194"/>
    <mergeCell ref="A195:C195"/>
    <mergeCell ref="J207:L207"/>
    <mergeCell ref="A189:F189"/>
    <mergeCell ref="A170:H170"/>
    <mergeCell ref="A166:G166"/>
    <mergeCell ref="A109:B109"/>
    <mergeCell ref="A202:H202"/>
    <mergeCell ref="G143:H143"/>
    <mergeCell ref="K135:L137"/>
    <mergeCell ref="K147:L147"/>
    <mergeCell ref="J178:L180"/>
    <mergeCell ref="A168:H168"/>
    <mergeCell ref="A125:B125"/>
    <mergeCell ref="A175:C175"/>
    <mergeCell ref="K148:L148"/>
    <mergeCell ref="K149:L149"/>
    <mergeCell ref="R610:T610"/>
    <mergeCell ref="A601:D601"/>
    <mergeCell ref="A602:E602"/>
    <mergeCell ref="A603:E603"/>
    <mergeCell ref="A604:E604"/>
    <mergeCell ref="A530:D530"/>
    <mergeCell ref="A523:D525"/>
    <mergeCell ref="F523:F525"/>
    <mergeCell ref="A520:D520"/>
    <mergeCell ref="E523:E525"/>
    <mergeCell ref="A600:H600"/>
    <mergeCell ref="D606:F606"/>
    <mergeCell ref="A607:H607"/>
    <mergeCell ref="D609:F609"/>
    <mergeCell ref="D572:G572"/>
    <mergeCell ref="B589:D589"/>
    <mergeCell ref="F591:F593"/>
    <mergeCell ref="J557:L557"/>
    <mergeCell ref="E570:F570"/>
    <mergeCell ref="A608:H608"/>
    <mergeCell ref="J606:L606"/>
    <mergeCell ref="J609:L609"/>
    <mergeCell ref="E569:F569"/>
    <mergeCell ref="A527:D527"/>
    <mergeCell ref="A562:G562"/>
    <mergeCell ref="A533:D533"/>
    <mergeCell ref="C542:E542"/>
    <mergeCell ref="H591:H593"/>
    <mergeCell ref="D838:D840"/>
    <mergeCell ref="E838:E840"/>
    <mergeCell ref="C838:C840"/>
    <mergeCell ref="H838:H840"/>
    <mergeCell ref="J465:L467"/>
    <mergeCell ref="A675:H675"/>
    <mergeCell ref="E346:F346"/>
    <mergeCell ref="A497:C497"/>
    <mergeCell ref="A560:C560"/>
    <mergeCell ref="E711:F711"/>
    <mergeCell ref="G659:G661"/>
    <mergeCell ref="H659:H661"/>
    <mergeCell ref="E712:F712"/>
    <mergeCell ref="D674:F674"/>
    <mergeCell ref="C679:H681"/>
    <mergeCell ref="A674:C674"/>
    <mergeCell ref="A685:I685"/>
    <mergeCell ref="A702:C702"/>
    <mergeCell ref="E502:F502"/>
    <mergeCell ref="A508:B508"/>
    <mergeCell ref="A690:C691"/>
    <mergeCell ref="A679:B680"/>
    <mergeCell ref="A681:B681"/>
    <mergeCell ref="A699:C699"/>
    <mergeCell ref="A671:E671"/>
    <mergeCell ref="G350:H350"/>
    <mergeCell ref="G351:H351"/>
    <mergeCell ref="A368:H370"/>
    <mergeCell ref="E455:E457"/>
    <mergeCell ref="A666:D666"/>
    <mergeCell ref="J726:L726"/>
    <mergeCell ref="D751:F751"/>
    <mergeCell ref="A707:C707"/>
    <mergeCell ref="A841:B841"/>
    <mergeCell ref="J748:L748"/>
    <mergeCell ref="J715:L716"/>
    <mergeCell ref="J669:L671"/>
    <mergeCell ref="J738:L738"/>
    <mergeCell ref="J702:L702"/>
    <mergeCell ref="J700:L701"/>
    <mergeCell ref="F839:F840"/>
    <mergeCell ref="G838:G839"/>
    <mergeCell ref="A772:C772"/>
    <mergeCell ref="A773:C773"/>
    <mergeCell ref="A833:H833"/>
    <mergeCell ref="B760:I761"/>
    <mergeCell ref="J533:L535"/>
    <mergeCell ref="J601:L603"/>
    <mergeCell ref="J541:L541"/>
    <mergeCell ref="J588:L588"/>
    <mergeCell ref="A803:E803"/>
    <mergeCell ref="A664:D664"/>
    <mergeCell ref="A760:A761"/>
    <mergeCell ref="A776:C776"/>
    <mergeCell ref="A778:G778"/>
    <mergeCell ref="A779:F779"/>
    <mergeCell ref="A584:D584"/>
    <mergeCell ref="A676:H676"/>
    <mergeCell ref="A811:D811"/>
    <mergeCell ref="A812:D812"/>
    <mergeCell ref="A576:B576"/>
    <mergeCell ref="A558:D558"/>
    <mergeCell ref="A554:C555"/>
    <mergeCell ref="A672:E672"/>
    <mergeCell ref="A846:B846"/>
    <mergeCell ref="A700:D700"/>
    <mergeCell ref="A698:C698"/>
    <mergeCell ref="D418:H419"/>
    <mergeCell ref="A696:C696"/>
    <mergeCell ref="A535:E535"/>
    <mergeCell ref="A427:F427"/>
    <mergeCell ref="A429:C429"/>
    <mergeCell ref="A724:D724"/>
    <mergeCell ref="B731:D731"/>
    <mergeCell ref="B723:D723"/>
    <mergeCell ref="A667:B667"/>
    <mergeCell ref="A686:A687"/>
    <mergeCell ref="B686:I687"/>
    <mergeCell ref="A689:I689"/>
    <mergeCell ref="A665:D665"/>
    <mergeCell ref="A662:D662"/>
    <mergeCell ref="C678:E678"/>
    <mergeCell ref="A697:C697"/>
    <mergeCell ref="A701:H701"/>
    <mergeCell ref="A749:H749"/>
    <mergeCell ref="A745:E745"/>
    <mergeCell ref="A444:D444"/>
    <mergeCell ref="A460:D460"/>
    <mergeCell ref="A421:C421"/>
    <mergeCell ref="A440:B440"/>
    <mergeCell ref="A628:C628"/>
    <mergeCell ref="A590:D590"/>
    <mergeCell ref="A594:D594"/>
    <mergeCell ref="A595:D595"/>
    <mergeCell ref="A596:D596"/>
    <mergeCell ref="A597:D597"/>
    <mergeCell ref="E639:F639"/>
    <mergeCell ref="J625:L625"/>
    <mergeCell ref="J628:L628"/>
    <mergeCell ref="J629:L629"/>
    <mergeCell ref="J631:L631"/>
    <mergeCell ref="J632:L632"/>
    <mergeCell ref="J648:L648"/>
    <mergeCell ref="J649:L649"/>
    <mergeCell ref="D692:H692"/>
    <mergeCell ref="D677:F677"/>
    <mergeCell ref="A694:D694"/>
    <mergeCell ref="A695:C695"/>
    <mergeCell ref="A631:F631"/>
    <mergeCell ref="C615:H616"/>
    <mergeCell ref="A620:I620"/>
    <mergeCell ref="A683:B684"/>
    <mergeCell ref="C682:H682"/>
    <mergeCell ref="C683:H684"/>
    <mergeCell ref="A651:E651"/>
    <mergeCell ref="A670:E670"/>
    <mergeCell ref="A630:G630"/>
    <mergeCell ref="A626:D626"/>
    <mergeCell ref="A627:H627"/>
    <mergeCell ref="D690:H691"/>
    <mergeCell ref="J695:L695"/>
    <mergeCell ref="A163:E163"/>
    <mergeCell ref="A161:E161"/>
    <mergeCell ref="D204:E207"/>
    <mergeCell ref="A288:D288"/>
    <mergeCell ref="D470:F470"/>
    <mergeCell ref="D473:F473"/>
    <mergeCell ref="A496:H496"/>
    <mergeCell ref="A434:D435"/>
    <mergeCell ref="A473:C473"/>
    <mergeCell ref="A243:B243"/>
    <mergeCell ref="A591:D593"/>
    <mergeCell ref="C610:E610"/>
    <mergeCell ref="E591:E593"/>
    <mergeCell ref="A588:D588"/>
    <mergeCell ref="A334:H334"/>
    <mergeCell ref="E410:H410"/>
    <mergeCell ref="G207:H207"/>
    <mergeCell ref="A231:I231"/>
    <mergeCell ref="A279:I279"/>
    <mergeCell ref="A347:H347"/>
    <mergeCell ref="A184:C184"/>
    <mergeCell ref="A187:C187"/>
    <mergeCell ref="A178:F178"/>
    <mergeCell ref="G286:H287"/>
    <mergeCell ref="B300:D300"/>
    <mergeCell ref="B301:D301"/>
    <mergeCell ref="B302:D302"/>
    <mergeCell ref="A606:C606"/>
    <mergeCell ref="A609:C609"/>
    <mergeCell ref="A559:H559"/>
    <mergeCell ref="A340:H340"/>
    <mergeCell ref="A418:C419"/>
    <mergeCell ref="J445:L445"/>
    <mergeCell ref="J448:L448"/>
    <mergeCell ref="E434:F434"/>
    <mergeCell ref="A443:C443"/>
    <mergeCell ref="E443:G443"/>
    <mergeCell ref="J543:L544"/>
    <mergeCell ref="G523:G525"/>
    <mergeCell ref="A518:D518"/>
    <mergeCell ref="J560:L560"/>
    <mergeCell ref="A536:E536"/>
    <mergeCell ref="A598:D598"/>
    <mergeCell ref="B585:D585"/>
    <mergeCell ref="A586:D586"/>
    <mergeCell ref="E574:G574"/>
    <mergeCell ref="A539:H539"/>
    <mergeCell ref="A181:H181"/>
    <mergeCell ref="A182:C183"/>
    <mergeCell ref="D182:D183"/>
    <mergeCell ref="E182:E183"/>
    <mergeCell ref="F182:F183"/>
    <mergeCell ref="J596:L596"/>
    <mergeCell ref="A447:E447"/>
    <mergeCell ref="A451:E451"/>
    <mergeCell ref="J538:L538"/>
    <mergeCell ref="J562:L562"/>
    <mergeCell ref="J580:L580"/>
    <mergeCell ref="J581:L581"/>
    <mergeCell ref="A437:H437"/>
    <mergeCell ref="J189:L191"/>
    <mergeCell ref="J200:L202"/>
    <mergeCell ref="A211:H211"/>
    <mergeCell ref="A213:C213"/>
    <mergeCell ref="A199:C199"/>
    <mergeCell ref="E193:E194"/>
    <mergeCell ref="A280:H280"/>
    <mergeCell ref="A313:E313"/>
    <mergeCell ref="J495:L495"/>
    <mergeCell ref="A464:H464"/>
    <mergeCell ref="A470:C470"/>
    <mergeCell ref="J470:L470"/>
    <mergeCell ref="A475:B476"/>
    <mergeCell ref="A477:B477"/>
    <mergeCell ref="A478:B478"/>
    <mergeCell ref="C478:H478"/>
    <mergeCell ref="C479:H480"/>
    <mergeCell ref="C475:H477"/>
    <mergeCell ref="A479:B480"/>
    <mergeCell ref="A417:H417"/>
    <mergeCell ref="H455:H457"/>
    <mergeCell ref="A463:B463"/>
    <mergeCell ref="A472:H472"/>
    <mergeCell ref="A465:D465"/>
    <mergeCell ref="A489:C489"/>
    <mergeCell ref="A341:H341"/>
    <mergeCell ref="J307:L309"/>
    <mergeCell ref="A482:A483"/>
    <mergeCell ref="B482:I483"/>
    <mergeCell ref="A452:D452"/>
    <mergeCell ref="J421:L421"/>
    <mergeCell ref="J489:L489"/>
    <mergeCell ref="J492:L492"/>
    <mergeCell ref="J493:L493"/>
    <mergeCell ref="J494:L494"/>
    <mergeCell ref="J451:K451"/>
    <mergeCell ref="J764:L766"/>
    <mergeCell ref="A543:B544"/>
    <mergeCell ref="A545:B545"/>
    <mergeCell ref="A546:B546"/>
    <mergeCell ref="A547:B548"/>
    <mergeCell ref="C543:H545"/>
    <mergeCell ref="C546:H546"/>
    <mergeCell ref="C547:H548"/>
    <mergeCell ref="A611:B612"/>
    <mergeCell ref="A613:B613"/>
    <mergeCell ref="A615:B616"/>
    <mergeCell ref="J563:L563"/>
    <mergeCell ref="A564:H564"/>
    <mergeCell ref="A632:H632"/>
    <mergeCell ref="J655:K655"/>
    <mergeCell ref="J699:L699"/>
    <mergeCell ref="A552:I552"/>
    <mergeCell ref="A563:F563"/>
    <mergeCell ref="A573:H573"/>
    <mergeCell ref="A553:H553"/>
    <mergeCell ref="A692:C692"/>
    <mergeCell ref="A668:H668"/>
    <mergeCell ref="J664:L664"/>
    <mergeCell ref="A650:D650"/>
    <mergeCell ref="A656:D656"/>
    <mergeCell ref="B657:D657"/>
    <mergeCell ref="A655:E655"/>
    <mergeCell ref="A587:E587"/>
    <mergeCell ref="A642:C642"/>
    <mergeCell ref="E642:G642"/>
    <mergeCell ref="J697:L697"/>
    <mergeCell ref="J698:L698"/>
    <mergeCell ref="A110:C110"/>
    <mergeCell ref="J324:L324"/>
    <mergeCell ref="J325:L325"/>
    <mergeCell ref="J326:L326"/>
    <mergeCell ref="J440:L443"/>
    <mergeCell ref="J508:L511"/>
    <mergeCell ref="J576:L579"/>
    <mergeCell ref="J644:L647"/>
    <mergeCell ref="A647:C647"/>
    <mergeCell ref="E647:G647"/>
    <mergeCell ref="A721:C721"/>
    <mergeCell ref="E721:G721"/>
    <mergeCell ref="F193:F194"/>
    <mergeCell ref="A192:H192"/>
    <mergeCell ref="A193:C194"/>
    <mergeCell ref="A203:H203"/>
    <mergeCell ref="A179:E179"/>
    <mergeCell ref="A201:E201"/>
    <mergeCell ref="A190:E190"/>
    <mergeCell ref="A210:E210"/>
    <mergeCell ref="A215:E215"/>
    <mergeCell ref="J573:L574"/>
    <mergeCell ref="J561:L561"/>
    <mergeCell ref="J444:L444"/>
    <mergeCell ref="J424:L424"/>
    <mergeCell ref="J354:L354"/>
    <mergeCell ref="J350:L353"/>
    <mergeCell ref="A459:D459"/>
    <mergeCell ref="B449:D449"/>
    <mergeCell ref="A468:E468"/>
    <mergeCell ref="A488:D488"/>
    <mergeCell ref="J426:L426"/>
    <mergeCell ref="A837:I837"/>
    <mergeCell ref="A877:B877"/>
    <mergeCell ref="A876:H876"/>
    <mergeCell ref="J792:L795"/>
    <mergeCell ref="A262:C262"/>
    <mergeCell ref="J269:L269"/>
    <mergeCell ref="J270:L270"/>
    <mergeCell ref="J274:L274"/>
    <mergeCell ref="J291:L291"/>
    <mergeCell ref="J304:L304"/>
    <mergeCell ref="J276:L277"/>
    <mergeCell ref="A583:E583"/>
    <mergeCell ref="A614:B614"/>
    <mergeCell ref="J587:K587"/>
    <mergeCell ref="J512:L512"/>
    <mergeCell ref="J513:L513"/>
    <mergeCell ref="J516:L516"/>
    <mergeCell ref="J517:L517"/>
    <mergeCell ref="J520:L520"/>
    <mergeCell ref="A529:D529"/>
    <mergeCell ref="J656:L656"/>
    <mergeCell ref="J674:L674"/>
    <mergeCell ref="A633:C633"/>
    <mergeCell ref="A659:D661"/>
    <mergeCell ref="J689:L689"/>
    <mergeCell ref="J677:L677"/>
    <mergeCell ref="A725:E725"/>
    <mergeCell ref="E659:E661"/>
    <mergeCell ref="F659:F661"/>
    <mergeCell ref="A688:I688"/>
    <mergeCell ref="A663:D663"/>
    <mergeCell ref="A654:D654"/>
    <mergeCell ref="J690:L692"/>
    <mergeCell ref="A245:C245"/>
    <mergeCell ref="D245:F245"/>
    <mergeCell ref="E281:G281"/>
    <mergeCell ref="J652:L652"/>
    <mergeCell ref="J653:L653"/>
    <mergeCell ref="A605:H605"/>
    <mergeCell ref="J641:L642"/>
    <mergeCell ref="A644:B644"/>
    <mergeCell ref="E638:F638"/>
    <mergeCell ref="D640:G640"/>
    <mergeCell ref="B649:D649"/>
    <mergeCell ref="C611:H613"/>
    <mergeCell ref="J584:L584"/>
    <mergeCell ref="G591:G593"/>
    <mergeCell ref="A355:E355"/>
    <mergeCell ref="A455:D457"/>
    <mergeCell ref="E433:F433"/>
    <mergeCell ref="A506:C506"/>
    <mergeCell ref="E506:G506"/>
    <mergeCell ref="A574:C574"/>
    <mergeCell ref="A348:I348"/>
    <mergeCell ref="C411:D411"/>
    <mergeCell ref="E411:H411"/>
    <mergeCell ref="J519:K519"/>
    <mergeCell ref="A537:H537"/>
    <mergeCell ref="D538:F538"/>
    <mergeCell ref="A540:H540"/>
    <mergeCell ref="A625:C625"/>
    <mergeCell ref="D541:F541"/>
    <mergeCell ref="A502:D503"/>
    <mergeCell ref="E503:F503"/>
    <mergeCell ref="A550:A551"/>
    <mergeCell ref="B550:I551"/>
    <mergeCell ref="B513:D513"/>
    <mergeCell ref="H523:H525"/>
    <mergeCell ref="A321:C321"/>
    <mergeCell ref="D321:E321"/>
    <mergeCell ref="A344:D344"/>
    <mergeCell ref="A438:C438"/>
    <mergeCell ref="E438:G438"/>
    <mergeCell ref="A682:B682"/>
    <mergeCell ref="A579:C579"/>
    <mergeCell ref="E579:G579"/>
    <mergeCell ref="A565:C565"/>
    <mergeCell ref="A829:B829"/>
    <mergeCell ref="A830:B832"/>
    <mergeCell ref="C830:H832"/>
    <mergeCell ref="C827:H829"/>
    <mergeCell ref="A522:D522"/>
    <mergeCell ref="B521:D521"/>
    <mergeCell ref="A511:C511"/>
    <mergeCell ref="E511:G511"/>
    <mergeCell ref="A337:E337"/>
    <mergeCell ref="A338:E338"/>
    <mergeCell ref="A353:E354"/>
    <mergeCell ref="A365:D365"/>
    <mergeCell ref="A357:E360"/>
    <mergeCell ref="A454:D454"/>
    <mergeCell ref="A490:D490"/>
    <mergeCell ref="A618:A619"/>
    <mergeCell ref="B618:I619"/>
    <mergeCell ref="A617:I617"/>
    <mergeCell ref="A638:D639"/>
  </mergeCells>
  <conditionalFormatting sqref="A57">
    <cfRule type="expression" dxfId="569" priority="848">
      <formula>$J$57&lt;&gt;""</formula>
    </cfRule>
  </conditionalFormatting>
  <conditionalFormatting sqref="A142">
    <cfRule type="expression" dxfId="568" priority="813">
      <formula>AND(E141&lt;&gt;"",H142="Nein")</formula>
    </cfRule>
  </conditionalFormatting>
  <conditionalFormatting sqref="A300">
    <cfRule type="expression" dxfId="567" priority="860">
      <formula>$J$300&lt;&gt;""</formula>
    </cfRule>
  </conditionalFormatting>
  <conditionalFormatting sqref="A301">
    <cfRule type="expression" dxfId="566" priority="858">
      <formula>$J$301&lt;&gt;""</formula>
    </cfRule>
  </conditionalFormatting>
  <conditionalFormatting sqref="A302">
    <cfRule type="expression" dxfId="565" priority="857">
      <formula>$J$302&lt;&gt;""</formula>
    </cfRule>
  </conditionalFormatting>
  <conditionalFormatting sqref="A303">
    <cfRule type="expression" dxfId="564" priority="856">
      <formula>$J$303&lt;&gt;""</formula>
    </cfRule>
  </conditionalFormatting>
  <conditionalFormatting sqref="A444">
    <cfRule type="expression" dxfId="563" priority="941">
      <formula>$F$444=1</formula>
    </cfRule>
  </conditionalFormatting>
  <conditionalFormatting sqref="A512">
    <cfRule type="expression" dxfId="562" priority="506">
      <formula>$F$444=1</formula>
    </cfRule>
  </conditionalFormatting>
  <conditionalFormatting sqref="A580">
    <cfRule type="expression" dxfId="561" priority="488">
      <formula>$F$444=1</formula>
    </cfRule>
  </conditionalFormatting>
  <conditionalFormatting sqref="A648">
    <cfRule type="expression" dxfId="560" priority="471">
      <formula>$F$444=1</formula>
    </cfRule>
  </conditionalFormatting>
  <conditionalFormatting sqref="A722">
    <cfRule type="expression" dxfId="559" priority="454">
      <formula>$F$444=1</formula>
    </cfRule>
  </conditionalFormatting>
  <conditionalFormatting sqref="A796">
    <cfRule type="expression" dxfId="558" priority="253">
      <formula>$F$444=1</formula>
    </cfRule>
  </conditionalFormatting>
  <conditionalFormatting sqref="A28:B30">
    <cfRule type="expression" dxfId="557" priority="818">
      <formula>$J$28&lt;&gt;""</formula>
    </cfRule>
  </conditionalFormatting>
  <conditionalFormatting sqref="A90:B94">
    <cfRule type="duplicateValues" dxfId="556" priority="709"/>
  </conditionalFormatting>
  <conditionalFormatting sqref="A101:B103">
    <cfRule type="duplicateValues" dxfId="555" priority="802"/>
  </conditionalFormatting>
  <conditionalFormatting sqref="A107:B109">
    <cfRule type="duplicateValues" dxfId="554" priority="276"/>
  </conditionalFormatting>
  <conditionalFormatting sqref="A137:B137 A123:B129">
    <cfRule type="duplicateValues" dxfId="553" priority="275"/>
  </conditionalFormatting>
  <conditionalFormatting sqref="A137:B137">
    <cfRule type="duplicateValues" dxfId="552" priority="740"/>
  </conditionalFormatting>
  <conditionalFormatting sqref="A143:B146">
    <cfRule type="expression" dxfId="551" priority="103">
      <formula>$H$142&lt;&gt;$M$150</formula>
    </cfRule>
  </conditionalFormatting>
  <conditionalFormatting sqref="A147:B149">
    <cfRule type="duplicateValues" dxfId="550" priority="274"/>
    <cfRule type="duplicateValues" dxfId="549" priority="797"/>
  </conditionalFormatting>
  <conditionalFormatting sqref="A204:B205">
    <cfRule type="expression" dxfId="548" priority="94">
      <formula>$G$207=$M$210</formula>
    </cfRule>
  </conditionalFormatting>
  <conditionalFormatting sqref="A440:B440">
    <cfRule type="duplicateValues" dxfId="547" priority="1052"/>
  </conditionalFormatting>
  <conditionalFormatting sqref="A508:B508">
    <cfRule type="duplicateValues" dxfId="546" priority="175"/>
  </conditionalFormatting>
  <conditionalFormatting sqref="A576:B576">
    <cfRule type="duplicateValues" dxfId="545" priority="163"/>
  </conditionalFormatting>
  <conditionalFormatting sqref="A644:B644">
    <cfRule type="duplicateValues" dxfId="544" priority="152"/>
  </conditionalFormatting>
  <conditionalFormatting sqref="A718:B718">
    <cfRule type="duplicateValues" dxfId="543" priority="141"/>
  </conditionalFormatting>
  <conditionalFormatting sqref="A792:B792">
    <cfRule type="duplicateValues" dxfId="542" priority="130"/>
  </conditionalFormatting>
  <conditionalFormatting sqref="A36:C44">
    <cfRule type="duplicateValues" dxfId="541" priority="279"/>
  </conditionalFormatting>
  <conditionalFormatting sqref="A53:C54">
    <cfRule type="duplicateValues" dxfId="540" priority="278"/>
  </conditionalFormatting>
  <conditionalFormatting sqref="A174:C176">
    <cfRule type="duplicateValues" dxfId="539" priority="273"/>
  </conditionalFormatting>
  <conditionalFormatting sqref="A184:C188">
    <cfRule type="duplicateValues" dxfId="538" priority="799"/>
    <cfRule type="duplicateValues" dxfId="537" priority="272"/>
  </conditionalFormatting>
  <conditionalFormatting sqref="A195:C199">
    <cfRule type="duplicateValues" dxfId="536" priority="800"/>
    <cfRule type="duplicateValues" dxfId="535" priority="271"/>
  </conditionalFormatting>
  <conditionalFormatting sqref="A695:C699">
    <cfRule type="duplicateValues" dxfId="534" priority="63"/>
  </conditionalFormatting>
  <conditionalFormatting sqref="A769:C773">
    <cfRule type="duplicateValues" dxfId="533" priority="2201"/>
  </conditionalFormatting>
  <conditionalFormatting sqref="A95:D95 A96">
    <cfRule type="expression" dxfId="532" priority="837">
      <formula>AND(COUNT($C$90:$C$94)&lt;&gt;COUNT($D$90:$D$94),$H$77=_Ja)</formula>
    </cfRule>
  </conditionalFormatting>
  <conditionalFormatting sqref="A300:D300 G308:H308">
    <cfRule type="expression" dxfId="531" priority="83">
      <formula>$H$285=_Nein</formula>
    </cfRule>
  </conditionalFormatting>
  <conditionalFormatting sqref="A365:D365 E366:F366">
    <cfRule type="expression" dxfId="530" priority="2667">
      <formula>$A$365=$M$423</formula>
    </cfRule>
  </conditionalFormatting>
  <conditionalFormatting sqref="A365:D365">
    <cfRule type="expression" dxfId="529" priority="20">
      <formula>$A$365=$M$289</formula>
    </cfRule>
  </conditionalFormatting>
  <conditionalFormatting sqref="A448:D448">
    <cfRule type="expression" dxfId="528" priority="940">
      <formula>$F$448=1</formula>
    </cfRule>
  </conditionalFormatting>
  <conditionalFormatting sqref="A452:D452">
    <cfRule type="expression" dxfId="527" priority="793">
      <formula>$F$448=1</formula>
    </cfRule>
  </conditionalFormatting>
  <conditionalFormatting sqref="A516:D516">
    <cfRule type="expression" dxfId="526" priority="505">
      <formula>$F$448=1</formula>
    </cfRule>
  </conditionalFormatting>
  <conditionalFormatting sqref="A520:D520">
    <cfRule type="expression" dxfId="525" priority="504">
      <formula>$F$448=1</formula>
    </cfRule>
  </conditionalFormatting>
  <conditionalFormatting sqref="A584:D584">
    <cfRule type="expression" dxfId="524" priority="487">
      <formula>$F$448=1</formula>
    </cfRule>
  </conditionalFormatting>
  <conditionalFormatting sqref="A588:D588">
    <cfRule type="expression" dxfId="523" priority="486">
      <formula>$F$448=1</formula>
    </cfRule>
  </conditionalFormatting>
  <conditionalFormatting sqref="A652:D652">
    <cfRule type="expression" dxfId="522" priority="470">
      <formula>$F$448=1</formula>
    </cfRule>
  </conditionalFormatting>
  <conditionalFormatting sqref="A656:D656">
    <cfRule type="expression" dxfId="521" priority="469">
      <formula>$F$448=1</formula>
    </cfRule>
  </conditionalFormatting>
  <conditionalFormatting sqref="A726:D726">
    <cfRule type="expression" dxfId="520" priority="453">
      <formula>$F$448=1</formula>
    </cfRule>
  </conditionalFormatting>
  <conditionalFormatting sqref="A730:D730">
    <cfRule type="expression" dxfId="519" priority="452">
      <formula>$F$448=1</formula>
    </cfRule>
  </conditionalFormatting>
  <conditionalFormatting sqref="A800:D800">
    <cfRule type="expression" dxfId="518" priority="252">
      <formula>$F$448=1</formula>
    </cfRule>
  </conditionalFormatting>
  <conditionalFormatting sqref="A804:D804">
    <cfRule type="expression" dxfId="517" priority="251">
      <formula>$F$448=1</formula>
    </cfRule>
  </conditionalFormatting>
  <conditionalFormatting sqref="A243:E243">
    <cfRule type="expression" dxfId="516" priority="2280">
      <formula>$G$242="NEIN"</formula>
    </cfRule>
  </conditionalFormatting>
  <conditionalFormatting sqref="A336:E338">
    <cfRule type="duplicateValues" dxfId="515" priority="270"/>
    <cfRule type="duplicateValues" dxfId="514" priority="804"/>
  </conditionalFormatting>
  <conditionalFormatting sqref="A466:E468">
    <cfRule type="duplicateValues" dxfId="513" priority="269"/>
    <cfRule type="duplicateValues" dxfId="512" priority="331"/>
  </conditionalFormatting>
  <conditionalFormatting sqref="A534:E536">
    <cfRule type="duplicateValues" dxfId="511" priority="268"/>
    <cfRule type="duplicateValues" dxfId="510" priority="332"/>
  </conditionalFormatting>
  <conditionalFormatting sqref="A602:E604">
    <cfRule type="duplicateValues" dxfId="509" priority="267"/>
    <cfRule type="duplicateValues" dxfId="508" priority="329"/>
  </conditionalFormatting>
  <conditionalFormatting sqref="A670:E672">
    <cfRule type="duplicateValues" dxfId="507" priority="266"/>
  </conditionalFormatting>
  <conditionalFormatting sqref="A744:E746">
    <cfRule type="duplicateValues" dxfId="506" priority="265"/>
    <cfRule type="duplicateValues" dxfId="505" priority="281"/>
  </conditionalFormatting>
  <conditionalFormatting sqref="A818:E820">
    <cfRule type="duplicateValues" dxfId="504" priority="224"/>
    <cfRule type="duplicateValues" dxfId="503" priority="225"/>
    <cfRule type="duplicateValues" dxfId="502" priority="222"/>
  </conditionalFormatting>
  <conditionalFormatting sqref="A351:F351">
    <cfRule type="expression" dxfId="501" priority="71">
      <formula>$C$350&lt;&gt;$M$358</formula>
    </cfRule>
  </conditionalFormatting>
  <conditionalFormatting sqref="A355:F360">
    <cfRule type="expression" dxfId="500" priority="392">
      <formula>$F$354="Nein"</formula>
    </cfRule>
  </conditionalFormatting>
  <conditionalFormatting sqref="A142:G142">
    <cfRule type="expression" dxfId="499" priority="812">
      <formula>$J$140&lt;&gt;""</formula>
    </cfRule>
  </conditionalFormatting>
  <conditionalFormatting sqref="A51:H51">
    <cfRule type="expression" dxfId="498" priority="2441">
      <formula>$E$51=$M$74</formula>
    </cfRule>
  </conditionalFormatting>
  <conditionalFormatting sqref="A52:H56">
    <cfRule type="expression" dxfId="497" priority="2440">
      <formula>$E$51=$M$74</formula>
    </cfRule>
  </conditionalFormatting>
  <conditionalFormatting sqref="A56:H56 A57 G57:H57">
    <cfRule type="expression" dxfId="496" priority="711">
      <formula>$E$55=0</formula>
    </cfRule>
  </conditionalFormatting>
  <conditionalFormatting sqref="A56:H56">
    <cfRule type="expression" dxfId="495" priority="115">
      <formula>$E$55=0</formula>
    </cfRule>
  </conditionalFormatting>
  <conditionalFormatting sqref="A58:H58 A63:H63">
    <cfRule type="expression" dxfId="494" priority="3">
      <formula>$D$59=_Nein</formula>
    </cfRule>
  </conditionalFormatting>
  <conditionalFormatting sqref="A58:H58">
    <cfRule type="expression" dxfId="493" priority="55">
      <formula>$E$55=0</formula>
    </cfRule>
  </conditionalFormatting>
  <conditionalFormatting sqref="A78:H83">
    <cfRule type="expression" dxfId="492" priority="705">
      <formula>AND($H$77="Nein",$H$97="Nein")</formula>
    </cfRule>
  </conditionalFormatting>
  <conditionalFormatting sqref="A84:H94">
    <cfRule type="expression" dxfId="491" priority="277">
      <formula>$H$77="Nein"</formula>
    </cfRule>
  </conditionalFormatting>
  <conditionalFormatting sqref="A98:H109 J98:L109 A110:D110">
    <cfRule type="expression" dxfId="490" priority="27">
      <formula>$H$97=_Nein</formula>
    </cfRule>
  </conditionalFormatting>
  <conditionalFormatting sqref="A142:H142">
    <cfRule type="expression" dxfId="489" priority="52">
      <formula>$H$142&lt;&gt;$M$150</formula>
    </cfRule>
  </conditionalFormatting>
  <conditionalFormatting sqref="A142:H150 A151 G151:H151 A152:H153">
    <cfRule type="expression" dxfId="488" priority="704">
      <formula>$E$55=0</formula>
    </cfRule>
  </conditionalFormatting>
  <conditionalFormatting sqref="A147:H150 C143:H146 A151 G151:H151 A152:H153">
    <cfRule type="expression" dxfId="487" priority="1005">
      <formula>$H$142&lt;&gt;"INDIV"</formula>
    </cfRule>
  </conditionalFormatting>
  <conditionalFormatting sqref="A157:H157">
    <cfRule type="expression" dxfId="486" priority="688">
      <formula>SUM($G$61)=0</formula>
    </cfRule>
  </conditionalFormatting>
  <conditionalFormatting sqref="A179:H179">
    <cfRule type="expression" dxfId="485" priority="400">
      <formula>$H$178=0</formula>
    </cfRule>
  </conditionalFormatting>
  <conditionalFormatting sqref="A190:H190">
    <cfRule type="expression" dxfId="484" priority="398">
      <formula>$H$189=0</formula>
    </cfRule>
  </conditionalFormatting>
  <conditionalFormatting sqref="A201:H201">
    <cfRule type="expression" dxfId="483" priority="397">
      <formula>$H$200=0</formula>
    </cfRule>
  </conditionalFormatting>
  <conditionalFormatting sqref="A204:H207">
    <cfRule type="expression" dxfId="482" priority="50">
      <formula>$G$207=$M$210</formula>
    </cfRule>
  </conditionalFormatting>
  <conditionalFormatting sqref="A208:H211">
    <cfRule type="expression" dxfId="481" priority="51">
      <formula>$G$207=$M$210</formula>
    </cfRule>
  </conditionalFormatting>
  <conditionalFormatting sqref="A210:H210">
    <cfRule type="expression" dxfId="480" priority="1699">
      <formula>OR($H$209=0,$H$209="")</formula>
    </cfRule>
  </conditionalFormatting>
  <conditionalFormatting sqref="A215:H215">
    <cfRule type="expression" dxfId="479" priority="395">
      <formula>OR($H$214=0,$H$214="")</formula>
    </cfRule>
  </conditionalFormatting>
  <conditionalFormatting sqref="A246:H260">
    <cfRule type="expression" dxfId="478" priority="2277">
      <formula>$G$245=_Nein</formula>
    </cfRule>
  </conditionalFormatting>
  <conditionalFormatting sqref="A335:H340">
    <cfRule type="expression" dxfId="477" priority="82">
      <formula>$H$327=0</formula>
    </cfRule>
  </conditionalFormatting>
  <conditionalFormatting sqref="A345:H345">
    <cfRule type="expression" dxfId="476" priority="81">
      <formula>$H$327=0</formula>
    </cfRule>
    <cfRule type="expression" dxfId="475" priority="72">
      <formula>SUM($F$339,$H$339)=0</formula>
    </cfRule>
  </conditionalFormatting>
  <conditionalFormatting sqref="A422:H480 J418:L483 C846:H846 A847:H849 A879:H879">
    <cfRule type="expression" dxfId="474" priority="219">
      <formula>OR($A$421="",$D$421=$M$283)</formula>
    </cfRule>
  </conditionalFormatting>
  <conditionalFormatting sqref="A425:H425">
    <cfRule type="expression" dxfId="473" priority="56">
      <formula>$E$425=0</formula>
    </cfRule>
  </conditionalFormatting>
  <conditionalFormatting sqref="A426:H427">
    <cfRule type="expression" dxfId="472" priority="602">
      <formula>$E$424=0</formula>
    </cfRule>
  </conditionalFormatting>
  <conditionalFormatting sqref="A439:H441">
    <cfRule type="expression" dxfId="471" priority="1384">
      <formula>$E$438&lt;&gt;$M$440</formula>
    </cfRule>
  </conditionalFormatting>
  <conditionalFormatting sqref="A444:H453">
    <cfRule type="expression" dxfId="470" priority="80">
      <formula>$E$443&lt;&gt;$M$446</formula>
    </cfRule>
  </conditionalFormatting>
  <conditionalFormatting sqref="A445:H447 G444 E513">
    <cfRule type="expression" dxfId="469" priority="1054">
      <formula>$F$444&lt;&gt;$Q$31</formula>
    </cfRule>
  </conditionalFormatting>
  <conditionalFormatting sqref="A449:H451">
    <cfRule type="expression" dxfId="468" priority="2260">
      <formula>$F$448&lt;&gt;$Q$31</formula>
    </cfRule>
  </conditionalFormatting>
  <conditionalFormatting sqref="A453:H453">
    <cfRule type="expression" dxfId="467" priority="1055">
      <formula>$F$452&lt;&gt;$Q$31</formula>
    </cfRule>
  </conditionalFormatting>
  <conditionalFormatting sqref="A465:H469 A470 D470:H470 A471:H471 A533:H539 A601:H606 A669:H674 A743:H748 A817:H823">
    <cfRule type="expression" dxfId="466" priority="113">
      <formula>$G$327=0</formula>
    </cfRule>
  </conditionalFormatting>
  <conditionalFormatting sqref="A472:H472 A540 A750">
    <cfRule type="expression" dxfId="465" priority="509">
      <formula>G$327=0</formula>
    </cfRule>
  </conditionalFormatting>
  <conditionalFormatting sqref="A490:H548 J512:L551 J485:L507 J508 C851:H851 A852:H854 A880:H880">
    <cfRule type="expression" dxfId="464" priority="216">
      <formula>OR($A$489="",$D$489=$M$283)</formula>
    </cfRule>
  </conditionalFormatting>
  <conditionalFormatting sqref="A493:H493">
    <cfRule type="expression" dxfId="463" priority="57">
      <formula>$E$493=0</formula>
    </cfRule>
  </conditionalFormatting>
  <conditionalFormatting sqref="A494:H495">
    <cfRule type="expression" dxfId="462" priority="669">
      <formula>$E$493=0</formula>
    </cfRule>
  </conditionalFormatting>
  <conditionalFormatting sqref="A507:H509">
    <cfRule type="expression" dxfId="461" priority="1297">
      <formula>$E$506&lt;&gt;$M$508</formula>
    </cfRule>
  </conditionalFormatting>
  <conditionalFormatting sqref="A512:H521">
    <cfRule type="expression" dxfId="460" priority="112">
      <formula>$E$511&lt;&gt;$M$514</formula>
    </cfRule>
  </conditionalFormatting>
  <conditionalFormatting sqref="A514:H515 A513:D513 F513:H513">
    <cfRule type="expression" dxfId="459" priority="1056">
      <formula>$F$512&lt;&gt;$Q$31</formula>
    </cfRule>
  </conditionalFormatting>
  <conditionalFormatting sqref="A517:H519">
    <cfRule type="expression" dxfId="458" priority="1057">
      <formula>$F$516&lt;&gt;$Q$31</formula>
    </cfRule>
  </conditionalFormatting>
  <conditionalFormatting sqref="A521:H521">
    <cfRule type="expression" dxfId="457" priority="1058">
      <formula>$F$520&lt;&gt;$Q$31</formula>
    </cfRule>
  </conditionalFormatting>
  <conditionalFormatting sqref="A558:H616 J553:L575 J576 J580:L619 C856:H856 A857:H859 A881:H881">
    <cfRule type="expression" dxfId="456" priority="111">
      <formula>OR($A$557="",$D$557=$M$283)</formula>
    </cfRule>
  </conditionalFormatting>
  <conditionalFormatting sqref="A561:H561">
    <cfRule type="expression" dxfId="455" priority="58">
      <formula>$E$561=0</formula>
    </cfRule>
  </conditionalFormatting>
  <conditionalFormatting sqref="A562:H563">
    <cfRule type="expression" dxfId="454" priority="666">
      <formula>$E$561=0</formula>
    </cfRule>
  </conditionalFormatting>
  <conditionalFormatting sqref="A575:H577">
    <cfRule type="expression" dxfId="453" priority="1493">
      <formula>$E$574&lt;&gt;$M$576</formula>
    </cfRule>
  </conditionalFormatting>
  <conditionalFormatting sqref="A580:H589">
    <cfRule type="expression" dxfId="452" priority="475">
      <formula>$E$579&lt;&gt;$M$582</formula>
    </cfRule>
  </conditionalFormatting>
  <conditionalFormatting sqref="A581:H583 E649">
    <cfRule type="expression" dxfId="451" priority="2236">
      <formula>$F$580&lt;&gt;$Q$31</formula>
    </cfRule>
  </conditionalFormatting>
  <conditionalFormatting sqref="A585:H587">
    <cfRule type="expression" dxfId="450" priority="1060">
      <formula>$F$584&lt;&gt;$Q$31</formula>
    </cfRule>
  </conditionalFormatting>
  <conditionalFormatting sqref="A589:H589">
    <cfRule type="expression" dxfId="449" priority="1061">
      <formula>$F$588&lt;&gt;$Q$31</formula>
    </cfRule>
  </conditionalFormatting>
  <conditionalFormatting sqref="A606:H606 J606">
    <cfRule type="expression" dxfId="448" priority="45">
      <formula>SUM($F$602:$H$604)=0</formula>
    </cfRule>
  </conditionalFormatting>
  <conditionalFormatting sqref="A626:H684 J621:L643 J644 J648:L687 C861:H861 A862:H864 A882:H882">
    <cfRule type="expression" dxfId="447" priority="210">
      <formula>OR($A$625="",$D$625=$M$283)</formula>
    </cfRule>
  </conditionalFormatting>
  <conditionalFormatting sqref="A629:H629">
    <cfRule type="expression" dxfId="446" priority="59">
      <formula>$E$629=0</formula>
    </cfRule>
  </conditionalFormatting>
  <conditionalFormatting sqref="A630:H631">
    <cfRule type="expression" dxfId="445" priority="663">
      <formula>$E$629=0</formula>
    </cfRule>
  </conditionalFormatting>
  <conditionalFormatting sqref="A643:H645">
    <cfRule type="expression" dxfId="444" priority="1442">
      <formula>$E$642&lt;&gt;$M$644</formula>
    </cfRule>
  </conditionalFormatting>
  <conditionalFormatting sqref="A648:H657">
    <cfRule type="expression" dxfId="443" priority="109">
      <formula>$E$647&lt;&gt;$M$650</formula>
    </cfRule>
  </conditionalFormatting>
  <conditionalFormatting sqref="A650:H651 G648 A649:D649 F649:H649">
    <cfRule type="expression" dxfId="442" priority="1062">
      <formula>$F$648&lt;&gt;$Q$31</formula>
    </cfRule>
  </conditionalFormatting>
  <conditionalFormatting sqref="A653:H655">
    <cfRule type="expression" dxfId="441" priority="1063">
      <formula>$F$652&lt;&gt;$Q$31</formula>
    </cfRule>
  </conditionalFormatting>
  <conditionalFormatting sqref="A657:H657">
    <cfRule type="expression" dxfId="440" priority="1064">
      <formula>$F$656&lt;&gt;$Q$31</formula>
    </cfRule>
  </conditionalFormatting>
  <conditionalFormatting sqref="A674:H674 J674">
    <cfRule type="expression" dxfId="439" priority="44">
      <formula>SUM($F$670:$H$672)=0</formula>
    </cfRule>
  </conditionalFormatting>
  <conditionalFormatting sqref="A703:H703">
    <cfRule type="expression" dxfId="438" priority="62">
      <formula>$E$703=0</formula>
    </cfRule>
  </conditionalFormatting>
  <conditionalFormatting sqref="A704:H705">
    <cfRule type="expression" dxfId="437" priority="660">
      <formula>$E$703=0</formula>
    </cfRule>
  </conditionalFormatting>
  <conditionalFormatting sqref="A717:H719">
    <cfRule type="expression" dxfId="436" priority="1407">
      <formula>$E$716&lt;&gt;$M$718</formula>
    </cfRule>
  </conditionalFormatting>
  <conditionalFormatting sqref="A722:H731">
    <cfRule type="expression" dxfId="435" priority="108">
      <formula>$E$721&lt;&gt;$M$724</formula>
    </cfRule>
  </conditionalFormatting>
  <conditionalFormatting sqref="A723:H725">
    <cfRule type="expression" dxfId="434" priority="1065">
      <formula>$F$722&lt;&gt;$Q$31</formula>
    </cfRule>
  </conditionalFormatting>
  <conditionalFormatting sqref="A727:H729">
    <cfRule type="expression" dxfId="433" priority="451">
      <formula>$F$726&lt;&gt;$Q$31</formula>
    </cfRule>
  </conditionalFormatting>
  <conditionalFormatting sqref="A731:H731">
    <cfRule type="expression" dxfId="432" priority="1067">
      <formula>$F$730&lt;&gt;$Q$31</formula>
    </cfRule>
  </conditionalFormatting>
  <conditionalFormatting sqref="A748:H748 J748">
    <cfRule type="expression" dxfId="431" priority="43">
      <formula>SUM($F$744:$H$746)=0</formula>
    </cfRule>
  </conditionalFormatting>
  <conditionalFormatting sqref="A770:H832 J764:L768 J770:L791 J792 J796:L835 C871:H871 A872:H874 A884:H884">
    <cfRule type="expression" dxfId="430" priority="204">
      <formula>OR($A$769="",$D$769=$M$283)</formula>
    </cfRule>
  </conditionalFormatting>
  <conditionalFormatting sqref="A777:H777">
    <cfRule type="expression" dxfId="429" priority="61">
      <formula>$E$777=0</formula>
    </cfRule>
  </conditionalFormatting>
  <conditionalFormatting sqref="A778:H779">
    <cfRule type="expression" dxfId="428" priority="255">
      <formula>$E$777=0</formula>
    </cfRule>
  </conditionalFormatting>
  <conditionalFormatting sqref="A791:H793">
    <cfRule type="expression" dxfId="427" priority="1390">
      <formula>$E$790&lt;&gt;$M$792</formula>
    </cfRule>
  </conditionalFormatting>
  <conditionalFormatting sqref="A796:H805">
    <cfRule type="expression" dxfId="426" priority="106">
      <formula>$E$795&lt;&gt;$M$798</formula>
    </cfRule>
  </conditionalFormatting>
  <conditionalFormatting sqref="A797:H799 G796">
    <cfRule type="expression" dxfId="425" priority="262">
      <formula>$F$796&lt;&gt;$Q$31</formula>
    </cfRule>
  </conditionalFormatting>
  <conditionalFormatting sqref="A801:H803">
    <cfRule type="expression" dxfId="424" priority="263">
      <formula>$F$800&lt;&gt;$Q$31</formula>
    </cfRule>
  </conditionalFormatting>
  <conditionalFormatting sqref="A805:H805">
    <cfRule type="expression" dxfId="423" priority="264">
      <formula>$F$804&lt;&gt;$Q$31</formula>
    </cfRule>
  </conditionalFormatting>
  <conditionalFormatting sqref="A822:H822 J822">
    <cfRule type="expression" dxfId="422" priority="42">
      <formula>SUM($F$818:$H$820)=0</formula>
    </cfRule>
  </conditionalFormatting>
  <conditionalFormatting sqref="A7:I7">
    <cfRule type="expression" dxfId="421" priority="434">
      <formula>$A$7&lt;&gt;""</formula>
    </cfRule>
  </conditionalFormatting>
  <conditionalFormatting sqref="B362:D362">
    <cfRule type="cellIs" dxfId="420" priority="2517" operator="equal">
      <formula>$M$411</formula>
    </cfRule>
  </conditionalFormatting>
  <conditionalFormatting sqref="C350">
    <cfRule type="cellIs" dxfId="419" priority="571" operator="equal">
      <formula>0</formula>
    </cfRule>
  </conditionalFormatting>
  <conditionalFormatting sqref="C411">
    <cfRule type="colorScale" priority="25">
      <colorScale>
        <cfvo type="num" val="0"/>
        <cfvo type="num" val="60"/>
        <cfvo type="num" val="100"/>
        <color rgb="FFFF0000"/>
        <color rgb="FFD78C29"/>
        <color rgb="FFFFC000"/>
      </colorScale>
    </cfRule>
  </conditionalFormatting>
  <conditionalFormatting sqref="C28:D29">
    <cfRule type="cellIs" dxfId="418" priority="684" operator="equal">
      <formula>0</formula>
    </cfRule>
  </conditionalFormatting>
  <conditionalFormatting sqref="C221:E221 J221">
    <cfRule type="expression" dxfId="417" priority="30">
      <formula>$G$72=0</formula>
    </cfRule>
  </conditionalFormatting>
  <conditionalFormatting sqref="C315:E315 C319:E319 A324:E326">
    <cfRule type="duplicateValues" dxfId="416" priority="731"/>
  </conditionalFormatting>
  <conditionalFormatting sqref="D18 J18 J26:K26">
    <cfRule type="expression" dxfId="415" priority="852">
      <formula>$F$18=""</formula>
    </cfRule>
  </conditionalFormatting>
  <conditionalFormatting sqref="D36:D44 A34 H34">
    <cfRule type="expression" dxfId="414" priority="1003">
      <formula>$L$27&lt;&gt;""</formula>
    </cfRule>
  </conditionalFormatting>
  <conditionalFormatting sqref="D36:D44">
    <cfRule type="cellIs" dxfId="413" priority="975" operator="equal">
      <formula>0</formula>
    </cfRule>
  </conditionalFormatting>
  <conditionalFormatting sqref="D52:D54">
    <cfRule type="expression" dxfId="412" priority="2006">
      <formula>$E$51=$M$71</formula>
    </cfRule>
  </conditionalFormatting>
  <conditionalFormatting sqref="D53:D54">
    <cfRule type="expression" dxfId="411" priority="88">
      <formula>$F$61&gt;0.9</formula>
    </cfRule>
  </conditionalFormatting>
  <conditionalFormatting sqref="D59">
    <cfRule type="cellIs" dxfId="410" priority="6" operator="equal">
      <formula>"Ja"</formula>
    </cfRule>
    <cfRule type="cellIs" dxfId="409" priority="7" operator="equal">
      <formula>"Nein"</formula>
    </cfRule>
    <cfRule type="cellIs" dxfId="408" priority="5" operator="equal">
      <formula>0</formula>
    </cfRule>
  </conditionalFormatting>
  <conditionalFormatting sqref="D107:D109">
    <cfRule type="cellIs" dxfId="407" priority="976" operator="equal">
      <formula>0</formula>
    </cfRule>
  </conditionalFormatting>
  <conditionalFormatting sqref="D209">
    <cfRule type="cellIs" dxfId="406" priority="1594" operator="equal">
      <formula>0</formula>
    </cfRule>
  </conditionalFormatting>
  <conditionalFormatting sqref="D421">
    <cfRule type="cellIs" dxfId="405" priority="962" operator="equal">
      <formula>0</formula>
    </cfRule>
  </conditionalFormatting>
  <conditionalFormatting sqref="D424">
    <cfRule type="cellIs" dxfId="404" priority="961" operator="equal">
      <formula>0</formula>
    </cfRule>
  </conditionalFormatting>
  <conditionalFormatting sqref="D433">
    <cfRule type="cellIs" dxfId="403" priority="221" operator="equal">
      <formula>"Ja"</formula>
    </cfRule>
    <cfRule type="cellIs" dxfId="402" priority="220" operator="equal">
      <formula>0</formula>
    </cfRule>
    <cfRule type="cellIs" dxfId="401" priority="557" operator="equal">
      <formula>"Nein"</formula>
    </cfRule>
  </conditionalFormatting>
  <conditionalFormatting sqref="D489">
    <cfRule type="cellIs" dxfId="400" priority="960" operator="equal">
      <formula>0</formula>
    </cfRule>
  </conditionalFormatting>
  <conditionalFormatting sqref="D492">
    <cfRule type="cellIs" dxfId="399" priority="959" operator="equal">
      <formula>0</formula>
    </cfRule>
  </conditionalFormatting>
  <conditionalFormatting sqref="D501">
    <cfRule type="cellIs" dxfId="398" priority="2248" operator="equal">
      <formula>"Nein"</formula>
    </cfRule>
    <cfRule type="cellIs" dxfId="397" priority="217" operator="equal">
      <formula>0</formula>
    </cfRule>
    <cfRule type="cellIs" dxfId="396" priority="218" operator="equal">
      <formula>"Ja"</formula>
    </cfRule>
  </conditionalFormatting>
  <conditionalFormatting sqref="D557">
    <cfRule type="cellIs" dxfId="395" priority="924" operator="equal">
      <formula>0</formula>
    </cfRule>
  </conditionalFormatting>
  <conditionalFormatting sqref="D560">
    <cfRule type="cellIs" dxfId="394" priority="923" operator="equal">
      <formula>0</formula>
    </cfRule>
  </conditionalFormatting>
  <conditionalFormatting sqref="D569">
    <cfRule type="cellIs" dxfId="393" priority="213" operator="equal">
      <formula>0</formula>
    </cfRule>
    <cfRule type="cellIs" dxfId="392" priority="215" operator="equal">
      <formula>"Nein"</formula>
    </cfRule>
    <cfRule type="cellIs" dxfId="391" priority="214" operator="equal">
      <formula>"Ja"</formula>
    </cfRule>
  </conditionalFormatting>
  <conditionalFormatting sqref="D625">
    <cfRule type="cellIs" dxfId="390" priority="914" operator="equal">
      <formula>0</formula>
    </cfRule>
  </conditionalFormatting>
  <conditionalFormatting sqref="D628">
    <cfRule type="cellIs" dxfId="389" priority="913" operator="equal">
      <formula>0</formula>
    </cfRule>
  </conditionalFormatting>
  <conditionalFormatting sqref="D637">
    <cfRule type="cellIs" dxfId="388" priority="2224" operator="equal">
      <formula>"Nein"</formula>
    </cfRule>
    <cfRule type="cellIs" dxfId="387" priority="212" operator="equal">
      <formula>"Ja"</formula>
    </cfRule>
    <cfRule type="cellIs" dxfId="386" priority="211" operator="equal">
      <formula>0</formula>
    </cfRule>
  </conditionalFormatting>
  <conditionalFormatting sqref="D695:D699">
    <cfRule type="cellIs" dxfId="385" priority="879" operator="equal">
      <formula>0</formula>
    </cfRule>
  </conditionalFormatting>
  <conditionalFormatting sqref="D702">
    <cfRule type="cellIs" dxfId="384" priority="878" operator="equal">
      <formula>0</formula>
    </cfRule>
  </conditionalFormatting>
  <conditionalFormatting sqref="D711">
    <cfRule type="cellIs" dxfId="383" priority="209" operator="equal">
      <formula>"Nein"</formula>
    </cfRule>
    <cfRule type="cellIs" dxfId="382" priority="208" operator="equal">
      <formula>"Ja"</formula>
    </cfRule>
    <cfRule type="cellIs" dxfId="381" priority="207" operator="equal">
      <formula>0</formula>
    </cfRule>
  </conditionalFormatting>
  <conditionalFormatting sqref="D769:D773">
    <cfRule type="cellIs" dxfId="380" priority="261" operator="equal">
      <formula>0</formula>
    </cfRule>
  </conditionalFormatting>
  <conditionalFormatting sqref="D776">
    <cfRule type="cellIs" dxfId="379" priority="260" operator="equal">
      <formula>0</formula>
    </cfRule>
  </conditionalFormatting>
  <conditionalFormatting sqref="D785">
    <cfRule type="cellIs" dxfId="378" priority="206" operator="equal">
      <formula>"Ja"</formula>
    </cfRule>
    <cfRule type="cellIs" dxfId="377" priority="205" operator="equal">
      <formula>0</formula>
    </cfRule>
    <cfRule type="cellIs" dxfId="376" priority="223" operator="equal">
      <formula>"Nein"</formula>
    </cfRule>
  </conditionalFormatting>
  <conditionalFormatting sqref="D350:F350">
    <cfRule type="expression" dxfId="375" priority="2261">
      <formula>$C$350&lt;&gt;$M$358</formula>
    </cfRule>
  </conditionalFormatting>
  <conditionalFormatting sqref="D470:F470">
    <cfRule type="expression" dxfId="374" priority="346">
      <formula>AND(SUM($F$466:$G$468)&lt;&gt;0,$G$470=0,$D$470=0)</formula>
    </cfRule>
  </conditionalFormatting>
  <conditionalFormatting sqref="D12:G12">
    <cfRule type="expression" dxfId="373" priority="866">
      <formula>$D$12=0</formula>
    </cfRule>
  </conditionalFormatting>
  <conditionalFormatting sqref="D13:G13">
    <cfRule type="expression" dxfId="372" priority="865">
      <formula>$D$13=0</formula>
    </cfRule>
  </conditionalFormatting>
  <conditionalFormatting sqref="E36:E44">
    <cfRule type="expression" dxfId="371" priority="828">
      <formula>AND(SUM($D36)=0,$E36&gt;0)</formula>
    </cfRule>
  </conditionalFormatting>
  <conditionalFormatting sqref="E45 E55">
    <cfRule type="expression" dxfId="370" priority="67">
      <formula>$E$55&gt;0+$E$45</formula>
    </cfRule>
  </conditionalFormatting>
  <conditionalFormatting sqref="E45">
    <cfRule type="expression" dxfId="369" priority="1004">
      <formula>$L$27&lt;&gt;""</formula>
    </cfRule>
  </conditionalFormatting>
  <conditionalFormatting sqref="E51">
    <cfRule type="cellIs" dxfId="368" priority="85" operator="equal">
      <formula>0</formula>
    </cfRule>
  </conditionalFormatting>
  <conditionalFormatting sqref="E53:E54">
    <cfRule type="expression" dxfId="367" priority="2439">
      <formula>OR($E$51=$M$73,$E$51=$M$72)</formula>
    </cfRule>
  </conditionalFormatting>
  <conditionalFormatting sqref="E90:E94 E101:E103">
    <cfRule type="cellIs" dxfId="366" priority="604" operator="equal">
      <formula>0</formula>
    </cfRule>
  </conditionalFormatting>
  <conditionalFormatting sqref="E141">
    <cfRule type="expression" dxfId="365" priority="816">
      <formula>$H$142="Nein"</formula>
    </cfRule>
  </conditionalFormatting>
  <conditionalFormatting sqref="E156">
    <cfRule type="expression" dxfId="364" priority="193">
      <formula>$H$142="Nein"</formula>
    </cfRule>
  </conditionalFormatting>
  <conditionalFormatting sqref="E174:E177">
    <cfRule type="cellIs" dxfId="363" priority="96" operator="equal">
      <formula>0</formula>
    </cfRule>
  </conditionalFormatting>
  <conditionalFormatting sqref="E184:E188">
    <cfRule type="cellIs" dxfId="362" priority="98" operator="equal">
      <formula>0</formula>
    </cfRule>
  </conditionalFormatting>
  <conditionalFormatting sqref="E195:E199">
    <cfRule type="cellIs" dxfId="361" priority="101" operator="equal">
      <formula>0</formula>
    </cfRule>
    <cfRule type="cellIs" dxfId="360" priority="100" operator="equal">
      <formula>0</formula>
    </cfRule>
  </conditionalFormatting>
  <conditionalFormatting sqref="E422 E424">
    <cfRule type="duplicateValues" dxfId="359" priority="69"/>
  </conditionalFormatting>
  <conditionalFormatting sqref="E490 E493">
    <cfRule type="duplicateValues" dxfId="358" priority="66"/>
  </conditionalFormatting>
  <conditionalFormatting sqref="E558 E561">
    <cfRule type="duplicateValues" dxfId="357" priority="65"/>
  </conditionalFormatting>
  <conditionalFormatting sqref="E626 E629">
    <cfRule type="duplicateValues" dxfId="356" priority="64"/>
  </conditionalFormatting>
  <conditionalFormatting sqref="E700 E703">
    <cfRule type="duplicateValues" dxfId="355" priority="441"/>
  </conditionalFormatting>
  <conditionalFormatting sqref="E774 E776">
    <cfRule type="duplicateValues" dxfId="354" priority="60"/>
  </conditionalFormatting>
  <conditionalFormatting sqref="E295:F295">
    <cfRule type="cellIs" dxfId="353" priority="12" operator="equal">
      <formula>0</formula>
    </cfRule>
  </conditionalFormatting>
  <conditionalFormatting sqref="E297:F297">
    <cfRule type="cellIs" dxfId="352" priority="15" operator="equal">
      <formula>0</formula>
    </cfRule>
  </conditionalFormatting>
  <conditionalFormatting sqref="E300:F303">
    <cfRule type="uniqueValues" dxfId="351" priority="426"/>
  </conditionalFormatting>
  <conditionalFormatting sqref="E345:F345">
    <cfRule type="cellIs" dxfId="350" priority="348" operator="equal">
      <formula>0</formula>
    </cfRule>
  </conditionalFormatting>
  <conditionalFormatting sqref="E346:F346">
    <cfRule type="expression" dxfId="349" priority="347">
      <formula>AND($E$346=0,($F$339+$H$339)&lt;&gt;0)</formula>
    </cfRule>
  </conditionalFormatting>
  <conditionalFormatting sqref="E365:F365">
    <cfRule type="expression" dxfId="348" priority="2670">
      <formula>$A$365=$M$423</formula>
    </cfRule>
    <cfRule type="expression" dxfId="347" priority="2669">
      <formula>$A$365=$M$424</formula>
    </cfRule>
  </conditionalFormatting>
  <conditionalFormatting sqref="E441:F441">
    <cfRule type="cellIs" dxfId="346" priority="377" operator="between">
      <formula>0</formula>
      <formula>0</formula>
    </cfRule>
  </conditionalFormatting>
  <conditionalFormatting sqref="E509:F509">
    <cfRule type="cellIs" dxfId="345" priority="169" operator="between">
      <formula>0</formula>
      <formula>0</formula>
    </cfRule>
  </conditionalFormatting>
  <conditionalFormatting sqref="E577:F577">
    <cfRule type="cellIs" dxfId="344" priority="157" operator="between">
      <formula>0</formula>
      <formula>0</formula>
    </cfRule>
  </conditionalFormatting>
  <conditionalFormatting sqref="E645:F645">
    <cfRule type="cellIs" dxfId="343" priority="146" operator="between">
      <formula>0</formula>
      <formula>0</formula>
    </cfRule>
  </conditionalFormatting>
  <conditionalFormatting sqref="E719:F719">
    <cfRule type="cellIs" dxfId="342" priority="135" operator="between">
      <formula>0</formula>
      <formula>0</formula>
    </cfRule>
  </conditionalFormatting>
  <conditionalFormatting sqref="E793:F793">
    <cfRule type="cellIs" dxfId="341" priority="124" operator="between">
      <formula>0</formula>
      <formula>0</formula>
    </cfRule>
  </conditionalFormatting>
  <conditionalFormatting sqref="E438:G438 E443:G443">
    <cfRule type="cellIs" dxfId="340" priority="105" operator="equal">
      <formula>0</formula>
    </cfRule>
  </conditionalFormatting>
  <conditionalFormatting sqref="E506:G506 E511:G511">
    <cfRule type="cellIs" dxfId="339" priority="104" operator="equal">
      <formula>0</formula>
    </cfRule>
  </conditionalFormatting>
  <conditionalFormatting sqref="E574:G574">
    <cfRule type="cellIs" dxfId="338" priority="154" operator="equal">
      <formula>0</formula>
    </cfRule>
  </conditionalFormatting>
  <conditionalFormatting sqref="E642:G642">
    <cfRule type="cellIs" dxfId="337" priority="143" operator="equal">
      <formula>0</formula>
    </cfRule>
  </conditionalFormatting>
  <conditionalFormatting sqref="E716:G716">
    <cfRule type="cellIs" dxfId="336" priority="132" operator="equal">
      <formula>0</formula>
    </cfRule>
  </conditionalFormatting>
  <conditionalFormatting sqref="E790:G790">
    <cfRule type="cellIs" dxfId="335" priority="121" operator="equal">
      <formula>0</formula>
    </cfRule>
  </conditionalFormatting>
  <conditionalFormatting sqref="E51:H51">
    <cfRule type="cellIs" dxfId="334" priority="8" operator="equal">
      <formula>$M$74</formula>
    </cfRule>
  </conditionalFormatting>
  <conditionalFormatting sqref="E59:H59 A60:H62">
    <cfRule type="expression" dxfId="333" priority="4">
      <formula>$D$59=_Nein</formula>
    </cfRule>
  </conditionalFormatting>
  <conditionalFormatting sqref="E123:H129">
    <cfRule type="cellIs" dxfId="332" priority="992" operator="between">
      <formula>0</formula>
      <formula>0</formula>
    </cfRule>
  </conditionalFormatting>
  <conditionalFormatting sqref="E137:H137">
    <cfRule type="cellIs" dxfId="331" priority="38" operator="between">
      <formula>0</formula>
      <formula>0</formula>
    </cfRule>
  </conditionalFormatting>
  <conditionalFormatting sqref="E147:H149">
    <cfRule type="cellIs" dxfId="330" priority="991" operator="between">
      <formula>0</formula>
      <formula>0</formula>
    </cfRule>
  </conditionalFormatting>
  <conditionalFormatting sqref="E346:H346">
    <cfRule type="expression" dxfId="329" priority="861">
      <formula>$H$327=0</formula>
    </cfRule>
    <cfRule type="expression" dxfId="328" priority="73">
      <formula>SUM($F$339,$H$339)=0</formula>
    </cfRule>
  </conditionalFormatting>
  <conditionalFormatting sqref="E440:H440">
    <cfRule type="cellIs" dxfId="327" priority="383" operator="between">
      <formula>0</formula>
      <formula>0</formula>
    </cfRule>
  </conditionalFormatting>
  <conditionalFormatting sqref="E508:H508">
    <cfRule type="cellIs" dxfId="326" priority="172" operator="between">
      <formula>0</formula>
      <formula>0</formula>
    </cfRule>
  </conditionalFormatting>
  <conditionalFormatting sqref="E576:H576">
    <cfRule type="cellIs" dxfId="325" priority="160" operator="between">
      <formula>0</formula>
      <formula>0</formula>
    </cfRule>
  </conditionalFormatting>
  <conditionalFormatting sqref="E644:H644">
    <cfRule type="cellIs" dxfId="324" priority="149" operator="between">
      <formula>0</formula>
      <formula>0</formula>
    </cfRule>
  </conditionalFormatting>
  <conditionalFormatting sqref="E718:H718">
    <cfRule type="cellIs" dxfId="323" priority="138" operator="between">
      <formula>0</formula>
      <formula>0</formula>
    </cfRule>
  </conditionalFormatting>
  <conditionalFormatting sqref="E792:H792">
    <cfRule type="cellIs" dxfId="322" priority="127" operator="between">
      <formula>0</formula>
      <formula>0</formula>
    </cfRule>
  </conditionalFormatting>
  <conditionalFormatting sqref="F18 L27:L35 A34 H34 D36:D44">
    <cfRule type="expression" dxfId="321" priority="821">
      <formula>$L$27&lt;&gt;""</formula>
    </cfRule>
  </conditionalFormatting>
  <conditionalFormatting sqref="F18">
    <cfRule type="expression" dxfId="320" priority="733">
      <formula>$J$18&lt;&gt;""</formula>
    </cfRule>
  </conditionalFormatting>
  <conditionalFormatting sqref="F45">
    <cfRule type="expression" dxfId="319" priority="825">
      <formula>$J$45&lt;&gt;""</formula>
    </cfRule>
  </conditionalFormatting>
  <conditionalFormatting sqref="F53:F54">
    <cfRule type="cellIs" dxfId="318" priority="969" operator="equal">
      <formula>0</formula>
    </cfRule>
  </conditionalFormatting>
  <conditionalFormatting sqref="F61 J61:L62">
    <cfRule type="expression" dxfId="317" priority="116">
      <formula>$F$61&gt;0.9</formula>
    </cfRule>
  </conditionalFormatting>
  <conditionalFormatting sqref="F130">
    <cfRule type="cellIs" dxfId="316" priority="321" operator="between">
      <formula>0</formula>
      <formula>0</formula>
    </cfRule>
  </conditionalFormatting>
  <conditionalFormatting sqref="F131">
    <cfRule type="cellIs" dxfId="315" priority="659" operator="equal">
      <formula>0</formula>
    </cfRule>
  </conditionalFormatting>
  <conditionalFormatting sqref="F138">
    <cfRule type="expression" dxfId="314" priority="37">
      <formula>$F$138=""</formula>
    </cfRule>
  </conditionalFormatting>
  <conditionalFormatting sqref="F157">
    <cfRule type="cellIs" dxfId="313" priority="819" operator="equal">
      <formula>"Nein"</formula>
    </cfRule>
  </conditionalFormatting>
  <conditionalFormatting sqref="F295 F306 F361">
    <cfRule type="expression" dxfId="312" priority="84">
      <formula>$H$285=_Nein</formula>
    </cfRule>
  </conditionalFormatting>
  <conditionalFormatting sqref="F297">
    <cfRule type="expression" dxfId="311" priority="16">
      <formula>$H$285=_Nein</formula>
    </cfRule>
  </conditionalFormatting>
  <conditionalFormatting sqref="F299:F303">
    <cfRule type="expression" dxfId="310" priority="23">
      <formula>$H$285=_Nein</formula>
    </cfRule>
  </conditionalFormatting>
  <conditionalFormatting sqref="F317 F321">
    <cfRule type="cellIs" dxfId="309" priority="40" operator="equal">
      <formula>0</formula>
    </cfRule>
  </conditionalFormatting>
  <conditionalFormatting sqref="F350">
    <cfRule type="expression" dxfId="308" priority="118">
      <formula>$E$350&lt;&gt;$M$362</formula>
    </cfRule>
  </conditionalFormatting>
  <conditionalFormatting sqref="F351">
    <cfRule type="cellIs" dxfId="307" priority="570" operator="equal">
      <formula>"Nein"</formula>
    </cfRule>
    <cfRule type="cellIs" dxfId="306" priority="568" operator="equal">
      <formula>0</formula>
    </cfRule>
    <cfRule type="cellIs" dxfId="305" priority="569" operator="equal">
      <formula>"Ja"</formula>
    </cfRule>
  </conditionalFormatting>
  <conditionalFormatting sqref="F354">
    <cfRule type="cellIs" dxfId="304" priority="567" operator="equal">
      <formula>"Nein"</formula>
    </cfRule>
    <cfRule type="cellIs" dxfId="303" priority="9" operator="equal">
      <formula>"Kosten"</formula>
    </cfRule>
    <cfRule type="cellIs" dxfId="302" priority="566" operator="equal">
      <formula>"Preis"</formula>
    </cfRule>
    <cfRule type="cellIs" dxfId="301" priority="565" operator="equal">
      <formula>0</formula>
    </cfRule>
  </conditionalFormatting>
  <conditionalFormatting sqref="F360">
    <cfRule type="expression" dxfId="300" priority="1050">
      <formula>$J$357&lt;&gt;""</formula>
    </cfRule>
    <cfRule type="expression" dxfId="299" priority="1051">
      <formula>AND($F$354&lt;&gt;"NEIN",$F$360="",$D$379&lt;&gt;0)</formula>
    </cfRule>
  </conditionalFormatting>
  <conditionalFormatting sqref="F444">
    <cfRule type="cellIs" dxfId="298" priority="564" operator="equal">
      <formula>0</formula>
    </cfRule>
    <cfRule type="cellIs" dxfId="297" priority="788" operator="equal">
      <formula>"Ja"</formula>
    </cfRule>
    <cfRule type="cellIs" dxfId="296" priority="2411" operator="equal">
      <formula>"Nein"</formula>
    </cfRule>
  </conditionalFormatting>
  <conditionalFormatting sqref="F447">
    <cfRule type="cellIs" dxfId="295" priority="1053" operator="equal">
      <formula>0</formula>
    </cfRule>
  </conditionalFormatting>
  <conditionalFormatting sqref="F448">
    <cfRule type="cellIs" dxfId="294" priority="563" operator="equal">
      <formula>"Nein"</formula>
    </cfRule>
    <cfRule type="cellIs" dxfId="293" priority="562" operator="equal">
      <formula>"Ja"</formula>
    </cfRule>
    <cfRule type="cellIs" dxfId="292" priority="561" operator="equal">
      <formula>0</formula>
    </cfRule>
  </conditionalFormatting>
  <conditionalFormatting sqref="F451">
    <cfRule type="cellIs" dxfId="291" priority="792" operator="equal">
      <formula>0</formula>
    </cfRule>
  </conditionalFormatting>
  <conditionalFormatting sqref="F452">
    <cfRule type="cellIs" dxfId="290" priority="558" operator="equal">
      <formula>0</formula>
    </cfRule>
    <cfRule type="cellIs" dxfId="289" priority="559" operator="equal">
      <formula>"Ja"</formula>
    </cfRule>
    <cfRule type="cellIs" dxfId="288" priority="560" operator="equal">
      <formula>"Nein"</formula>
    </cfRule>
  </conditionalFormatting>
  <conditionalFormatting sqref="F512">
    <cfRule type="cellIs" dxfId="287" priority="499" operator="equal">
      <formula>"Ja"</formula>
    </cfRule>
    <cfRule type="cellIs" dxfId="286" priority="498" operator="equal">
      <formula>0</formula>
    </cfRule>
    <cfRule type="cellIs" dxfId="285" priority="500" operator="equal">
      <formula>"Nein"</formula>
    </cfRule>
  </conditionalFormatting>
  <conditionalFormatting sqref="F515">
    <cfRule type="cellIs" dxfId="284" priority="503" operator="equal">
      <formula>0</formula>
    </cfRule>
  </conditionalFormatting>
  <conditionalFormatting sqref="F516">
    <cfRule type="cellIs" dxfId="283" priority="497" operator="equal">
      <formula>"Nein"</formula>
    </cfRule>
    <cfRule type="cellIs" dxfId="282" priority="496" operator="equal">
      <formula>"Ja"</formula>
    </cfRule>
    <cfRule type="cellIs" dxfId="281" priority="495" operator="equal">
      <formula>0</formula>
    </cfRule>
  </conditionalFormatting>
  <conditionalFormatting sqref="F519">
    <cfRule type="cellIs" dxfId="280" priority="502" operator="equal">
      <formula>0</formula>
    </cfRule>
  </conditionalFormatting>
  <conditionalFormatting sqref="F520">
    <cfRule type="cellIs" dxfId="279" priority="494" operator="equal">
      <formula>"Nein"</formula>
    </cfRule>
    <cfRule type="cellIs" dxfId="278" priority="493" operator="equal">
      <formula>"Ja"</formula>
    </cfRule>
    <cfRule type="cellIs" dxfId="277" priority="492" operator="equal">
      <formula>0</formula>
    </cfRule>
  </conditionalFormatting>
  <conditionalFormatting sqref="F580">
    <cfRule type="cellIs" dxfId="276" priority="484" operator="equal">
      <formula>"Nein"</formula>
    </cfRule>
    <cfRule type="cellIs" dxfId="275" priority="483" operator="equal">
      <formula>"Ja"</formula>
    </cfRule>
    <cfRule type="cellIs" dxfId="274" priority="482" operator="equal">
      <formula>0</formula>
    </cfRule>
  </conditionalFormatting>
  <conditionalFormatting sqref="F583">
    <cfRule type="cellIs" dxfId="273" priority="1059" operator="equal">
      <formula>0</formula>
    </cfRule>
  </conditionalFormatting>
  <conditionalFormatting sqref="F584">
    <cfRule type="cellIs" dxfId="272" priority="481" operator="equal">
      <formula>"Nein"</formula>
    </cfRule>
    <cfRule type="cellIs" dxfId="271" priority="480" operator="equal">
      <formula>"Ja"</formula>
    </cfRule>
    <cfRule type="cellIs" dxfId="270" priority="479" operator="equal">
      <formula>0</formula>
    </cfRule>
  </conditionalFormatting>
  <conditionalFormatting sqref="F587">
    <cfRule type="cellIs" dxfId="269" priority="485" operator="equal">
      <formula>0</formula>
    </cfRule>
  </conditionalFormatting>
  <conditionalFormatting sqref="F588">
    <cfRule type="cellIs" dxfId="268" priority="478" operator="equal">
      <formula>"Nein"</formula>
    </cfRule>
    <cfRule type="cellIs" dxfId="267" priority="477" operator="equal">
      <formula>"Ja"</formula>
    </cfRule>
    <cfRule type="cellIs" dxfId="266" priority="476" operator="equal">
      <formula>0</formula>
    </cfRule>
  </conditionalFormatting>
  <conditionalFormatting sqref="F648">
    <cfRule type="cellIs" dxfId="265" priority="464" operator="equal">
      <formula>0</formula>
    </cfRule>
    <cfRule type="cellIs" dxfId="264" priority="466" operator="equal">
      <formula>"Nein"</formula>
    </cfRule>
    <cfRule type="cellIs" dxfId="263" priority="465" operator="equal">
      <formula>"Ja"</formula>
    </cfRule>
  </conditionalFormatting>
  <conditionalFormatting sqref="F651">
    <cfRule type="cellIs" dxfId="262" priority="468" operator="equal">
      <formula>0</formula>
    </cfRule>
  </conditionalFormatting>
  <conditionalFormatting sqref="F652">
    <cfRule type="cellIs" dxfId="261" priority="463" operator="equal">
      <formula>"Nein"</formula>
    </cfRule>
    <cfRule type="cellIs" dxfId="260" priority="461" operator="equal">
      <formula>0</formula>
    </cfRule>
    <cfRule type="cellIs" dxfId="259" priority="462" operator="equal">
      <formula>"Ja"</formula>
    </cfRule>
  </conditionalFormatting>
  <conditionalFormatting sqref="F655">
    <cfRule type="cellIs" dxfId="258" priority="467" operator="equal">
      <formula>0</formula>
    </cfRule>
  </conditionalFormatting>
  <conditionalFormatting sqref="F656">
    <cfRule type="cellIs" dxfId="257" priority="460" operator="equal">
      <formula>"Nein"</formula>
    </cfRule>
    <cfRule type="cellIs" dxfId="256" priority="459" operator="equal">
      <formula>"Ja"</formula>
    </cfRule>
    <cfRule type="cellIs" dxfId="255" priority="458" operator="equal">
      <formula>0</formula>
    </cfRule>
  </conditionalFormatting>
  <conditionalFormatting sqref="F722">
    <cfRule type="cellIs" dxfId="254" priority="450" operator="equal">
      <formula>"Nein"</formula>
    </cfRule>
    <cfRule type="cellIs" dxfId="253" priority="449" operator="equal">
      <formula>"Ja"</formula>
    </cfRule>
    <cfRule type="cellIs" dxfId="252" priority="448" operator="equal">
      <formula>0</formula>
    </cfRule>
  </conditionalFormatting>
  <conditionalFormatting sqref="F725">
    <cfRule type="cellIs" dxfId="251" priority="2212" operator="equal">
      <formula>0</formula>
    </cfRule>
  </conditionalFormatting>
  <conditionalFormatting sqref="F726">
    <cfRule type="cellIs" dxfId="250" priority="445" operator="equal">
      <formula>0</formula>
    </cfRule>
    <cfRule type="cellIs" dxfId="249" priority="447" operator="equal">
      <formula>"Nein"</formula>
    </cfRule>
    <cfRule type="cellIs" dxfId="248" priority="446" operator="equal">
      <formula>"Ja"</formula>
    </cfRule>
  </conditionalFormatting>
  <conditionalFormatting sqref="F729">
    <cfRule type="cellIs" dxfId="247" priority="1066" operator="equal">
      <formula>0</formula>
    </cfRule>
  </conditionalFormatting>
  <conditionalFormatting sqref="F730">
    <cfRule type="cellIs" dxfId="246" priority="444" operator="equal">
      <formula>"Nein"</formula>
    </cfRule>
    <cfRule type="cellIs" dxfId="245" priority="443" operator="equal">
      <formula>"Ja"</formula>
    </cfRule>
    <cfRule type="cellIs" dxfId="244" priority="442" operator="equal">
      <formula>0</formula>
    </cfRule>
  </conditionalFormatting>
  <conditionalFormatting sqref="F796">
    <cfRule type="cellIs" dxfId="243" priority="248" operator="equal">
      <formula>"Nein"</formula>
    </cfRule>
    <cfRule type="cellIs" dxfId="242" priority="247" operator="equal">
      <formula>"Ja"</formula>
    </cfRule>
    <cfRule type="cellIs" dxfId="241" priority="246" operator="equal">
      <formula>0</formula>
    </cfRule>
  </conditionalFormatting>
  <conditionalFormatting sqref="F799">
    <cfRule type="cellIs" dxfId="240" priority="250" operator="equal">
      <formula>0</formula>
    </cfRule>
  </conditionalFormatting>
  <conditionalFormatting sqref="F800">
    <cfRule type="cellIs" dxfId="239" priority="244" operator="equal">
      <formula>"Ja"</formula>
    </cfRule>
    <cfRule type="cellIs" dxfId="238" priority="243" operator="equal">
      <formula>0</formula>
    </cfRule>
    <cfRule type="cellIs" dxfId="237" priority="245" operator="equal">
      <formula>"Nein"</formula>
    </cfRule>
  </conditionalFormatting>
  <conditionalFormatting sqref="F803">
    <cfRule type="cellIs" dxfId="236" priority="249" operator="equal">
      <formula>0</formula>
    </cfRule>
  </conditionalFormatting>
  <conditionalFormatting sqref="F804">
    <cfRule type="cellIs" dxfId="235" priority="242" operator="equal">
      <formula>"Nein"</formula>
    </cfRule>
    <cfRule type="cellIs" dxfId="234" priority="241" operator="equal">
      <formula>"Ja"</formula>
    </cfRule>
    <cfRule type="cellIs" dxfId="233" priority="240" operator="equal">
      <formula>0</formula>
    </cfRule>
  </conditionalFormatting>
  <conditionalFormatting sqref="F324:G326">
    <cfRule type="expression" dxfId="232" priority="2281">
      <formula>#REF!&lt;&gt;""</formula>
    </cfRule>
  </conditionalFormatting>
  <conditionalFormatting sqref="F336:G338">
    <cfRule type="cellIs" dxfId="231" priority="989" operator="between">
      <formula>0</formula>
      <formula>0</formula>
    </cfRule>
  </conditionalFormatting>
  <conditionalFormatting sqref="F466:G468">
    <cfRule type="cellIs" dxfId="230" priority="286" operator="between">
      <formula>0</formula>
      <formula>0</formula>
    </cfRule>
  </conditionalFormatting>
  <conditionalFormatting sqref="F534:G536">
    <cfRule type="cellIs" dxfId="229" priority="285" operator="between">
      <formula>0</formula>
      <formula>0</formula>
    </cfRule>
  </conditionalFormatting>
  <conditionalFormatting sqref="F602:G604">
    <cfRule type="cellIs" dxfId="228" priority="284" operator="between">
      <formula>0</formula>
      <formula>0</formula>
    </cfRule>
  </conditionalFormatting>
  <conditionalFormatting sqref="F670:G672">
    <cfRule type="cellIs" dxfId="227" priority="283" operator="between">
      <formula>0</formula>
      <formula>0</formula>
    </cfRule>
  </conditionalFormatting>
  <conditionalFormatting sqref="F744:G746">
    <cfRule type="cellIs" dxfId="226" priority="282" operator="between">
      <formula>0</formula>
      <formula>0</formula>
    </cfRule>
  </conditionalFormatting>
  <conditionalFormatting sqref="F818:G820">
    <cfRule type="cellIs" dxfId="225" priority="226" operator="between">
      <formula>0</formula>
      <formula>0</formula>
    </cfRule>
  </conditionalFormatting>
  <conditionalFormatting sqref="F36:H44">
    <cfRule type="cellIs" dxfId="224" priority="983" operator="equal">
      <formula>0</formula>
    </cfRule>
  </conditionalFormatting>
  <conditionalFormatting sqref="F161:H163">
    <cfRule type="cellIs" dxfId="223" priority="990" operator="between">
      <formula>0</formula>
      <formula>0</formula>
    </cfRule>
  </conditionalFormatting>
  <conditionalFormatting sqref="F251:H251 A252:H260">
    <cfRule type="expression" dxfId="222" priority="49">
      <formula>AND($H$243=1,$H$247=1,$A$251=$M$253)</formula>
    </cfRule>
  </conditionalFormatting>
  <conditionalFormatting sqref="F696:H699">
    <cfRule type="cellIs" dxfId="221" priority="28" operator="equal">
      <formula>0</formula>
    </cfRule>
  </conditionalFormatting>
  <conditionalFormatting sqref="F770:H773">
    <cfRule type="cellIs" dxfId="220" priority="29" operator="equal">
      <formula>0</formula>
    </cfRule>
  </conditionalFormatting>
  <conditionalFormatting sqref="G45">
    <cfRule type="expression" dxfId="219" priority="926">
      <formula>OR(_OK?&lt;&gt;"OK!",_OK_KV?&lt;&gt;"OK_KV!")</formula>
    </cfRule>
  </conditionalFormatting>
  <conditionalFormatting sqref="G70">
    <cfRule type="cellIs" dxfId="218" priority="24" operator="lessThan">
      <formula>0</formula>
    </cfRule>
  </conditionalFormatting>
  <conditionalFormatting sqref="G242">
    <cfRule type="cellIs" dxfId="217" priority="587" operator="equal">
      <formula>"Ja"</formula>
    </cfRule>
    <cfRule type="cellIs" dxfId="216" priority="588" operator="equal">
      <formula>"Nein"</formula>
    </cfRule>
    <cfRule type="cellIs" dxfId="215" priority="586" operator="equal">
      <formula>0</formula>
    </cfRule>
  </conditionalFormatting>
  <conditionalFormatting sqref="G245">
    <cfRule type="cellIs" dxfId="214" priority="584" operator="equal">
      <formula>"Ja"</formula>
    </cfRule>
    <cfRule type="cellIs" dxfId="213" priority="583" operator="equal">
      <formula>0</formula>
    </cfRule>
    <cfRule type="cellIs" dxfId="212" priority="585" operator="equal">
      <formula>"Nein"</formula>
    </cfRule>
  </conditionalFormatting>
  <conditionalFormatting sqref="G264">
    <cfRule type="cellIs" dxfId="211" priority="48" operator="equal">
      <formula>0</formula>
    </cfRule>
  </conditionalFormatting>
  <conditionalFormatting sqref="G303">
    <cfRule type="expression" dxfId="210" priority="432">
      <formula>$H$302="in €"</formula>
    </cfRule>
  </conditionalFormatting>
  <conditionalFormatting sqref="G362 A363:H363 A364:A365 E365:F365 G366">
    <cfRule type="expression" dxfId="209" priority="14">
      <formula>$B$362=$M$411</formula>
    </cfRule>
  </conditionalFormatting>
  <conditionalFormatting sqref="G422">
    <cfRule type="expression" dxfId="208" priority="892">
      <formula>OR(_OK?&lt;&gt;"OK!",_OK_KV?&lt;&gt;"OK_KV!")</formula>
    </cfRule>
  </conditionalFormatting>
  <conditionalFormatting sqref="G444 A443 D443:E443">
    <cfRule type="expression" dxfId="207" priority="1385">
      <formula>$E$438&lt;&gt;$M$440</formula>
    </cfRule>
  </conditionalFormatting>
  <conditionalFormatting sqref="G490">
    <cfRule type="expression" dxfId="206" priority="889">
      <formula>OR(_OK?&lt;&gt;"OK!",_OK_KV?&lt;&gt;"OK_KV!")</formula>
    </cfRule>
  </conditionalFormatting>
  <conditionalFormatting sqref="G558">
    <cfRule type="expression" dxfId="205" priority="890">
      <formula>OR(_OK?&lt;&gt;"OK!",_OK_KV?&lt;&gt;"OK_KV!")</formula>
    </cfRule>
  </conditionalFormatting>
  <conditionalFormatting sqref="G626">
    <cfRule type="expression" dxfId="204" priority="888">
      <formula>OR(_OK?&lt;&gt;"OK!",_OK_KV?&lt;&gt;"OK_KV!")</formula>
    </cfRule>
  </conditionalFormatting>
  <conditionalFormatting sqref="G700">
    <cfRule type="expression" dxfId="203" priority="870">
      <formula>OR(_OK?&lt;&gt;"OK!",_OK_KV?&lt;&gt;"OK_KV!")</formula>
    </cfRule>
  </conditionalFormatting>
  <conditionalFormatting sqref="G774">
    <cfRule type="expression" dxfId="202" priority="259">
      <formula>OR(_OK?&lt;&gt;"OK!",_OK_KV?&lt;&gt;"OK_KV!")</formula>
    </cfRule>
  </conditionalFormatting>
  <conditionalFormatting sqref="G154:H154">
    <cfRule type="expression" dxfId="201" priority="814">
      <formula>SUM($E$55)=0</formula>
    </cfRule>
  </conditionalFormatting>
  <conditionalFormatting sqref="G174:H177 G184:H188 G195:H199">
    <cfRule type="cellIs" dxfId="200" priority="393" operator="equal">
      <formula>0</formula>
    </cfRule>
  </conditionalFormatting>
  <conditionalFormatting sqref="G195:H199">
    <cfRule type="cellIs" dxfId="199" priority="979" operator="equal">
      <formula>0</formula>
    </cfRule>
  </conditionalFormatting>
  <conditionalFormatting sqref="G204:H207">
    <cfRule type="expression" dxfId="198" priority="93">
      <formula>$G$207=$M$210</formula>
    </cfRule>
  </conditionalFormatting>
  <conditionalFormatting sqref="G207:H207">
    <cfRule type="cellIs" dxfId="197" priority="102" operator="equal">
      <formula>0</formula>
    </cfRule>
  </conditionalFormatting>
  <conditionalFormatting sqref="G286:H307 A300:D303">
    <cfRule type="expression" dxfId="196" priority="428">
      <formula>$H$285&lt;&gt;_Ja</formula>
    </cfRule>
  </conditionalFormatting>
  <conditionalFormatting sqref="G294:H294">
    <cfRule type="expression" dxfId="195" priority="433">
      <formula>$H$293="in €"</formula>
    </cfRule>
  </conditionalFormatting>
  <conditionalFormatting sqref="G352:H360">
    <cfRule type="expression" dxfId="194" priority="70">
      <formula>$F$354="Nein"</formula>
    </cfRule>
  </conditionalFormatting>
  <conditionalFormatting sqref="H6">
    <cfRule type="colorScale" priority="928">
      <colorScale>
        <cfvo type="num" val="0"/>
        <cfvo type="num" val="60"/>
        <cfvo type="num" val="100"/>
        <color rgb="FFFF0000"/>
        <color rgb="FFD78C29"/>
        <color rgb="FFFFC000"/>
      </colorScale>
    </cfRule>
  </conditionalFormatting>
  <conditionalFormatting sqref="H34">
    <cfRule type="expression" dxfId="193" priority="881">
      <formula>(TODAY()-$H$34)&gt;365</formula>
    </cfRule>
  </conditionalFormatting>
  <conditionalFormatting sqref="H56">
    <cfRule type="expression" dxfId="192" priority="683">
      <formula>$H$56=""</formula>
    </cfRule>
  </conditionalFormatting>
  <conditionalFormatting sqref="H77">
    <cfRule type="cellIs" dxfId="191" priority="597" operator="equal">
      <formula>"Nein"</formula>
    </cfRule>
    <cfRule type="cellIs" dxfId="190" priority="596" operator="equal">
      <formula>"Ja"</formula>
    </cfRule>
    <cfRule type="cellIs" dxfId="189" priority="595" operator="equal">
      <formula>0</formula>
    </cfRule>
  </conditionalFormatting>
  <conditionalFormatting sqref="H97">
    <cfRule type="cellIs" dxfId="188" priority="594" operator="equal">
      <formula>"Nein"</formula>
    </cfRule>
    <cfRule type="cellIs" dxfId="187" priority="593" operator="equal">
      <formula>"Ja"</formula>
    </cfRule>
    <cfRule type="cellIs" dxfId="186" priority="592" operator="equal">
      <formula>0</formula>
    </cfRule>
  </conditionalFormatting>
  <conditionalFormatting sqref="H130:H131">
    <cfRule type="cellIs" dxfId="185" priority="995" operator="between">
      <formula>0</formula>
      <formula>0</formula>
    </cfRule>
  </conditionalFormatting>
  <conditionalFormatting sqref="H142">
    <cfRule type="cellIs" dxfId="184" priority="689" operator="equal">
      <formula>"KEINE"</formula>
    </cfRule>
  </conditionalFormatting>
  <conditionalFormatting sqref="H150:H151">
    <cfRule type="cellIs" dxfId="183" priority="986" operator="between">
      <formula>0</formula>
      <formula>0</formula>
    </cfRule>
  </conditionalFormatting>
  <conditionalFormatting sqref="H269:H273">
    <cfRule type="cellIs" dxfId="182" priority="41" operator="equal">
      <formula>0</formula>
    </cfRule>
  </conditionalFormatting>
  <conditionalFormatting sqref="H281">
    <cfRule type="containsText" dxfId="181" priority="394" operator="containsText" text="UNGÜLTIG">
      <formula>NOT(ISERROR(SEARCH("UNGÜLTIG",H281)))</formula>
    </cfRule>
  </conditionalFormatting>
  <conditionalFormatting sqref="H285">
    <cfRule type="cellIs" dxfId="180" priority="575" operator="equal">
      <formula>"Ja"</formula>
    </cfRule>
    <cfRule type="cellIs" dxfId="179" priority="576" operator="equal">
      <formula>"Nein"</formula>
    </cfRule>
    <cfRule type="cellIs" dxfId="178" priority="574" operator="equal">
      <formula>0</formula>
    </cfRule>
  </conditionalFormatting>
  <conditionalFormatting sqref="H293">
    <cfRule type="cellIs" dxfId="177" priority="431" operator="equal">
      <formula>0</formula>
    </cfRule>
  </conditionalFormatting>
  <conditionalFormatting sqref="H302">
    <cfRule type="cellIs" dxfId="176" priority="429" operator="equal">
      <formula>0</formula>
    </cfRule>
  </conditionalFormatting>
  <conditionalFormatting sqref="H303">
    <cfRule type="expression" dxfId="175" priority="427">
      <formula>$H$302="in €"</formula>
    </cfRule>
  </conditionalFormatting>
  <conditionalFormatting sqref="H336:H339">
    <cfRule type="cellIs" dxfId="174" priority="47" operator="equal">
      <formula>0</formula>
    </cfRule>
  </conditionalFormatting>
  <conditionalFormatting sqref="H426">
    <cfRule type="expression" dxfId="173" priority="601">
      <formula>$H$426=""</formula>
    </cfRule>
  </conditionalFormatting>
  <conditionalFormatting sqref="H441">
    <cfRule type="cellIs" dxfId="172" priority="379" operator="between">
      <formula>0</formula>
      <formula>0</formula>
    </cfRule>
  </conditionalFormatting>
  <conditionalFormatting sqref="H509">
    <cfRule type="cellIs" dxfId="171" priority="171" operator="between">
      <formula>0</formula>
      <formula>0</formula>
    </cfRule>
  </conditionalFormatting>
  <conditionalFormatting sqref="H577">
    <cfRule type="cellIs" dxfId="170" priority="159" operator="between">
      <formula>0</formula>
      <formula>0</formula>
    </cfRule>
  </conditionalFormatting>
  <conditionalFormatting sqref="H645">
    <cfRule type="cellIs" dxfId="169" priority="148" operator="between">
      <formula>0</formula>
      <formula>0</formula>
    </cfRule>
  </conditionalFormatting>
  <conditionalFormatting sqref="H719">
    <cfRule type="cellIs" dxfId="168" priority="137" operator="between">
      <formula>0</formula>
      <formula>0</formula>
    </cfRule>
  </conditionalFormatting>
  <conditionalFormatting sqref="H793">
    <cfRule type="cellIs" dxfId="167" priority="126" operator="between">
      <formula>0</formula>
      <formula>0</formula>
    </cfRule>
  </conditionalFormatting>
  <conditionalFormatting sqref="I418:I480">
    <cfRule type="expression" dxfId="166" priority="79">
      <formula>OR($A$421="",$D$421=$M$283)</formula>
    </cfRule>
  </conditionalFormatting>
  <conditionalFormatting sqref="I486:I548">
    <cfRule type="expression" dxfId="165" priority="78">
      <formula>OR($A$489="",$D$489=$M$283)</formula>
    </cfRule>
  </conditionalFormatting>
  <conditionalFormatting sqref="I554:I616">
    <cfRule type="expression" dxfId="164" priority="77">
      <formula>OR($A$557="",$D$557=$M$283)</formula>
    </cfRule>
  </conditionalFormatting>
  <conditionalFormatting sqref="I622:I684">
    <cfRule type="expression" dxfId="163" priority="76">
      <formula>OR($A$625="",$D$625=$M$283)</formula>
    </cfRule>
  </conditionalFormatting>
  <conditionalFormatting sqref="I690:I758">
    <cfRule type="expression" dxfId="162" priority="75">
      <formula>OR($A$695="",$D$4695=$M$283)</formula>
    </cfRule>
  </conditionalFormatting>
  <conditionalFormatting sqref="I764:I833">
    <cfRule type="expression" dxfId="161" priority="74">
      <formula>OR($A$769="",$D$769=$M$283)</formula>
    </cfRule>
  </conditionalFormatting>
  <conditionalFormatting sqref="J47 K49:L49 J50">
    <cfRule type="expression" dxfId="160" priority="2671">
      <formula>$J$47&lt;&gt;""</formula>
    </cfRule>
  </conditionalFormatting>
  <conditionalFormatting sqref="J236">
    <cfRule type="expression" dxfId="159" priority="326">
      <formula>$A$421=""</formula>
    </cfRule>
  </conditionalFormatting>
  <conditionalFormatting sqref="J470 A470:H471">
    <cfRule type="expression" dxfId="158" priority="46">
      <formula>SUM($F$466:$H$468)=0</formula>
    </cfRule>
  </conditionalFormatting>
  <conditionalFormatting sqref="J528">
    <cfRule type="expression" dxfId="157" priority="325">
      <formula>$A$421=""</formula>
    </cfRule>
  </conditionalFormatting>
  <conditionalFormatting sqref="J538 A538:H539">
    <cfRule type="expression" dxfId="156" priority="39">
      <formula>SUM($F$534:$H$536)=0</formula>
    </cfRule>
  </conditionalFormatting>
  <conditionalFormatting sqref="J596">
    <cfRule type="expression" dxfId="155" priority="324">
      <formula>$A$421=""</formula>
    </cfRule>
  </conditionalFormatting>
  <conditionalFormatting sqref="J664">
    <cfRule type="expression" dxfId="154" priority="323">
      <formula>$A$421=""</formula>
    </cfRule>
  </conditionalFormatting>
  <conditionalFormatting sqref="J738">
    <cfRule type="expression" dxfId="153" priority="322">
      <formula>$A$421=""</formula>
    </cfRule>
  </conditionalFormatting>
  <conditionalFormatting sqref="J812">
    <cfRule type="expression" dxfId="152" priority="234">
      <formula>$A$421=""</formula>
    </cfRule>
  </conditionalFormatting>
  <conditionalFormatting sqref="J6:K17">
    <cfRule type="expression" dxfId="151" priority="822">
      <formula>$J$6&lt;&gt;""</formula>
    </cfRule>
  </conditionalFormatting>
  <conditionalFormatting sqref="J53:L56 F55:H55 J57">
    <cfRule type="expression" dxfId="150" priority="687">
      <formula>$E$55=0</formula>
    </cfRule>
  </conditionalFormatting>
  <conditionalFormatting sqref="J77:L83 J84 J86:L88 J89 J90:L97">
    <cfRule type="expression" dxfId="149" priority="706">
      <formula>$H$77="Nein"</formula>
    </cfRule>
  </conditionalFormatting>
  <conditionalFormatting sqref="J100:L110">
    <cfRule type="expression" dxfId="148" priority="707">
      <formula>$H$97="Nein"</formula>
    </cfRule>
  </conditionalFormatting>
  <conditionalFormatting sqref="J140:L146 K147:K149 J150:L154">
    <cfRule type="expression" dxfId="147" priority="690">
      <formula>$E$55=0</formula>
    </cfRule>
  </conditionalFormatting>
  <conditionalFormatting sqref="J350:L353">
    <cfRule type="expression" dxfId="146" priority="1">
      <formula>$C$350&lt;&gt;$M$358</formula>
    </cfRule>
  </conditionalFormatting>
  <conditionalFormatting sqref="J422:L426 J429:L436 J437 J439:L439 J440 J444:L459 J460 J477:L483 J512:L525">
    <cfRule type="expression" dxfId="145" priority="639">
      <formula>$A$421=""</formula>
    </cfRule>
  </conditionalFormatting>
  <conditionalFormatting sqref="J427:L427">
    <cfRule type="expression" dxfId="144" priority="191">
      <formula>$A$489=""</formula>
    </cfRule>
  </conditionalFormatting>
  <conditionalFormatting sqref="J444:L454">
    <cfRule type="expression" dxfId="143" priority="36">
      <formula>$E$443&lt;&gt;$M$446</formula>
    </cfRule>
  </conditionalFormatting>
  <conditionalFormatting sqref="J461:L474">
    <cfRule type="expression" dxfId="142" priority="337">
      <formula>$A$421=""</formula>
    </cfRule>
  </conditionalFormatting>
  <conditionalFormatting sqref="J490:L492 J494:L495 J497:L504 J505 J507:L507 J508 J512:L527 J529:L537 J542:L542 J545:L551 J563 K564:L564">
    <cfRule type="expression" dxfId="141" priority="518">
      <formula>$A$489=""</formula>
    </cfRule>
  </conditionalFormatting>
  <conditionalFormatting sqref="J493:L493">
    <cfRule type="expression" dxfId="140" priority="185">
      <formula>$A$421=""</formula>
    </cfRule>
  </conditionalFormatting>
  <conditionalFormatting sqref="J512:L522">
    <cfRule type="expression" dxfId="139" priority="35">
      <formula>$E$511&lt;&gt;$M$514</formula>
    </cfRule>
  </conditionalFormatting>
  <conditionalFormatting sqref="J538:L541">
    <cfRule type="expression" dxfId="138" priority="345">
      <formula>$A$421=""</formula>
    </cfRule>
  </conditionalFormatting>
  <conditionalFormatting sqref="J580:L589">
    <cfRule type="expression" dxfId="137" priority="34">
      <formula>$E$579&lt;&gt;$M$582</formula>
    </cfRule>
  </conditionalFormatting>
  <conditionalFormatting sqref="J606:L609">
    <cfRule type="expression" dxfId="136" priority="336">
      <formula>$A$421=""</formula>
    </cfRule>
  </conditionalFormatting>
  <conditionalFormatting sqref="J632:L632">
    <cfRule type="expression" dxfId="135" priority="189">
      <formula>$A$489=""</formula>
    </cfRule>
  </conditionalFormatting>
  <conditionalFormatting sqref="J648:L657">
    <cfRule type="expression" dxfId="134" priority="33">
      <formula>$E$647&lt;&gt;$M$650</formula>
    </cfRule>
  </conditionalFormatting>
  <conditionalFormatting sqref="J674:L677">
    <cfRule type="expression" dxfId="133" priority="335">
      <formula>$A$421=""</formula>
    </cfRule>
  </conditionalFormatting>
  <conditionalFormatting sqref="J690:L694 J696:L717 A696:H758 J718 J722:L761 C866:H866 A867:H869 A883:H883">
    <cfRule type="expression" dxfId="132" priority="26">
      <formula>OR($A$695="",$D$695=$M$283)</formula>
    </cfRule>
  </conditionalFormatting>
  <conditionalFormatting sqref="J700:L701">
    <cfRule type="expression" dxfId="131" priority="1229">
      <formula>$J$700=$M$701</formula>
    </cfRule>
  </conditionalFormatting>
  <conditionalFormatting sqref="J706:L706">
    <cfRule type="expression" dxfId="130" priority="188">
      <formula>$A$489=""</formula>
    </cfRule>
  </conditionalFormatting>
  <conditionalFormatting sqref="J722:L731">
    <cfRule type="expression" dxfId="129" priority="32">
      <formula>$E$721&lt;&gt;$M$724</formula>
    </cfRule>
  </conditionalFormatting>
  <conditionalFormatting sqref="J748:L751">
    <cfRule type="expression" dxfId="128" priority="334">
      <formula>$A$421=""</formula>
    </cfRule>
  </conditionalFormatting>
  <conditionalFormatting sqref="J774:L775">
    <cfRule type="expression" dxfId="127" priority="1230">
      <formula>$J$774=$M$775</formula>
    </cfRule>
  </conditionalFormatting>
  <conditionalFormatting sqref="J780:L780">
    <cfRule type="expression" dxfId="126" priority="187">
      <formula>$A$489=""</formula>
    </cfRule>
  </conditionalFormatting>
  <conditionalFormatting sqref="J796:L805">
    <cfRule type="expression" dxfId="125" priority="31">
      <formula>$E$795&lt;&gt;$M$798</formula>
    </cfRule>
  </conditionalFormatting>
  <conditionalFormatting sqref="J822:L825">
    <cfRule type="expression" dxfId="124" priority="236">
      <formula>$A$421=""</formula>
    </cfRule>
  </conditionalFormatting>
  <conditionalFormatting sqref="L6:L20">
    <cfRule type="expression" dxfId="123" priority="2">
      <formula>$L$6=$Q$2</formula>
    </cfRule>
    <cfRule type="expression" dxfId="122" priority="824">
      <formula>$L$6&lt;&gt;""</formula>
    </cfRule>
  </conditionalFormatting>
  <dataValidations count="99">
    <dataValidation type="decimal" allowBlank="1" showInputMessage="1" showErrorMessage="1" sqref="E489 E421 E557 E625" xr:uid="{00000000-0002-0000-0200-000000000000}">
      <formula1>0</formula1>
      <formula2>100</formula2>
    </dataValidation>
    <dataValidation type="list" allowBlank="1" showInputMessage="1" showErrorMessage="1" sqref="A702 A695:A699 A421:C421 A489:C489 A492 A557:C557 A560 A625:C625 A628 B695:C696 B698:C699 A424:C424 A36:C44 A53:C54 A776 A769:A773 B769:C770 B772:C773" xr:uid="{00000000-0002-0000-0200-000006000000}">
      <formula1>DD_Personal</formula1>
    </dataValidation>
    <dataValidation type="list" allowBlank="1" showInputMessage="1" showErrorMessage="1" sqref="B445:D445 B723:D723 B649:D649 B513:D513 B581:D581 A90:B94 B797:D797" xr:uid="{545840CD-1939-4802-83B9-5846E204AA66}">
      <formula1>DD_UE_STD</formula1>
    </dataValidation>
    <dataValidation type="list" allowBlank="1" showInputMessage="1" showErrorMessage="1" sqref="B727:D727 B653:D653 B585:D585 B517:D517 B449:D449 A101:B103 B801:D801" xr:uid="{1FD7147B-C2AD-4E34-965C-07EC9FD76378}">
      <formula1>DD_VStd_Proz</formula1>
    </dataValidation>
    <dataValidation type="list" allowBlank="1" showInputMessage="1" showErrorMessage="1" sqref="A147:B149 A123:B129 A137:B137 A440:B440 A576:B576 A718:B718 A508:B508 A644:B644 A792:B792" xr:uid="{3DBB0150-799E-4620-88BA-7CF51EC72686}">
      <formula1>DD_Zulagen</formula1>
    </dataValidation>
    <dataValidation type="list" allowBlank="1" showInputMessage="1" showErrorMessage="1" sqref="A195:C199" xr:uid="{14262165-D096-4EBE-AB8C-A853F8CED832}">
      <formula1>DD_Ent_Wo</formula1>
    </dataValidation>
    <dataValidation type="list" allowBlank="1" showInputMessage="1" showErrorMessage="1" sqref="A744:E746 A602:E604 A534:E536 A670:E672 A336:E338 A818:E820" xr:uid="{939FC73A-24B0-4165-A0BE-71331CDBD170}">
      <formula1>DD_Umlagen</formula1>
    </dataValidation>
    <dataValidation type="whole" allowBlank="1" showInputMessage="1" showErrorMessage="1" error="Anpassung = 1; keine Anpassung = 0" sqref="F460:F462 F449:F450 F581:F582 F653:F654 F445:F446 F649:F650 F513:F514 F517:F518 F585:F586 F727:F728 F723:F724 F738:F740 F657:F658 F528:F530 F596:F598 F453 F664:F666 F801:F802 F797:F798 F455:F457 F521:F525 F589:F593 F731:F735 F805:F809 F812:F814" xr:uid="{82E8D514-CDA5-4C12-88C5-380001F3FEC6}">
      <formula1>0</formula1>
      <formula2>1</formula2>
    </dataValidation>
    <dataValidation type="decimal" errorStyle="warning" allowBlank="1" showInputMessage="1" showErrorMessage="1" error="Umlage hoch! Bitte prüfen." sqref="E492 E424 E560 E628 E702 E776" xr:uid="{724AB986-4204-4515-8964-DC07AA04D96C}">
      <formula1>0</formula1>
      <formula2>0.2</formula2>
    </dataValidation>
    <dataValidation type="decimal" errorStyle="warning" allowBlank="1" showInputMessage="1" showErrorMessage="1" error="Negativer Wert oder Wert über 5 % erscheint unplausibel. Bitte prüfen!" sqref="E284:E292" xr:uid="{5E92FF86-7EBB-4331-9672-1D24831368CC}">
      <formula1>0</formula1>
      <formula2>0.05</formula2>
    </dataValidation>
    <dataValidation type="decimal" errorStyle="warning" allowBlank="1" showInputMessage="1" showErrorMessage="1" error="Wert liegt über 6% (hoch!) bzw ist negativ (??)!" sqref="F223" xr:uid="{B5D9C276-691F-4326-8CDB-57BEFB9E6F38}">
      <formula1>0</formula1>
      <formula2>0.06</formula2>
    </dataValidation>
    <dataValidation type="decimal" operator="greaterThanOrEqual" allowBlank="1" showInputMessage="1" showErrorMessage="1" error="Negative Werte nicht zulässig!" sqref="E36:E44" xr:uid="{FFA1F29A-6FCA-4754-A917-692DABC96094}">
      <formula1>0</formula1>
    </dataValidation>
    <dataValidation type="list" allowBlank="1" showInputMessage="1" showErrorMessage="1" sqref="B589:D589 B731:D731 B453:D453 B521:D521 B657:D657 A107:B109 B805:D805" xr:uid="{86C0EC37-525A-4877-A0A3-2FF87194DE3A}">
      <formula1>DD_VStd_Euro</formula1>
    </dataValidation>
    <dataValidation allowBlank="1" showInputMessage="1" showErrorMessage="1" error="KZ = 0: der Erhöhungsfaktor gem KV wird verwendet._x000a_KZ = 1: der errechnete Erhöhungsfaktor wird verwendet." sqref="F107:G109" xr:uid="{5529BB77-6AD1-4066-ABFB-BC3B3D2C71A6}"/>
    <dataValidation type="decimal" errorStyle="warning" allowBlank="1" showInputMessage="1" showErrorMessage="1" error="Wollen Sie die Standardwerte wirklich in dieser Höhe anpassen?" sqref="H235 H166" xr:uid="{E084E8C7-D03B-4A82-97F2-CBF5D6DDB91D}">
      <formula1>-0.01</formula1>
      <formula2>0.01</formula2>
    </dataValidation>
    <dataValidation type="decimal" errorStyle="warning" allowBlank="1" showInputMessage="1" showErrorMessage="1" error="Relativ hohe Anpassung! Wollen Sie das wirklich?" sqref="G501:H501 G433:H433 G569:H569 G711:H711 G637:H637 G785:H785" xr:uid="{B0953E5F-6A15-44FF-9920-E6F3FC10A330}">
      <formula1>-0.03</formula1>
      <formula2>0.03</formula2>
    </dataValidation>
    <dataValidation type="decimal" errorStyle="warning" allowBlank="1" showInputMessage="1" showErrorMessage="1" error="Wert außerhalb von 0% bis 100%!" sqref="C147:D149" xr:uid="{5FABEB2C-AC07-4174-8A8D-A459EBA51D30}">
      <formula1>0</formula1>
      <formula2>1</formula2>
    </dataValidation>
    <dataValidation type="decimal" errorStyle="warning" allowBlank="1" showInputMessage="1" showErrorMessage="1" error="Die Anpassung beträgt mehr als +/-20% des Rechenwerts." sqref="F225" xr:uid="{EDEDB990-785C-4327-AC60-93B89A3E498E}">
      <formula1>-H220*0.2</formula1>
      <formula2>H220*0.2</formula2>
    </dataValidation>
    <dataValidation type="decimal" errorStyle="warning" allowBlank="1" showInputMessage="1" showErrorMessage="1" error="Mehr als 10 Stunden?" sqref="C101:C103 C107:C109" xr:uid="{891CDEB7-5D3B-4EAE-AB77-E8E178897452}">
      <formula1>0</formula1>
      <formula2>10</formula2>
    </dataValidation>
    <dataValidation type="decimal" errorStyle="warning" allowBlank="1" showInputMessage="1" showErrorMessage="1" error="Wert erscheint hoch oder ist negativ! Negativer Wert bedeutet ProduktivitätsSTEIGERUNG!" sqref="F61" xr:uid="{55845E97-7BCB-4AE2-AB39-B90B1B76A67E}">
      <formula1>0</formula1>
      <formula2>0.15</formula2>
    </dataValidation>
    <dataValidation type="decimal" errorStyle="warning" allowBlank="1" showInputMessage="1" showErrorMessage="1" error="Relativ hohe Anpassung! Wollen Sie das wirklich?" sqref="G71:H71" xr:uid="{0FA89C53-9758-4DF4-9615-724E045BB7FA}">
      <formula1>-0.05</formula1>
      <formula2>0.05</formula2>
    </dataValidation>
    <dataValidation type="decimal" errorStyle="warning" allowBlank="1" showInputMessage="1" showErrorMessage="1" error="Wert größer als 100% (oder ein negativer Wert)!" sqref="C123:D129 C137:D137 C440:D440 C576:D576 C718:D718 C508:D508 C644:D644 C792:D792" xr:uid="{05EFA5F5-D0A5-4EE2-B760-20BD00F76330}">
      <formula1>0</formula1>
      <formula2>1</formula2>
    </dataValidation>
    <dataValidation type="whole" errorStyle="information" operator="greaterThan" allowBlank="1" showInputMessage="1" showErrorMessage="1" error="Lizensierung läuft ab!" sqref="H6" xr:uid="{CDF936E2-FB35-4CBD-85B4-CC0AB9A5955C}">
      <formula1>10</formula1>
    </dataValidation>
    <dataValidation type="decimal" errorStyle="warning" allowBlank="1" showInputMessage="1" showErrorMessage="1" error="Negativ oder über 10 Stunden? Korrekt?" sqref="C90:C94" xr:uid="{1527BB8A-1110-47C4-90C3-9F9D476BEDA6}">
      <formula1>0</formula1>
      <formula2>10</formula2>
    </dataValidation>
    <dataValidation type="decimal" errorStyle="warning" allowBlank="1" showInputMessage="1" showErrorMessage="1" error="Wenn alle DPNK bereits unter E1 bereücksichtigt sind, erscheint der Wert seht hoch!" sqref="G269:G270" xr:uid="{7ED45538-A529-453D-BBD1-596BC5F07F73}">
      <formula1>0</formula1>
      <formula2>0.05</formula2>
    </dataValidation>
    <dataValidation allowBlank="1" showInputMessage="1" showErrorMessage="1" error="Anpassung = 1; keine Anpassung = 0" sqref="F657 F453 F521 F589 F731 N473 N541 N752 N677 N609 F805 N826 F458:F459 F526:F527 F594:F595 F662:F663 F736:F737 F810:F811" xr:uid="{D35BBB27-DCE2-4CCC-902D-B06D2C9AF834}"/>
    <dataValidation type="decimal" errorStyle="warning" allowBlank="1" showInputMessage="1" showErrorMessage="1" error="Außerhalb von 50% bis 100%! Plausibel?" sqref="F209" xr:uid="{A77CF1D9-1602-4920-9B6D-6230CF97E719}">
      <formula1>0.5</formula1>
      <formula2>1</formula2>
    </dataValidation>
    <dataValidation type="decimal" errorStyle="warning" operator="greaterThan" allowBlank="1" showInputMessage="1" showErrorMessage="1" error="Negativer Wert?" sqref="E695:E699 E769:E773" xr:uid="{7545D179-DE23-46B6-897E-B2D18B647FFE}">
      <formula1>0</formula1>
    </dataValidation>
    <dataValidation type="list" allowBlank="1" showInputMessage="1" showErrorMessage="1" error="Ja oder Nein auswählen!" sqref="F351" xr:uid="{914C41E8-D998-450C-B310-0A323B39457F}">
      <formula1>DD_JN</formula1>
    </dataValidation>
    <dataValidation errorStyle="warning" allowBlank="1" showInputMessage="1" showErrorMessage="1" error="Negativer Wert oder Wert über 5 % erscheint unplausibel. Bitte prüfen!" sqref="E293:F293 E306:F308 F295 E304:F304 E300:E303 F297" xr:uid="{BC2A8F29-A900-473E-9301-BEEBF4D46A5E}"/>
    <dataValidation type="decimal" errorStyle="warning" allowBlank="1" showInputMessage="1" showErrorMessage="1" error="Wert erscheint in Bezug zum produktiveb Personal (&gt;15%) hoch (oder Wert ist negativ)." sqref="E53:E54" xr:uid="{48ED1086-8E17-4CC7-B7C8-4B077728CA16}">
      <formula1>0</formula1>
      <formula2>E$45*0.15</formula2>
    </dataValidation>
    <dataValidation type="decimal" errorStyle="warning" allowBlank="1" showInputMessage="1" showErrorMessage="1" error="Eingabe verursacht Veränderung des Rechenwergebnisses von mehr als +/-20%." sqref="H114" xr:uid="{6229FB45-118C-4BD1-8129-EBE59D510CA5}">
      <formula1>-0.2*H115</formula1>
      <formula2>0.2*H115</formula2>
    </dataValidation>
    <dataValidation type="list" allowBlank="1" showInputMessage="1" showErrorMessage="1" sqref="A184:C188" xr:uid="{401AB67D-3209-44B7-9953-E2FB4393A2AA}">
      <formula1>DD_Ent_Tag</formula1>
    </dataValidation>
    <dataValidation type="decimal" errorStyle="warning" allowBlank="1" showInputMessage="1" showErrorMessage="1" error="Erwartete Eingabe von 4 od 5 Tagen pro Woche. Ihre Eingabe liegt außerhalb der üblichen Erwartung (Nächtigungsgeld ist grundsätzlich allerdings f 7 Tage zu bezahlen)." sqref="F184:F188" xr:uid="{2FC759DC-69E8-4837-AAB0-F81020F03273}">
      <formula1>4</formula1>
      <formula2>5</formula2>
    </dataValidation>
    <dataValidation type="list" allowBlank="1" showInputMessage="1" showErrorMessage="1" error="0 = Nein  / 1 = Ja" sqref="F157" xr:uid="{9BF7AEE4-9831-414F-8077-F327A2AD949A}">
      <formula1>$G$157:$H$157</formula1>
    </dataValidation>
    <dataValidation type="decimal" errorStyle="warning" allowBlank="1" showInputMessage="1" showErrorMessage="1" error="Die Anpassung beträgt mehr als +/-20% des rechnerischen Ergebnisses!" sqref="E225" xr:uid="{7A45CFAF-D524-4FB8-88E6-DB37C68E66A4}">
      <formula1>-G220*0.2</formula1>
      <formula2>G220*0.2</formula2>
    </dataValidation>
    <dataValidation type="decimal" errorStyle="warning" allowBlank="1" showInputMessage="1" showErrorMessage="1" error="Erwartete Eingabe von 4 od 5 Tagen pro Woche. Ihre Eingabe liegt außerhalb der üblichen Erwartung." sqref="C209" xr:uid="{86ED9A2D-78EF-42C1-95C4-9E476F459ED2}">
      <formula1>4</formula1>
      <formula2>5</formula2>
    </dataValidation>
    <dataValidation type="decimal" errorStyle="warning" allowBlank="1" showInputMessage="1" showErrorMessage="1" error="Eingabewert ist größer 100% oder negativ! (&gt;100% kann bei Kalkulation von mehreren Schichten bei Arbeitszeit ist Summe aller Schichtarbeitszeiten erforderlich sein; negative Werte sind nicht plausibel)" sqref="D195:D199 D184:D188 D174:D176 C208" xr:uid="{AD7CA3DA-C566-43F8-B8E8-E55CEF2693A8}">
      <formula1>0</formula1>
      <formula2>1</formula2>
    </dataValidation>
    <dataValidation errorStyle="warning" allowBlank="1" showInputMessage="1" showErrorMessage="1" error="Soll der Wert der Stammdaten / des Rechenergebnisses um mehr als +/-10% angepasst werden?" sqref="H264" xr:uid="{28102695-DF0C-4CC5-9732-E76D5694F7FC}"/>
    <dataValidation type="list" allowBlank="1" showInputMessage="1" showErrorMessage="1" error="Bitte Auswählen!" sqref="G264" xr:uid="{261BEAED-0929-414C-AB00-131F0BF715F2}">
      <mc:AlternateContent xmlns:x12ac="http://schemas.microsoft.com/office/spreadsheetml/2011/1/ac" xmlns:mc="http://schemas.openxmlformats.org/markup-compatibility/2006">
        <mc:Choice Requires="x12ac">
          <x12ac:list>"auf #1,0%","auf #2,5%","auf #5,0%",Nein</x12ac:list>
        </mc:Choice>
        <mc:Fallback>
          <formula1>"auf #1,0%,auf #2,5%,auf #5,0%,Nein"</formula1>
        </mc:Fallback>
      </mc:AlternateContent>
    </dataValidation>
    <dataValidation type="list" allowBlank="1" showInputMessage="1" showErrorMessage="1" error="Kennzeichen Ø oder ∑ wählen. Das ergebnis wird als Regiepreis pro Person und Stunde oder als Partiepreis (Summe aus der angegebenen Anzahl)  im K3-Blatt angezeigt." sqref="H693 H767" xr:uid="{D8C56A98-4381-4825-AD3D-7B28071336A1}">
      <formula1>"Ø,∑"</formula1>
    </dataValidation>
    <dataValidation type="list" allowBlank="1" showInputMessage="1" showErrorMessage="1" error="Bitte wählen!" sqref="F355" xr:uid="{C35C86D7-1174-4275-BFE4-552FFA89675B}">
      <formula1>$F$379:$H$379</formula1>
    </dataValidation>
    <dataValidation type="list" allowBlank="1" showInputMessage="1" showErrorMessage="1" sqref="F354" xr:uid="{99F1BE9B-97B0-49D7-B9E8-70A6C9A1BF15}">
      <formula1>"Preis,Kosten,Nein"</formula1>
    </dataValidation>
    <dataValidation type="list" allowBlank="1" showInputMessage="1" showErrorMessage="1" sqref="H97 H77 D59" xr:uid="{827F0BFC-E49B-4568-B785-98F2894C64C3}">
      <formula1>DD_JN</formula1>
    </dataValidation>
    <dataValidation type="decimal" errorStyle="warning" allowBlank="1" showInputMessage="1" showErrorMessage="1" error="Soll der Wert der Stammdaten / des Rechenergebnisses um mehr als +/-10% angepasst werden?" sqref="H263" xr:uid="{1BE7FF02-A44A-4FEA-BFD7-029EAA5845D9}">
      <formula1>H260*(-0.1)</formula1>
      <formula2>H260*0.1</formula2>
    </dataValidation>
    <dataValidation type="decimal" errorStyle="warning" allowBlank="1" showInputMessage="1" showErrorMessage="1" error="Eingabe erscheint unpassend hoch." sqref="F360" xr:uid="{5601A976-1CBB-4707-AE12-4ED872C95E7C}">
      <formula1>0</formula1>
      <formula2>3</formula2>
    </dataValidation>
    <dataValidation type="decimal" operator="greaterThanOrEqual" allowBlank="1" showInputMessage="1" showErrorMessage="1" error="Eingabe der Anzahl der Stunden pro Tag (Eingabe größer gleich 0)!" sqref="A208:B208" xr:uid="{04EEA8C2-DEAF-4C41-B3A8-3224557E12AF}">
      <formula1>0</formula1>
    </dataValidation>
    <dataValidation type="list" allowBlank="1" showInputMessage="1" showErrorMessage="1" error="Bitte eine Auswahl vornehmen!" sqref="A466:E468" xr:uid="{F812E975-B7BF-46EF-BA96-48C672A0EB21}">
      <formula1>DD_Umlagen</formula1>
    </dataValidation>
    <dataValidation type="list" allowBlank="1" showInputMessage="1" showErrorMessage="1" sqref="H293 H302" xr:uid="{4E863794-3BDA-4C7B-87F8-1697E3FD59D3}">
      <formula1>"in %,in €"</formula1>
    </dataValidation>
    <dataValidation type="decimal" allowBlank="1" showInputMessage="1" showErrorMessage="1" error="Wet muss zw 0% und 100% liegen." sqref="F179 F201 F210 F190 F215" xr:uid="{AECF8237-0260-4DFE-909E-93156467AFC3}">
      <formula1>0</formula1>
      <formula2>1</formula2>
    </dataValidation>
    <dataValidation type="list" allowBlank="1" showInputMessage="1" showErrorMessage="1" sqref="A174:C176" xr:uid="{EE6B0920-DC1A-4724-BD67-100710D196DE}">
      <formula1>DD_Ent_Std</formula1>
    </dataValidation>
    <dataValidation type="list" allowBlank="1" showInputMessage="1" showErrorMessage="1" sqref="A251" xr:uid="{F5E0654C-54A8-437D-993B-1056E189D91B}">
      <formula1>$M$251:$M$253</formula1>
    </dataValidation>
    <dataValidation type="list" allowBlank="1" showInputMessage="1" showErrorMessage="1" error="Die Basis für die Aufzahlung richtet sich nach dem KollV bzw dem AZG. Sie können mit den Kennzeichen 1, 2, 3  oder 4 die Basis für die Aufzahlung bestimmen." sqref="E101:E103 E91:E94" xr:uid="{5F6CC2EE-39D0-406B-8B5A-1F5F680669ED}">
      <formula1>$N$8:$N$11</formula1>
    </dataValidation>
    <dataValidation type="list" allowBlank="1" showInputMessage="1" showErrorMessage="1" error="Kennzeichen muss 1 oder 2 sein (Leeres Feld ist wie KZ = 1)" sqref="F131" xr:uid="{D18CD8B6-6A74-4903-9CD3-E38FAC626D37}">
      <formula1>DD_KV_AKV</formula1>
    </dataValidation>
    <dataValidation type="list" showErrorMessage="1" error="KZ = 1: Unproduktives Personal ist zusätzlich zum produktiven P._x000a_KZ = 0: Unproduktives Personal ist Teil des zuvor angenommenen produktiven Personals." sqref="H56" xr:uid="{92DB0B3F-B030-4E38-B9B7-4F573BC8F299}">
      <formula1>$M$8:$M$9</formula1>
    </dataValidation>
    <dataValidation type="list" allowBlank="1" showInputMessage="1" showErrorMessage="1" error="Kennzeichen ist 1, 2, 3 oder 4. Erklärung siehe Punkt D." sqref="F451 F651 F583 F515 F725 F447 F655 F587 F519 F729 F799 F803" xr:uid="{99767A30-7D38-41BA-9A16-E5BFF299C3BA}">
      <formula1>$N$8:$N$11</formula1>
    </dataValidation>
    <dataValidation type="list" showErrorMessage="1" error="KZ = 1: Unproduktive Zeiten sind zusätzlich zu den produktiven._x000a_KZ = 0: Unproduktive Zeiten sind Teil der zuvor angenommenen produktiveb Zeiten." prompt="KZ = 1: Unproduktive Zeiten sind zusätzlich zu den produktiven._x000a_KZ = 0: Unproduktive Zeiten sind Teil der zuvor angenommenen produktiveb Zeiten." sqref="H426 H704 H630 H562 H494 H778" xr:uid="{7E6D1595-48F6-4792-9621-7112152F15DE}">
      <formula1>$M$8:$M$9</formula1>
    </dataValidation>
    <dataValidation type="list" showInputMessage="1" showErrorMessage="1" error="Kennzeichen wählen (KZ = 1 oder 2); bei leerem Feld erfolgt keine Berechnung." sqref="D209" xr:uid="{8FE28B24-2193-491C-8653-F95F3E2EC012}">
      <formula1>DD_KV_AKV</formula1>
    </dataValidation>
    <dataValidation type="list" allowBlank="1" showInputMessage="1" showErrorMessage="1" error="Ja / Nein ?" sqref="G242" xr:uid="{0075305B-D478-49A6-ACB6-54A0FEFF3848}">
      <formula1>DD_JN</formula1>
    </dataValidation>
    <dataValidation type="list" allowBlank="1" showInputMessage="1" showErrorMessage="1" error="Kennzeichen 1, 2, 3 oder 4_x000a_ möglich._x000a_Siehe oben Pkt D!" sqref="F447 F651 F583 F515 F725 F799" xr:uid="{5A343967-7558-4BF3-8892-B095BE8F9B94}">
      <formula1>$N$8:$N$11</formula1>
    </dataValidation>
    <dataValidation type="list" showInputMessage="1" showErrorMessage="1" error="Die Basis für die Aufzahlung richtet sich nach dem KollV bzw dem AZG. Sie können mit den Kennzeichen 1, 2, 3  oder 4 die Basis für die Aufzahlung bestimmen." sqref="E90" xr:uid="{B2223090-17D9-47AA-8320-49C4AC620720}">
      <formula1>$N$8:$N$11</formula1>
    </dataValidation>
    <dataValidation type="list" allowBlank="1" showInputMessage="1" showErrorMessage="1" error="Kennzeichen 1, 2, 3 oder 4_x000a_ möglich._x000a_Siehe oben Pkt D!" sqref="F451 F519 F587 F655 F729 F803" xr:uid="{B3B070E0-5533-44ED-A6B5-3C66C53F59B7}">
      <formula1>$M$8:$M$12</formula1>
    </dataValidation>
    <dataValidation type="list" allowBlank="1" showInputMessage="1" showErrorMessage="1" sqref="F356" xr:uid="{68F28E8B-CCD4-4931-91CA-28D8F30C04A7}">
      <formula1>"als %,als €"</formula1>
    </dataValidation>
    <dataValidation type="list" allowBlank="1" showInputMessage="1" showErrorMessage="1" sqref="E345:F346 D470:F470 D473:F473 D538:F538 D541:F541 D606:F606 D609:F609 D674:F674 D677:F677 D748:F748 D751:F751 D822:F822 D825:F825" xr:uid="{65077483-7D0D-4C4B-BCCE-5DD1D7EAAEE9}">
      <formula1>DD_GZ</formula1>
    </dataValidation>
    <dataValidation type="list" allowBlank="1" showInputMessage="1" showErrorMessage="1" sqref="C28:D28" xr:uid="{DE6367ED-8F5F-4250-A180-A7E43FC4D620}">
      <formula1>$M$31:$M$32</formula1>
    </dataValidation>
    <dataValidation type="list" allowBlank="1" showInputMessage="1" showErrorMessage="1" sqref="C29:D29" xr:uid="{43F62BD2-2424-4C9C-9F0E-B787FEED9116}">
      <formula1>$O$31:$O$34</formula1>
    </dataValidation>
    <dataValidation type="list" allowBlank="1" showInputMessage="1" showErrorMessage="1" sqref="G207:H207" xr:uid="{1DBB39C8-632C-402E-8BC2-D1259BF7F553}">
      <formula1>$M$208:$M$210</formula1>
    </dataValidation>
    <dataValidation type="list" allowBlank="1" showInputMessage="1" showErrorMessage="1" error="Ja / Nein ??" sqref="G245" xr:uid="{D4DFE011-D887-4824-B839-62D6D011821A}">
      <formula1>DD_JN</formula1>
    </dataValidation>
    <dataValidation type="list" allowBlank="1" showInputMessage="1" showErrorMessage="1" error="Bitte auswählen!" sqref="H285" xr:uid="{1EEA8768-5B2D-46CE-8BEE-772D1CDD6EA4}">
      <formula1>DD_JN</formula1>
    </dataValidation>
    <dataValidation type="list" showInputMessage="1" showErrorMessage="1" sqref="F444 F448 F452 F512 F516 F520 F580 F584 F588 F722 F726 F730 F648 F652 F656 F796 F800 F804 D433 D501 D569 D637 D711 D785" xr:uid="{BA662FB1-0981-4536-8010-4E9E873A21B0}">
      <formula1>DD_JN</formula1>
    </dataValidation>
    <dataValidation type="decimal" errorStyle="warning" allowBlank="1" showInputMessage="1" showErrorMessage="1" error="Negativer Wert oder Wert über 5 % der Bemessungsbasis (erscheint als Einzelwert hoch)!" sqref="F284:F292" xr:uid="{7BFE5ED0-4516-4498-9356-1497C9C3809B}">
      <formula1>0</formula1>
      <formula2>0.05*$H$281</formula2>
    </dataValidation>
    <dataValidation type="list" allowBlank="1" showInputMessage="1" showErrorMessage="1" sqref="A477:B477" xr:uid="{D627A079-7B40-46B3-A28F-9B82CE3D3809}">
      <formula1>$M$476:$M$482</formula1>
    </dataValidation>
    <dataValidation type="list" allowBlank="1" showInputMessage="1" showErrorMessage="1" sqref="A545:B545" xr:uid="{BF2FA201-4B72-45C9-96CD-A0EB0AFD2E02}">
      <formula1>$M$544:$M$550</formula1>
    </dataValidation>
    <dataValidation type="list" allowBlank="1" showInputMessage="1" showErrorMessage="1" sqref="A613:B613" xr:uid="{51445554-9E54-4A49-8B58-AFC5ABAA1F10}">
      <formula1>$M$612:$M$618</formula1>
    </dataValidation>
    <dataValidation type="list" allowBlank="1" showInputMessage="1" showErrorMessage="1" sqref="A681:B681" xr:uid="{5DD082A1-08FD-46A4-BD39-8E5BE56AD0A8}">
      <formula1>$M$680:$M$686</formula1>
    </dataValidation>
    <dataValidation type="list" allowBlank="1" showInputMessage="1" showErrorMessage="1" sqref="E350" xr:uid="{AB5F4CA6-FF29-4CB9-8B22-3D092766BC34}">
      <formula1>$M$361:$M$362</formula1>
    </dataValidation>
    <dataValidation type="list" allowBlank="1" showInputMessage="1" showErrorMessage="1" error="Ja oder Nein auswählen!" sqref="C350" xr:uid="{EB3545C9-ACA0-431A-A990-F769CCE58FA0}">
      <formula1>$M$355:$M$358</formula1>
    </dataValidation>
    <dataValidation type="decimal" operator="greaterThan" allowBlank="1" showInputMessage="1" showErrorMessage="1" sqref="F350" xr:uid="{92E48BC1-890F-4FAF-A1FF-8AB21F1236CA}">
      <formula1>0</formula1>
    </dataValidation>
    <dataValidation type="list" allowBlank="1" showInputMessage="1" showErrorMessage="1" sqref="E511:G511" xr:uid="{6CD3BD82-BB95-4C60-BA01-5A55E47DC8E3}">
      <formula1>$M$511:$M$514</formula1>
    </dataValidation>
    <dataValidation type="list" allowBlank="1" showInputMessage="1" showErrorMessage="1" sqref="E579:G579" xr:uid="{13D78E38-A426-4282-8AF9-A4266B5738F9}">
      <formula1>$M$579:$M$582</formula1>
    </dataValidation>
    <dataValidation type="list" allowBlank="1" showInputMessage="1" showErrorMessage="1" sqref="E647:G647" xr:uid="{742653C3-CE4C-4673-A615-F4C73FAC2B9A}">
      <formula1>$M$647:$M$650</formula1>
    </dataValidation>
    <dataValidation type="list" allowBlank="1" showInputMessage="1" showErrorMessage="1" sqref="E721:G721" xr:uid="{43FAF345-FE02-4958-86A6-4BD250FF23F8}">
      <formula1>$M$721:$M$724</formula1>
    </dataValidation>
    <dataValidation type="list" allowBlank="1" showInputMessage="1" showErrorMessage="1" sqref="E795:G795" xr:uid="{D10795B9-E490-4DE6-9F38-3659459D5629}">
      <formula1>$M$795:$M$798</formula1>
    </dataValidation>
    <dataValidation type="list" allowBlank="1" showInputMessage="1" showErrorMessage="1" sqref="E438:G438 E506:G506 E574:G574 E642:G642 E716:G716 E790:G790" xr:uid="{29974F86-06A1-45A2-82AD-12D0BBF09632}">
      <formula1>$M$438:$M$440</formula1>
    </dataValidation>
    <dataValidation type="list" allowBlank="1" showInputMessage="1" showErrorMessage="1" error="Bitte auswählen. Individuelle Eingabe bei B2b nur bei KZ = INDIV möglich." sqref="H142" xr:uid="{E3A9EAFC-4281-4B0C-8DB4-B105553E5DE7}">
      <formula1>$M$149:$M$151</formula1>
    </dataValidation>
    <dataValidation type="whole" operator="greaterThan" allowBlank="1" showInputMessage="1" showErrorMessage="1" error="Zahl &gt; 0 eingeben!" sqref="G289:H289 G300:H300" xr:uid="{9C132B96-7731-485C-A7AF-31B9B50DCA92}">
      <formula1>0</formula1>
    </dataValidation>
    <dataValidation type="list" allowBlank="1" showInputMessage="1" showErrorMessage="1" sqref="C30" xr:uid="{6AA08971-D48D-409C-9241-98CACA9DC435}">
      <formula1>$F$29:$G$29</formula1>
    </dataValidation>
    <dataValidation type="list" allowBlank="1" showInputMessage="1" showErrorMessage="1" sqref="E443:G443" xr:uid="{9739538A-7C71-48C0-8E73-CBFC30A527B4}">
      <formula1>$M$443:$M$446</formula1>
    </dataValidation>
    <dataValidation type="list" allowBlank="1" showInputMessage="1" showErrorMessage="1" sqref="A755:B755" xr:uid="{CCA79874-DAB7-4B03-889B-9A7DD6FA91B9}">
      <formula1>$M$756:$M$763</formula1>
    </dataValidation>
    <dataValidation type="list" allowBlank="1" showInputMessage="1" showErrorMessage="1" sqref="A829:B829" xr:uid="{1C0E0965-BB21-480C-A33F-4CDF44CA2DD1}">
      <formula1>$M$830:$M$837</formula1>
    </dataValidation>
    <dataValidation type="decimal" allowBlank="1" showInputMessage="1" showErrorMessage="1" error="Eingabe verursacht Veränderung des Rechenwergebnisses von mehr als +/-20%." sqref="F138" xr:uid="{CCC2B3C5-0EC5-42FC-8C83-9B5F3F5B4332}">
      <formula1>0</formula1>
      <formula2>1</formula2>
    </dataValidation>
    <dataValidation type="list" allowBlank="1" showInputMessage="1" showErrorMessage="1" sqref="C221:E221" xr:uid="{536D45C1-24BC-4DD8-A253-823C750D0CF9}">
      <formula1>$M$213:$M$216</formula1>
    </dataValidation>
    <dataValidation type="list" allowBlank="1" showInputMessage="1" showErrorMessage="1" sqref="E51:H51" xr:uid="{4BC7AF75-5418-4849-AA7A-F4E4FFA1CAF1}">
      <formula1>$M$71:$M$74</formula1>
    </dataValidation>
    <dataValidation type="decimal" operator="greaterThan" allowBlank="1" showInputMessage="1" showErrorMessage="1" error="Zielwert muss &gt; 0 sein!" sqref="D363" xr:uid="{69F2935E-3073-48FE-98A0-5A838611F12F}">
      <formula1>0</formula1>
    </dataValidation>
    <dataValidation type="list" allowBlank="1" showInputMessage="1" showErrorMessage="1" sqref="B362" xr:uid="{AB7E3E0C-2517-4C4C-954C-371CDE9C6A0F}">
      <formula1>$M$411:$M$413</formula1>
    </dataValidation>
    <dataValidation type="date" operator="greaterThan" allowBlank="1" showInputMessage="1" showErrorMessage="1" sqref="F18:G19" xr:uid="{1B88171E-BFEA-4140-8D13-B9FFA0BD27A8}">
      <formula1>43952</formula1>
    </dataValidation>
    <dataValidation type="list" allowBlank="1" showInputMessage="1" showErrorMessage="1" sqref="F72 G73 G115 G167 F227:F228" xr:uid="{1DA9AF06-65AB-4AEE-9920-F0D708F111B5}">
      <formula1>DD_Aufrunden</formula1>
    </dataValidation>
    <dataValidation type="decimal" errorStyle="warning" allowBlank="1" showInputMessage="1" showErrorMessage="1" error="Wert der +/- 5 % der PGK überschreitet. Wert der PGK wird dadurch erheblich verändert (Pkt G3). Auf die Plausibilität der PGK (Pkt G) achten." sqref="E365" xr:uid="{27D19FE8-7C80-4264-8294-EBC3023CBA94}">
      <formula1>-0.05</formula1>
      <formula2>0.05</formula2>
    </dataValidation>
    <dataValidation type="decimal" errorStyle="warning" allowBlank="1" showInputMessage="1" showErrorMessage="1" error="Wert der +/- 5 % der PGK überschreitet. Wert der PGK wird dadurch erheblich verändert (Pkt G3). Auf die Plausibilität der PGK (Pkt G) achten." sqref="F365" xr:uid="{6815B710-1ADA-4D5C-9F14-B75750F94ABC}">
      <formula1>-0.05*$H$281</formula1>
      <formula2>0.05*$H$281</formula2>
    </dataValidation>
  </dataValidations>
  <printOptions horizontalCentered="1"/>
  <pageMargins left="0.19685039370078741" right="0.19685039370078741" top="0.39370078740157483" bottom="0.39370078740157483" header="0.31496062992125984" footer="0.31496062992125984"/>
  <pageSetup paperSize="9" orientation="portrait" r:id="rId1"/>
  <headerFooter>
    <oddFooter>&amp;L&amp;8K3-Detailberechnung
Seite: &amp;P von &amp;N&amp;R&amp;8&amp;F</oddFooter>
  </headerFooter>
  <rowBreaks count="28" manualBreakCount="28">
    <brk id="31" max="16383" man="1"/>
    <brk id="64" max="16383" man="1"/>
    <brk id="96" max="16383" man="1"/>
    <brk id="117" max="16383" man="1"/>
    <brk id="140" max="16383" man="1"/>
    <brk id="169" max="16383" man="1"/>
    <brk id="202" max="16383" man="1"/>
    <brk id="237" max="16383" man="1"/>
    <brk id="279" max="16383" man="1"/>
    <brk id="311" max="16383" man="1"/>
    <brk id="348" max="16383" man="1"/>
    <brk id="416" max="16383" man="1"/>
    <brk id="454" max="16383" man="1"/>
    <brk id="484" max="16383" man="1"/>
    <brk id="522" max="16383" man="1"/>
    <brk id="552" max="16383" man="1"/>
    <brk id="590" max="16383" man="1"/>
    <brk id="620" max="16383" man="1"/>
    <brk id="658" max="16383" man="1"/>
    <brk id="688" max="16383" man="1"/>
    <brk id="714" max="16383" man="1"/>
    <brk id="732" max="16383" man="1"/>
    <brk id="741" max="16383" man="1"/>
    <brk id="762" max="16383" man="1"/>
    <brk id="788" max="16383" man="1"/>
    <brk id="806" max="16383" man="1"/>
    <brk id="836" max="16383" man="1"/>
    <brk id="874" max="16383" man="1"/>
  </rowBreaks>
  <ignoredErrors>
    <ignoredError sqref="G339" unlockedFormula="1"/>
    <ignoredError sqref="G222:H222 G258 G493 G700 G774" formula="1"/>
    <ignoredError sqref="B389 A851:H866 D846:H849 A868:H871 B867:H867 A874:H874 B872:H872 B873:H873" evalError="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42D22-ADD6-468B-89FB-A8DEDC568E15}">
  <sheetPr codeName="Tabelle6">
    <tabColor rgb="FFFFFF00"/>
  </sheetPr>
  <dimension ref="A1:R1070"/>
  <sheetViews>
    <sheetView showGridLines="0" topLeftCell="A16" zoomScale="115" zoomScaleNormal="115" workbookViewId="0">
      <selection activeCell="G12" sqref="G12"/>
    </sheetView>
  </sheetViews>
  <sheetFormatPr baseColWidth="10" defaultColWidth="10.6640625" defaultRowHeight="15.75" x14ac:dyDescent="0.25"/>
  <cols>
    <col min="1" max="1" width="4.21875" style="883" customWidth="1"/>
    <col min="2" max="2" width="10.21875" style="883" customWidth="1"/>
    <col min="3" max="9" width="9.44140625" style="883" customWidth="1"/>
    <col min="10" max="10" width="10.6640625" style="883"/>
    <col min="11" max="18" width="10.6640625" style="1272" hidden="1" customWidth="1"/>
    <col min="19" max="23" width="10.6640625" style="883" customWidth="1"/>
    <col min="24" max="16384" width="10.6640625" style="883"/>
  </cols>
  <sheetData>
    <row r="1" spans="1:18" x14ac:dyDescent="0.25">
      <c r="A1" s="3098" t="s">
        <v>1123</v>
      </c>
      <c r="B1" s="3099"/>
      <c r="C1" s="3099"/>
      <c r="D1" s="3099"/>
      <c r="E1" s="3099"/>
      <c r="F1" s="3099"/>
      <c r="G1" s="3099"/>
      <c r="H1" s="3099"/>
      <c r="I1" s="3100"/>
      <c r="K1" s="1334"/>
      <c r="L1" s="1334"/>
      <c r="M1" s="1334"/>
      <c r="N1" s="1334"/>
      <c r="O1" s="1334"/>
      <c r="P1" s="1334"/>
      <c r="Q1" s="1334"/>
      <c r="R1" s="1334"/>
    </row>
    <row r="2" spans="1:18" x14ac:dyDescent="0.25">
      <c r="A2" s="3101"/>
      <c r="B2" s="3102"/>
      <c r="C2" s="3102"/>
      <c r="D2" s="3102"/>
      <c r="E2" s="3102"/>
      <c r="F2" s="3102"/>
      <c r="G2" s="3102"/>
      <c r="H2" s="3102"/>
      <c r="I2" s="3103"/>
    </row>
    <row r="3" spans="1:18" x14ac:dyDescent="0.25">
      <c r="K3" s="1272" t="s">
        <v>421</v>
      </c>
    </row>
    <row r="4" spans="1:18" ht="20.100000000000001" customHeight="1" x14ac:dyDescent="0.25">
      <c r="A4" s="1530" t="s">
        <v>1093</v>
      </c>
      <c r="B4" s="1345"/>
      <c r="C4" s="1345"/>
      <c r="D4" s="1345"/>
      <c r="E4" s="1345"/>
      <c r="F4" s="1345"/>
      <c r="G4" s="1345"/>
      <c r="H4" s="1345"/>
      <c r="I4" s="1346"/>
      <c r="K4" s="1272" t="s">
        <v>993</v>
      </c>
    </row>
    <row r="5" spans="1:18" x14ac:dyDescent="0.25">
      <c r="A5" s="3127" t="s">
        <v>1074</v>
      </c>
      <c r="B5" s="3128"/>
      <c r="C5" s="3128"/>
      <c r="D5" s="3128"/>
      <c r="E5" s="3129"/>
      <c r="F5" s="3121" t="s">
        <v>1064</v>
      </c>
      <c r="G5" s="3122"/>
      <c r="H5" s="3123" t="s">
        <v>1070</v>
      </c>
      <c r="I5" s="3125" t="s">
        <v>1071</v>
      </c>
      <c r="K5" s="1272" t="s">
        <v>989</v>
      </c>
    </row>
    <row r="6" spans="1:18" x14ac:dyDescent="0.25">
      <c r="A6" s="3130"/>
      <c r="B6" s="3131"/>
      <c r="C6" s="3131"/>
      <c r="D6" s="3131"/>
      <c r="E6" s="3132"/>
      <c r="F6" s="1846" t="s">
        <v>1072</v>
      </c>
      <c r="G6" s="1847" t="s">
        <v>1073</v>
      </c>
      <c r="H6" s="3124"/>
      <c r="I6" s="3126"/>
      <c r="K6" s="1272" t="s">
        <v>994</v>
      </c>
    </row>
    <row r="7" spans="1:18" x14ac:dyDescent="0.25">
      <c r="A7" s="1843" t="s">
        <v>1067</v>
      </c>
      <c r="B7" s="1844"/>
      <c r="C7" s="1844"/>
      <c r="D7" s="1844"/>
      <c r="E7" s="1844"/>
      <c r="F7" s="1321">
        <v>0.15</v>
      </c>
      <c r="G7" s="1316">
        <v>0</v>
      </c>
      <c r="H7" s="1839" t="str">
        <f ca="1">IF(KALKULATION!J55&lt;&gt;"","X","")</f>
        <v/>
      </c>
      <c r="I7" s="1840" t="s">
        <v>422</v>
      </c>
    </row>
    <row r="8" spans="1:18" x14ac:dyDescent="0.25">
      <c r="A8" s="1843" t="s">
        <v>1068</v>
      </c>
      <c r="B8" s="1844"/>
      <c r="C8" s="1844"/>
      <c r="D8" s="1844"/>
      <c r="E8" s="1844"/>
      <c r="F8" s="1321">
        <v>0.1</v>
      </c>
      <c r="G8" s="1316">
        <v>0</v>
      </c>
      <c r="H8" s="1839" t="str">
        <f>IF(KALKULATION!J61&lt;&gt;"","X","")</f>
        <v/>
      </c>
      <c r="I8" s="1840" t="s">
        <v>423</v>
      </c>
    </row>
    <row r="9" spans="1:18" x14ac:dyDescent="0.25">
      <c r="A9" s="1843" t="s">
        <v>1069</v>
      </c>
      <c r="B9" s="1844"/>
      <c r="C9" s="1844"/>
      <c r="D9" s="1844"/>
      <c r="E9" s="1844"/>
      <c r="F9" s="1322">
        <v>48</v>
      </c>
      <c r="G9" s="1317">
        <v>38.5</v>
      </c>
      <c r="H9" s="1839" t="str">
        <f ca="1">IF(KALKULATION!J95&lt;&gt;"","X","")</f>
        <v/>
      </c>
      <c r="I9" s="1840" t="s">
        <v>1065</v>
      </c>
    </row>
    <row r="10" spans="1:18" x14ac:dyDescent="0.25">
      <c r="A10" s="1843" t="s">
        <v>1075</v>
      </c>
      <c r="B10" s="1844"/>
      <c r="C10" s="1844"/>
      <c r="D10" s="1844"/>
      <c r="E10" s="1844"/>
      <c r="F10" s="1321">
        <v>0.85</v>
      </c>
      <c r="G10" s="1316">
        <v>0.6</v>
      </c>
      <c r="H10" s="1839" t="str">
        <f ca="1">IF(KALKULATION!J265&lt;&gt;"","X","")</f>
        <v/>
      </c>
      <c r="I10" s="1840" t="s">
        <v>424</v>
      </c>
    </row>
    <row r="11" spans="1:18" x14ac:dyDescent="0.25">
      <c r="A11" s="1843" t="s">
        <v>1076</v>
      </c>
      <c r="B11" s="1844"/>
      <c r="C11" s="1844"/>
      <c r="D11" s="1844"/>
      <c r="E11" s="1844"/>
      <c r="F11" s="1323">
        <v>3</v>
      </c>
      <c r="G11" s="1318">
        <v>1.9</v>
      </c>
      <c r="H11" s="1839" t="str">
        <f ca="1">IF(KALKULATION!J260&lt;&gt;"","X","")</f>
        <v/>
      </c>
      <c r="I11" s="1840" t="s">
        <v>425</v>
      </c>
    </row>
    <row r="12" spans="1:18" x14ac:dyDescent="0.25">
      <c r="A12" s="1843" t="s">
        <v>1077</v>
      </c>
      <c r="B12" s="1844"/>
      <c r="C12" s="1844"/>
      <c r="D12" s="1844"/>
      <c r="E12" s="1844"/>
      <c r="F12" s="1321">
        <v>0.15</v>
      </c>
      <c r="G12" s="1319">
        <v>0.05</v>
      </c>
      <c r="H12" s="1839" t="str">
        <f ca="1">IF(KALKULATION!J307&lt;&gt;"","X","")</f>
        <v/>
      </c>
      <c r="I12" s="1840" t="s">
        <v>426</v>
      </c>
    </row>
    <row r="13" spans="1:18" x14ac:dyDescent="0.25">
      <c r="A13" s="1845" t="s">
        <v>1078</v>
      </c>
      <c r="B13" s="1306"/>
      <c r="C13" s="1306"/>
      <c r="D13" s="1306"/>
      <c r="E13" s="1306"/>
      <c r="F13" s="1324">
        <v>0.3</v>
      </c>
      <c r="G13" s="1320">
        <v>0.09</v>
      </c>
      <c r="H13" s="1841" t="str">
        <f>IF(KALKULATION!K345&lt;&gt;"","X","")</f>
        <v/>
      </c>
      <c r="I13" s="1842" t="s">
        <v>1090</v>
      </c>
    </row>
    <row r="14" spans="1:18" ht="15.75" customHeight="1" x14ac:dyDescent="0.25">
      <c r="A14" s="3133" t="str">
        <f ca="1">IFERROR(IF(FIND("X",H7&amp;H8&amp;H9&amp;H10&amp;H11&amp;H12&amp;H13)&gt;0,K14,""),K15)</f>
        <v>Alle mittels Richtwerte beurteilten Punkte liegen innerhalb der angegebenen Grenzwerte.</v>
      </c>
      <c r="B14" s="3134"/>
      <c r="C14" s="3134"/>
      <c r="D14" s="3134"/>
      <c r="E14" s="3134"/>
      <c r="F14" s="3134"/>
      <c r="G14" s="3134"/>
      <c r="H14" s="3134"/>
      <c r="I14" s="3135"/>
      <c r="K14" s="2111" t="s">
        <v>1100</v>
      </c>
    </row>
    <row r="15" spans="1:18" x14ac:dyDescent="0.25">
      <c r="A15" s="3136"/>
      <c r="B15" s="3137"/>
      <c r="C15" s="3137"/>
      <c r="D15" s="3137"/>
      <c r="E15" s="3137"/>
      <c r="F15" s="3137"/>
      <c r="G15" s="3137"/>
      <c r="H15" s="3137"/>
      <c r="I15" s="3138"/>
      <c r="K15" s="2111" t="s">
        <v>1079</v>
      </c>
    </row>
    <row r="16" spans="1:18" x14ac:dyDescent="0.25">
      <c r="A16" s="3139"/>
      <c r="B16" s="3140"/>
      <c r="C16" s="3140"/>
      <c r="D16" s="3140"/>
      <c r="E16" s="3140"/>
      <c r="F16" s="3140"/>
      <c r="G16" s="3140"/>
      <c r="H16" s="3140"/>
      <c r="I16" s="3141"/>
    </row>
    <row r="18" spans="1:10" x14ac:dyDescent="0.25">
      <c r="A18" s="1344" t="s">
        <v>344</v>
      </c>
      <c r="B18" s="1345"/>
      <c r="C18" s="1345"/>
      <c r="D18" s="1345"/>
      <c r="E18" s="1345"/>
      <c r="F18" s="1345"/>
      <c r="G18" s="1345"/>
      <c r="H18" s="1345"/>
      <c r="I18" s="1346"/>
    </row>
    <row r="19" spans="1:10" x14ac:dyDescent="0.25">
      <c r="A19" s="3079" t="str">
        <f ca="1">IF(_OK?&lt;&gt;"OK!","Ungenaue Kalkulation (Rundungen) und Ergebnisse wegen fehlender Lizenz!!",IFERROR(IF(KALKULATION!E410=KALKULATION!M287,"Kalkulation konnte wegen einer unzulässigen Rundung (siehe PROJEKT J3) nicht abgeschlossen werden.",IF(I50&lt;&gt;0,"Kalkulation konnte mit einem Ergebnis abgeschlossen werden.","Kalkulation liefert zur Zeit kein Endergebnis. ")),$K$6))</f>
        <v>Ungenaue Kalkulation (Rundungen) und Ergebnisse wegen fehlender Lizenz!!</v>
      </c>
      <c r="B19" s="3080"/>
      <c r="C19" s="3080"/>
      <c r="D19" s="3080"/>
      <c r="E19" s="3080"/>
      <c r="F19" s="3080"/>
      <c r="G19" s="3080"/>
      <c r="H19" s="3080"/>
      <c r="I19" s="3081"/>
    </row>
    <row r="20" spans="1:10" x14ac:dyDescent="0.25">
      <c r="A20" s="3109"/>
      <c r="B20" s="3110"/>
      <c r="C20" s="3110"/>
      <c r="D20" s="3110"/>
      <c r="E20" s="3110"/>
      <c r="F20" s="3110"/>
      <c r="G20" s="3110"/>
      <c r="H20" s="3110"/>
      <c r="I20" s="3111"/>
    </row>
    <row r="21" spans="1:10" x14ac:dyDescent="0.25">
      <c r="A21" s="3082"/>
      <c r="B21" s="3083"/>
      <c r="C21" s="3083"/>
      <c r="D21" s="3083"/>
      <c r="E21" s="3083"/>
      <c r="F21" s="3083"/>
      <c r="G21" s="3083"/>
      <c r="H21" s="3083"/>
      <c r="I21" s="3084"/>
    </row>
    <row r="22" spans="1:10" ht="15.75" customHeight="1" x14ac:dyDescent="0.25">
      <c r="A22" s="1347" t="s">
        <v>357</v>
      </c>
      <c r="B22" s="1348"/>
      <c r="C22" s="1348"/>
      <c r="D22" s="1349"/>
      <c r="E22" s="1350" t="s">
        <v>400</v>
      </c>
      <c r="F22" s="1351"/>
      <c r="G22" s="1352" t="s">
        <v>244</v>
      </c>
      <c r="H22" s="1353"/>
      <c r="I22" s="1354" t="s">
        <v>56</v>
      </c>
    </row>
    <row r="23" spans="1:10" x14ac:dyDescent="0.25">
      <c r="A23" s="1355"/>
      <c r="B23" s="267"/>
      <c r="C23" s="1356"/>
      <c r="D23" s="1357"/>
      <c r="E23" s="1358" t="s">
        <v>72</v>
      </c>
      <c r="F23" s="1359" t="s">
        <v>73</v>
      </c>
      <c r="G23" s="1360" t="s">
        <v>72</v>
      </c>
      <c r="H23" s="1361" t="s">
        <v>73</v>
      </c>
      <c r="I23" s="1362"/>
    </row>
    <row r="24" spans="1:10" ht="14.85" customHeight="1" x14ac:dyDescent="0.25">
      <c r="A24" s="1363" t="s">
        <v>242</v>
      </c>
      <c r="B24" s="1364"/>
      <c r="C24" s="1364"/>
      <c r="D24" s="516"/>
      <c r="E24" s="1365">
        <f ca="1">IF(_OK?="OK!",KALKULATION!D67,ROUND(KALKULATION!D67,0))</f>
        <v>126</v>
      </c>
      <c r="F24" s="1366">
        <f ca="1">IFERROR(KALKULATION!E67*KALKULATION!H73/KALKULATION!H70,0)</f>
        <v>18.05</v>
      </c>
      <c r="G24" s="1367"/>
      <c r="H24" s="1368"/>
      <c r="I24" s="1369">
        <f ca="1">SUM(E24:H24)</f>
        <v>144.05000000000001</v>
      </c>
      <c r="J24" s="1883" t="str">
        <f ca="1">IF(_OK?="f","Testversion; gerundete Werte!!","")</f>
        <v>Testversion; gerundete Werte!!</v>
      </c>
    </row>
    <row r="25" spans="1:10" ht="14.85" customHeight="1" x14ac:dyDescent="0.25">
      <c r="A25" s="1363" t="s">
        <v>243</v>
      </c>
      <c r="B25" s="1364"/>
      <c r="C25" s="1364"/>
      <c r="D25" s="516"/>
      <c r="E25" s="1365"/>
      <c r="F25" s="1366"/>
      <c r="G25" s="1367">
        <f ca="1">IFERROR(KALKULATION!D69*KALKULATION!G72/KALKULATION!G70,0)</f>
        <v>15.12</v>
      </c>
      <c r="H25" s="1368">
        <f ca="1">IFERROR(KALKULATION!E69*KALKULATION!H73/KALKULATION!H70*KALKULATION!G72/KALKULATION!G70,0)</f>
        <v>2.27</v>
      </c>
      <c r="I25" s="1369">
        <f t="shared" ref="I25:I49" ca="1" si="0">SUM(E25:H25)</f>
        <v>17.39</v>
      </c>
      <c r="J25" s="1370"/>
    </row>
    <row r="26" spans="1:10" ht="14.85" customHeight="1" x14ac:dyDescent="0.25">
      <c r="A26" s="1371" t="s">
        <v>330</v>
      </c>
      <c r="B26" s="1364"/>
      <c r="C26" s="1364"/>
      <c r="D26" s="516"/>
      <c r="E26" s="1372">
        <f ca="1">IFERROR(KALKULATION!D68*KALKULATION!G72/KALKULATION!G70,0)</f>
        <v>0</v>
      </c>
      <c r="F26" s="1366">
        <f ca="1">IFERROR(KALKULATION!E68*KALKULATION!G72/KALKULATION!G70*KALKULATION!H73/KALKULATION!H70,0)</f>
        <v>0</v>
      </c>
      <c r="G26" s="1367"/>
      <c r="H26" s="1368"/>
      <c r="I26" s="1369">
        <f t="shared" ca="1" si="0"/>
        <v>0</v>
      </c>
      <c r="J26" s="1370"/>
    </row>
    <row r="27" spans="1:10" ht="14.85" customHeight="1" x14ac:dyDescent="0.25">
      <c r="A27" s="1371" t="s">
        <v>136</v>
      </c>
      <c r="B27" s="1364"/>
      <c r="C27" s="1373">
        <f ca="1">IFERROR(KALKULATION!H134*KALKULATION!H167/KALKULATION!H165,0)</f>
        <v>0.03</v>
      </c>
      <c r="D27" s="1374">
        <f ca="1">IFERROR(KALKULATION!H154*KALKULATION!H167/KALKULATION!H165,0)</f>
        <v>0.03</v>
      </c>
      <c r="E27" s="1372">
        <f ca="1">SUM(E24,E26)*C27</f>
        <v>3.78</v>
      </c>
      <c r="F27" s="1366"/>
      <c r="G27" s="1367">
        <f ca="1">G25*D27</f>
        <v>0.45</v>
      </c>
      <c r="H27" s="1368"/>
      <c r="I27" s="1369">
        <f t="shared" ca="1" si="0"/>
        <v>4.2300000000000004</v>
      </c>
      <c r="J27" s="1370"/>
    </row>
    <row r="28" spans="1:10" ht="14.85" customHeight="1" x14ac:dyDescent="0.25">
      <c r="A28" s="1371" t="s">
        <v>990</v>
      </c>
      <c r="B28" s="1364"/>
      <c r="C28" s="1364"/>
      <c r="D28" s="1375">
        <f ca="1">IFERROR(KALKULATION!H95/KALKULATION!C95*KALKULATION!H115/KALKULATION!H113,0)</f>
        <v>4.2999999999999997E-2</v>
      </c>
      <c r="E28" s="1372">
        <f ca="1">SUM(E24,E26)*D28</f>
        <v>5.42</v>
      </c>
      <c r="F28" s="1366"/>
      <c r="G28" s="1367">
        <f ca="1">SUM(G25)*D28</f>
        <v>0.65</v>
      </c>
      <c r="H28" s="1368"/>
      <c r="I28" s="1369">
        <f t="shared" ca="1" si="0"/>
        <v>6.07</v>
      </c>
      <c r="J28" s="1370"/>
    </row>
    <row r="29" spans="1:10" ht="14.85" customHeight="1" x14ac:dyDescent="0.25">
      <c r="A29" s="1363" t="s">
        <v>348</v>
      </c>
      <c r="B29" s="1364"/>
      <c r="C29" s="516"/>
      <c r="D29" s="1376">
        <f ca="1">IFERROR(KALKULATION!H110/KALKULATION!C95*KALKULATION!H115/KALKULATION!H113,0)</f>
        <v>0</v>
      </c>
      <c r="E29" s="1365">
        <f ca="1">SUM(E24,E26)*D29</f>
        <v>0</v>
      </c>
      <c r="F29" s="1366"/>
      <c r="G29" s="1367">
        <f ca="1">SUM(G25)*D29</f>
        <v>0</v>
      </c>
      <c r="H29" s="1368"/>
      <c r="I29" s="1369">
        <f t="shared" ca="1" si="0"/>
        <v>0</v>
      </c>
      <c r="J29" s="1370"/>
    </row>
    <row r="30" spans="1:10" ht="14.85" customHeight="1" x14ac:dyDescent="0.25">
      <c r="A30" s="1363" t="s">
        <v>962</v>
      </c>
      <c r="B30" s="1364"/>
      <c r="C30" s="1364"/>
      <c r="D30" s="1376"/>
      <c r="E30" s="1365">
        <f ca="1">I30-G30</f>
        <v>7.99</v>
      </c>
      <c r="F30" s="1377"/>
      <c r="G30" s="1367">
        <f ca="1">KALKULATION!R214*Report!D50</f>
        <v>0.83</v>
      </c>
      <c r="H30" s="1368"/>
      <c r="I30" s="1369">
        <f ca="1">KALKULATION!H228*Report!D50</f>
        <v>8.82</v>
      </c>
      <c r="J30" s="1370"/>
    </row>
    <row r="31" spans="1:10" ht="14.85" customHeight="1" x14ac:dyDescent="0.25">
      <c r="A31" s="1378" t="s">
        <v>963</v>
      </c>
      <c r="B31" s="1379"/>
      <c r="C31" s="1379"/>
      <c r="D31" s="1865"/>
      <c r="E31" s="1381">
        <f ca="1">SUM(E24:E30)</f>
        <v>143.19</v>
      </c>
      <c r="F31" s="1382">
        <f ca="1">SUM(F24:F30)</f>
        <v>18.05</v>
      </c>
      <c r="G31" s="1383">
        <f ca="1">SUM(G24:G30)</f>
        <v>17.05</v>
      </c>
      <c r="H31" s="1384">
        <f ca="1">SUM(H24:H30)</f>
        <v>2.27</v>
      </c>
      <c r="I31" s="1385">
        <f t="shared" ca="1" si="0"/>
        <v>180.56</v>
      </c>
      <c r="J31" s="1370"/>
    </row>
    <row r="32" spans="1:10" ht="14.85" customHeight="1" x14ac:dyDescent="0.25">
      <c r="A32" s="1371"/>
      <c r="B32" s="1364"/>
      <c r="C32" s="1364"/>
      <c r="D32" s="1506"/>
      <c r="E32" s="1365"/>
      <c r="F32" s="1377"/>
      <c r="G32" s="1367"/>
      <c r="H32" s="1368"/>
      <c r="I32" s="1369"/>
      <c r="J32" s="1370"/>
    </row>
    <row r="33" spans="1:10" ht="14.85" customHeight="1" x14ac:dyDescent="0.25">
      <c r="A33" s="1371" t="s">
        <v>246</v>
      </c>
      <c r="B33" s="1364"/>
      <c r="C33" s="1364"/>
      <c r="D33" s="1506"/>
      <c r="E33" s="1365">
        <f ca="1">E31+F31</f>
        <v>161.24</v>
      </c>
      <c r="F33" s="1377"/>
      <c r="G33" s="1367">
        <f ca="1">G31+H31</f>
        <v>19.32</v>
      </c>
      <c r="H33" s="1368"/>
      <c r="I33" s="1369">
        <f t="shared" ca="1" si="0"/>
        <v>180.56</v>
      </c>
      <c r="J33" s="1370"/>
    </row>
    <row r="34" spans="1:10" ht="14.85" customHeight="1" x14ac:dyDescent="0.25">
      <c r="A34" s="669" t="s">
        <v>334</v>
      </c>
      <c r="B34" s="267"/>
      <c r="C34" s="267"/>
      <c r="D34" s="1224">
        <f ca="1">KALKULATION!H236</f>
        <v>0.28999999999999998</v>
      </c>
      <c r="E34" s="1365">
        <f ca="1">D34*E33</f>
        <v>46.76</v>
      </c>
      <c r="F34" s="1377"/>
      <c r="G34" s="1367">
        <f ca="1">D34*G33</f>
        <v>5.6</v>
      </c>
      <c r="H34" s="1368"/>
      <c r="I34" s="1369">
        <f t="shared" ca="1" si="0"/>
        <v>52.36</v>
      </c>
      <c r="J34" s="1370"/>
    </row>
    <row r="35" spans="1:10" ht="14.85" customHeight="1" x14ac:dyDescent="0.25">
      <c r="A35" s="669" t="s">
        <v>335</v>
      </c>
      <c r="B35" s="1364"/>
      <c r="C35" s="1364"/>
      <c r="D35" s="1506">
        <f ca="1">KALKULATION!H265</f>
        <v>0.77</v>
      </c>
      <c r="E35" s="1365">
        <f ca="1">D35*E33</f>
        <v>124.15</v>
      </c>
      <c r="F35" s="1377"/>
      <c r="G35" s="1367">
        <f ca="1">D35*G33</f>
        <v>14.88</v>
      </c>
      <c r="H35" s="1368"/>
      <c r="I35" s="1369">
        <f t="shared" ca="1" si="0"/>
        <v>139.03</v>
      </c>
      <c r="J35" s="1370"/>
    </row>
    <row r="36" spans="1:10" ht="14.85" customHeight="1" x14ac:dyDescent="0.25">
      <c r="A36" s="669" t="s">
        <v>336</v>
      </c>
      <c r="B36" s="1364"/>
      <c r="C36" s="1364"/>
      <c r="D36" s="1506">
        <f ca="1">KALKULATION!H277</f>
        <v>2.5000000000000001E-3</v>
      </c>
      <c r="E36" s="1365">
        <f ca="1">D36*E33</f>
        <v>0.4</v>
      </c>
      <c r="F36" s="1377"/>
      <c r="G36" s="1367">
        <f ca="1">D36*G33</f>
        <v>0.05</v>
      </c>
      <c r="H36" s="1368"/>
      <c r="I36" s="1369">
        <f t="shared" ca="1" si="0"/>
        <v>0.45</v>
      </c>
      <c r="J36" s="1370"/>
    </row>
    <row r="37" spans="1:10" ht="14.85" customHeight="1" x14ac:dyDescent="0.25">
      <c r="A37" s="1866" t="s">
        <v>943</v>
      </c>
      <c r="B37" s="1867"/>
      <c r="C37" s="1867"/>
      <c r="D37" s="1515"/>
      <c r="E37" s="1365">
        <f ca="1">I37-G37</f>
        <v>10.85</v>
      </c>
      <c r="F37" s="1377"/>
      <c r="G37" s="1367">
        <f ca="1">KALKULATION!Q214*Report!D50</f>
        <v>1.1200000000000001</v>
      </c>
      <c r="H37" s="1368"/>
      <c r="I37" s="1369">
        <f ca="1">KALKULATION!G227*Report!D50</f>
        <v>11.97</v>
      </c>
      <c r="J37" s="1370"/>
    </row>
    <row r="38" spans="1:10" ht="14.85" customHeight="1" x14ac:dyDescent="0.25">
      <c r="A38" s="1386" t="s">
        <v>239</v>
      </c>
      <c r="B38" s="1387"/>
      <c r="C38" s="1387"/>
      <c r="D38" s="1388"/>
      <c r="E38" s="1381">
        <f ca="1">SUM(E33:E37)</f>
        <v>343.4</v>
      </c>
      <c r="F38" s="1382"/>
      <c r="G38" s="1383">
        <f ca="1">SUM(G33:G37)</f>
        <v>40.97</v>
      </c>
      <c r="H38" s="1389"/>
      <c r="I38" s="1385">
        <f t="shared" ca="1" si="0"/>
        <v>384.37</v>
      </c>
      <c r="J38" s="1370"/>
    </row>
    <row r="39" spans="1:10" ht="14.85" customHeight="1" x14ac:dyDescent="0.25">
      <c r="A39" s="1390" t="s">
        <v>965</v>
      </c>
      <c r="B39" s="1391"/>
      <c r="C39" s="1391"/>
      <c r="D39" s="1392">
        <f ca="1">' K3 PP'!M34</f>
        <v>2.2599999999999998</v>
      </c>
      <c r="E39" s="1365">
        <f ca="1">KALKULATION!F308*KALKULATION!F63</f>
        <v>14.25</v>
      </c>
      <c r="F39" s="1377"/>
      <c r="G39" s="1367"/>
      <c r="H39" s="1393"/>
      <c r="I39" s="3142">
        <f ca="1">SUM(E39:H40)</f>
        <v>37.31</v>
      </c>
      <c r="J39" s="1370"/>
    </row>
    <row r="40" spans="1:10" ht="14.85" customHeight="1" x14ac:dyDescent="0.25">
      <c r="A40" s="1394" t="s">
        <v>964</v>
      </c>
      <c r="B40" s="1395"/>
      <c r="C40" s="1395"/>
      <c r="D40" s="1396">
        <f>KALKULATION!E306</f>
        <v>0.06</v>
      </c>
      <c r="E40" s="1397">
        <f ca="1">D40*E38</f>
        <v>20.6</v>
      </c>
      <c r="F40" s="1398"/>
      <c r="G40" s="1399">
        <f ca="1">D40*G38</f>
        <v>2.46</v>
      </c>
      <c r="H40" s="1400"/>
      <c r="I40" s="3144"/>
      <c r="J40" s="1370"/>
    </row>
    <row r="41" spans="1:10" ht="14.85" customHeight="1" x14ac:dyDescent="0.25">
      <c r="A41" s="1390" t="s">
        <v>338</v>
      </c>
      <c r="B41" s="1391"/>
      <c r="C41" s="1391"/>
      <c r="D41" s="1401"/>
      <c r="E41" s="1365">
        <f ca="1">SUM(E38:E40)</f>
        <v>378.25</v>
      </c>
      <c r="F41" s="1377"/>
      <c r="G41" s="1367">
        <f ca="1">SUM(G38:G40)</f>
        <v>43.43</v>
      </c>
      <c r="H41" s="1393"/>
      <c r="I41" s="1369">
        <f t="shared" ca="1" si="0"/>
        <v>421.68</v>
      </c>
      <c r="J41" s="1370"/>
    </row>
    <row r="42" spans="1:10" ht="14.85" customHeight="1" x14ac:dyDescent="0.25">
      <c r="A42" s="1402" t="s">
        <v>941</v>
      </c>
      <c r="B42" s="1403"/>
      <c r="C42" s="1403"/>
      <c r="D42" s="1404"/>
      <c r="E42" s="1405">
        <f ca="1">KALKULATION!F339*KALKULATION!F63</f>
        <v>6.43</v>
      </c>
      <c r="F42" s="1406"/>
      <c r="G42" s="1407"/>
      <c r="H42" s="1408"/>
      <c r="I42" s="3142">
        <f ca="1">SUM(E42:H43)</f>
        <v>6.43</v>
      </c>
      <c r="J42" s="1370"/>
    </row>
    <row r="43" spans="1:10" ht="14.85" customHeight="1" x14ac:dyDescent="0.25">
      <c r="A43" s="1402" t="s">
        <v>942</v>
      </c>
      <c r="B43" s="1403"/>
      <c r="C43" s="1403"/>
      <c r="D43" s="1404">
        <f>KALKULATION!G339</f>
        <v>0</v>
      </c>
      <c r="E43" s="1405">
        <f ca="1">D43*E38</f>
        <v>0</v>
      </c>
      <c r="F43" s="1406"/>
      <c r="G43" s="1407">
        <f ca="1">D43*G38</f>
        <v>0</v>
      </c>
      <c r="H43" s="1408"/>
      <c r="I43" s="3142"/>
      <c r="J43" s="1370"/>
    </row>
    <row r="44" spans="1:10" ht="14.85" customHeight="1" x14ac:dyDescent="0.25">
      <c r="A44" s="1409" t="s">
        <v>240</v>
      </c>
      <c r="B44" s="1410"/>
      <c r="C44" s="1410"/>
      <c r="D44" s="1411">
        <f>KALKULATION!G345</f>
        <v>0.28999999999999998</v>
      </c>
      <c r="E44" s="1412">
        <f ca="1">D44*E41</f>
        <v>109.69</v>
      </c>
      <c r="F44" s="1413"/>
      <c r="G44" s="1414">
        <f ca="1">D44*G41</f>
        <v>12.59</v>
      </c>
      <c r="H44" s="1415"/>
      <c r="I44" s="1416">
        <f t="shared" ca="1" si="0"/>
        <v>122.28</v>
      </c>
      <c r="J44" s="1370"/>
    </row>
    <row r="45" spans="1:10" ht="14.85" customHeight="1" x14ac:dyDescent="0.25">
      <c r="A45" s="1417" t="s">
        <v>241</v>
      </c>
      <c r="B45" s="1418"/>
      <c r="C45" s="1418"/>
      <c r="D45" s="1419">
        <f ca="1">IF(KALKULATION!G346="","",KALKULATION!G346)</f>
        <v>0.28999999999999998</v>
      </c>
      <c r="E45" s="1420">
        <f ca="1">IFERROR(E42*$D45,0)+IFERROR(E43*$D45,0)</f>
        <v>1.86</v>
      </c>
      <c r="F45" s="1421"/>
      <c r="G45" s="1407">
        <f ca="1">IFERROR(G42*$D45,0)+IFERROR(G43*$D45,0)</f>
        <v>0</v>
      </c>
      <c r="H45" s="1422"/>
      <c r="I45" s="1423">
        <f t="shared" ca="1" si="0"/>
        <v>1.86</v>
      </c>
      <c r="J45" s="1370"/>
    </row>
    <row r="46" spans="1:10" ht="14.85" customHeight="1" x14ac:dyDescent="0.25">
      <c r="A46" s="1390" t="s">
        <v>339</v>
      </c>
      <c r="B46" s="1391"/>
      <c r="C46" s="1391"/>
      <c r="D46" s="1401"/>
      <c r="E46" s="1365">
        <f ca="1">E41+E44</f>
        <v>487.94</v>
      </c>
      <c r="F46" s="1377"/>
      <c r="G46" s="1365">
        <f ca="1">G41+G44</f>
        <v>56.02</v>
      </c>
      <c r="H46" s="1393"/>
      <c r="I46" s="1369">
        <f t="shared" ca="1" si="0"/>
        <v>543.96</v>
      </c>
      <c r="J46" s="1370"/>
    </row>
    <row r="47" spans="1:10" ht="14.85" customHeight="1" x14ac:dyDescent="0.25">
      <c r="A47" s="1417" t="s">
        <v>340</v>
      </c>
      <c r="B47" s="1418"/>
      <c r="C47" s="1418"/>
      <c r="D47" s="1419"/>
      <c r="E47" s="1420">
        <f ca="1">SUM(E42,E43,E45)</f>
        <v>8.2899999999999991</v>
      </c>
      <c r="F47" s="1421"/>
      <c r="G47" s="1407">
        <f ca="1">SUM(G42,G43,G45)</f>
        <v>0</v>
      </c>
      <c r="H47" s="1424"/>
      <c r="I47" s="1369">
        <f t="shared" ca="1" si="0"/>
        <v>8.2899999999999991</v>
      </c>
      <c r="J47" s="1370"/>
    </row>
    <row r="48" spans="1:10" ht="14.85" customHeight="1" x14ac:dyDescent="0.25">
      <c r="A48" s="1390" t="s">
        <v>341</v>
      </c>
      <c r="B48" s="1391"/>
      <c r="C48" s="1391"/>
      <c r="D48" s="1401"/>
      <c r="E48" s="1365">
        <f ca="1">SUM(E46,E47)</f>
        <v>496.23</v>
      </c>
      <c r="F48" s="1377"/>
      <c r="G48" s="1367">
        <f ca="1">SUM(G46,G47)</f>
        <v>56.02</v>
      </c>
      <c r="H48" s="1393"/>
      <c r="I48" s="1369">
        <f t="shared" ca="1" si="0"/>
        <v>552.25</v>
      </c>
      <c r="J48" s="1370"/>
    </row>
    <row r="49" spans="1:10" ht="14.85" customHeight="1" x14ac:dyDescent="0.25">
      <c r="A49" s="1390" t="s">
        <v>342</v>
      </c>
      <c r="B49" s="1391"/>
      <c r="C49" s="1391"/>
      <c r="D49" s="1401"/>
      <c r="E49" s="1365">
        <f ca="1">E48+G48</f>
        <v>552.25</v>
      </c>
      <c r="F49" s="1377"/>
      <c r="G49" s="1367"/>
      <c r="H49" s="1393"/>
      <c r="I49" s="1369">
        <f t="shared" ca="1" si="0"/>
        <v>552.25</v>
      </c>
      <c r="J49" s="1370"/>
    </row>
    <row r="50" spans="1:10" ht="14.85" customHeight="1" x14ac:dyDescent="0.25">
      <c r="A50" s="1425" t="s">
        <v>343</v>
      </c>
      <c r="B50" s="1426"/>
      <c r="C50" s="1426"/>
      <c r="D50" s="1427">
        <f ca="1">KALKULATION!F63</f>
        <v>6.3</v>
      </c>
      <c r="E50" s="1428">
        <f ca="1">E49/D50</f>
        <v>87.66</v>
      </c>
      <c r="F50" s="3104" t="s">
        <v>1121</v>
      </c>
      <c r="G50" s="3104"/>
      <c r="H50" s="3104"/>
      <c r="I50" s="1898">
        <f ca="1">' K3 PP'!U45</f>
        <v>86.28</v>
      </c>
    </row>
    <row r="51" spans="1:10" x14ac:dyDescent="0.25">
      <c r="A51" s="1429"/>
      <c r="B51" s="1430"/>
      <c r="C51" s="1430"/>
      <c r="D51" s="1431"/>
      <c r="E51" s="1432"/>
      <c r="F51" s="1433"/>
      <c r="G51" s="1433"/>
      <c r="H51" s="1433"/>
      <c r="I51" s="1434"/>
    </row>
    <row r="52" spans="1:10" x14ac:dyDescent="0.25">
      <c r="A52" s="1435" t="s">
        <v>358</v>
      </c>
      <c r="B52" s="1348"/>
      <c r="C52" s="1436"/>
      <c r="D52" s="1349"/>
      <c r="E52" s="3112" t="s">
        <v>400</v>
      </c>
      <c r="F52" s="3113"/>
      <c r="G52" s="3145" t="s">
        <v>244</v>
      </c>
      <c r="H52" s="3146"/>
      <c r="I52" s="1354" t="s">
        <v>56</v>
      </c>
    </row>
    <row r="53" spans="1:10" ht="14.85" customHeight="1" x14ac:dyDescent="0.25">
      <c r="A53" s="1355"/>
      <c r="B53" s="267"/>
      <c r="C53" s="1356"/>
      <c r="D53" s="1357"/>
      <c r="E53" s="1437" t="s">
        <v>72</v>
      </c>
      <c r="F53" s="1438" t="s">
        <v>73</v>
      </c>
      <c r="G53" s="1439" t="s">
        <v>72</v>
      </c>
      <c r="H53" s="1440" t="s">
        <v>73</v>
      </c>
      <c r="I53" s="1441"/>
    </row>
    <row r="54" spans="1:10" ht="14.85" customHeight="1" x14ac:dyDescent="0.25">
      <c r="A54" s="1363" t="s">
        <v>242</v>
      </c>
      <c r="B54" s="1364"/>
      <c r="C54" s="1364"/>
      <c r="D54" s="516"/>
      <c r="E54" s="1442">
        <f ca="1">E24/$D$50</f>
        <v>20</v>
      </c>
      <c r="F54" s="1443">
        <f ca="1">F24/$D$50</f>
        <v>2.87</v>
      </c>
      <c r="G54" s="1444"/>
      <c r="H54" s="1445"/>
      <c r="I54" s="1446">
        <f ca="1">SUM(E54:H54)</f>
        <v>22.87</v>
      </c>
    </row>
    <row r="55" spans="1:10" ht="14.85" customHeight="1" x14ac:dyDescent="0.25">
      <c r="A55" s="1363" t="s">
        <v>243</v>
      </c>
      <c r="B55" s="1364"/>
      <c r="C55" s="1364"/>
      <c r="D55" s="516"/>
      <c r="E55" s="1442"/>
      <c r="F55" s="1443"/>
      <c r="G55" s="1444">
        <f ca="1">G25/$D$50</f>
        <v>2.4</v>
      </c>
      <c r="H55" s="1445">
        <f ca="1">H25/$D$50</f>
        <v>0.36</v>
      </c>
      <c r="I55" s="1446">
        <f t="shared" ref="I55:I61" ca="1" si="1">SUM(E55:H55)</f>
        <v>2.76</v>
      </c>
    </row>
    <row r="56" spans="1:10" ht="14.85" customHeight="1" x14ac:dyDescent="0.25">
      <c r="A56" s="1371" t="s">
        <v>330</v>
      </c>
      <c r="B56" s="1364"/>
      <c r="C56" s="1364"/>
      <c r="D56" s="516"/>
      <c r="E56" s="1447">
        <f ca="1">E26/$D$50</f>
        <v>0</v>
      </c>
      <c r="F56" s="1443">
        <f ca="1">F26/$D$50</f>
        <v>0</v>
      </c>
      <c r="G56" s="1444"/>
      <c r="H56" s="1445"/>
      <c r="I56" s="1446">
        <f t="shared" ca="1" si="1"/>
        <v>0</v>
      </c>
    </row>
    <row r="57" spans="1:10" ht="14.85" customHeight="1" x14ac:dyDescent="0.25">
      <c r="A57" s="1371" t="s">
        <v>953</v>
      </c>
      <c r="B57" s="1364"/>
      <c r="C57" s="1364"/>
      <c r="D57" s="516"/>
      <c r="E57" s="1447">
        <f ca="1">E27/$D$50</f>
        <v>0.6</v>
      </c>
      <c r="F57" s="1443"/>
      <c r="G57" s="1444">
        <f ca="1">G27/$D$50</f>
        <v>7.0000000000000007E-2</v>
      </c>
      <c r="H57" s="1445"/>
      <c r="I57" s="1446">
        <f t="shared" ca="1" si="1"/>
        <v>0.67</v>
      </c>
    </row>
    <row r="58" spans="1:10" ht="14.85" customHeight="1" x14ac:dyDescent="0.25">
      <c r="A58" s="1371" t="s">
        <v>990</v>
      </c>
      <c r="B58" s="1364"/>
      <c r="C58" s="1364"/>
      <c r="D58" s="516"/>
      <c r="E58" s="1447">
        <f ca="1">E28/$D$50</f>
        <v>0.86</v>
      </c>
      <c r="F58" s="1443"/>
      <c r="G58" s="1444">
        <f ca="1">G28/$D$50</f>
        <v>0.1</v>
      </c>
      <c r="H58" s="1445"/>
      <c r="I58" s="1446">
        <f t="shared" ca="1" si="1"/>
        <v>0.96</v>
      </c>
    </row>
    <row r="59" spans="1:10" ht="14.85" customHeight="1" x14ac:dyDescent="0.25">
      <c r="A59" s="1363" t="s">
        <v>985</v>
      </c>
      <c r="B59" s="1364"/>
      <c r="C59" s="516"/>
      <c r="D59" s="1376"/>
      <c r="E59" s="1442">
        <f ca="1">E29/$D$50</f>
        <v>0</v>
      </c>
      <c r="F59" s="1443"/>
      <c r="G59" s="1444">
        <f ca="1">G29/$D$50</f>
        <v>0</v>
      </c>
      <c r="H59" s="1445"/>
      <c r="I59" s="1446">
        <f t="shared" ca="1" si="1"/>
        <v>0</v>
      </c>
    </row>
    <row r="60" spans="1:10" ht="14.85" customHeight="1" x14ac:dyDescent="0.25">
      <c r="A60" s="1363" t="str">
        <f>A37</f>
        <v>Sonst. abgabefreie Entschädigungen</v>
      </c>
      <c r="B60" s="1364"/>
      <c r="C60" s="1364"/>
      <c r="D60" s="1376"/>
      <c r="E60" s="1442">
        <f ca="1">E30/$D$50</f>
        <v>1.27</v>
      </c>
      <c r="F60" s="1448"/>
      <c r="G60" s="1444">
        <f ca="1">G30/$D$50</f>
        <v>0.13</v>
      </c>
      <c r="H60" s="1445"/>
      <c r="I60" s="1446">
        <f t="shared" ca="1" si="1"/>
        <v>1.4</v>
      </c>
    </row>
    <row r="61" spans="1:10" ht="14.85" customHeight="1" x14ac:dyDescent="0.25">
      <c r="A61" s="1378" t="s">
        <v>245</v>
      </c>
      <c r="B61" s="1379"/>
      <c r="C61" s="1379"/>
      <c r="D61" s="1380"/>
      <c r="E61" s="1449">
        <f ca="1">E31/$D$50</f>
        <v>22.73</v>
      </c>
      <c r="F61" s="1450">
        <f ca="1">F31/$D$50</f>
        <v>2.87</v>
      </c>
      <c r="G61" s="1451">
        <f ca="1">G31/$D$50</f>
        <v>2.71</v>
      </c>
      <c r="H61" s="1452">
        <f ca="1">H31/$D$50</f>
        <v>0.36</v>
      </c>
      <c r="I61" s="1453">
        <f t="shared" ca="1" si="1"/>
        <v>28.67</v>
      </c>
    </row>
    <row r="62" spans="1:10" ht="14.85" customHeight="1" x14ac:dyDescent="0.25">
      <c r="A62" s="1371"/>
      <c r="B62" s="1364"/>
      <c r="C62" s="1364"/>
      <c r="D62" s="1376"/>
      <c r="E62" s="1442"/>
      <c r="F62" s="1448"/>
      <c r="G62" s="1444"/>
      <c r="H62" s="1445"/>
      <c r="I62" s="1446"/>
    </row>
    <row r="63" spans="1:10" ht="14.85" customHeight="1" x14ac:dyDescent="0.25">
      <c r="A63" s="1371" t="s">
        <v>246</v>
      </c>
      <c r="B63" s="1364"/>
      <c r="C63" s="1364"/>
      <c r="D63" s="1376"/>
      <c r="E63" s="1442">
        <f t="shared" ref="E63:E78" ca="1" si="2">E33/$D$50</f>
        <v>25.59</v>
      </c>
      <c r="F63" s="1448"/>
      <c r="G63" s="1444">
        <f t="shared" ref="G63:G78" ca="1" si="3">G33/$D$50</f>
        <v>3.07</v>
      </c>
      <c r="H63" s="1445"/>
      <c r="I63" s="1446">
        <f t="shared" ref="I63:I78" ca="1" si="4">SUM(E63:H63)</f>
        <v>28.66</v>
      </c>
    </row>
    <row r="64" spans="1:10" ht="14.85" customHeight="1" x14ac:dyDescent="0.25">
      <c r="A64" s="669" t="s">
        <v>334</v>
      </c>
      <c r="B64" s="267"/>
      <c r="C64" s="267"/>
      <c r="D64" s="1375"/>
      <c r="E64" s="1442">
        <f t="shared" ca="1" si="2"/>
        <v>7.42</v>
      </c>
      <c r="F64" s="1448"/>
      <c r="G64" s="1444">
        <f t="shared" ca="1" si="3"/>
        <v>0.89</v>
      </c>
      <c r="H64" s="1445"/>
      <c r="I64" s="1446">
        <f t="shared" ca="1" si="4"/>
        <v>8.31</v>
      </c>
    </row>
    <row r="65" spans="1:18" ht="14.85" customHeight="1" x14ac:dyDescent="0.25">
      <c r="A65" s="669" t="s">
        <v>335</v>
      </c>
      <c r="B65" s="1364"/>
      <c r="C65" s="1364"/>
      <c r="D65" s="1376"/>
      <c r="E65" s="1442">
        <f t="shared" ca="1" si="2"/>
        <v>19.71</v>
      </c>
      <c r="F65" s="1448"/>
      <c r="G65" s="1444">
        <f t="shared" ca="1" si="3"/>
        <v>2.36</v>
      </c>
      <c r="H65" s="1445"/>
      <c r="I65" s="1446">
        <f t="shared" ca="1" si="4"/>
        <v>22.07</v>
      </c>
    </row>
    <row r="66" spans="1:18" ht="14.85" customHeight="1" x14ac:dyDescent="0.25">
      <c r="A66" s="669" t="s">
        <v>336</v>
      </c>
      <c r="B66" s="1364"/>
      <c r="C66" s="1364"/>
      <c r="D66" s="1376"/>
      <c r="E66" s="1442">
        <f t="shared" ca="1" si="2"/>
        <v>0.06</v>
      </c>
      <c r="F66" s="1448"/>
      <c r="G66" s="1444">
        <f t="shared" ca="1" si="3"/>
        <v>0.01</v>
      </c>
      <c r="H66" s="1445"/>
      <c r="I66" s="1446">
        <f t="shared" ca="1" si="4"/>
        <v>7.0000000000000007E-2</v>
      </c>
    </row>
    <row r="67" spans="1:18" ht="14.85" customHeight="1" x14ac:dyDescent="0.25">
      <c r="A67" s="1363" t="s">
        <v>337</v>
      </c>
      <c r="B67" s="1364"/>
      <c r="C67" s="1364"/>
      <c r="D67" s="1376"/>
      <c r="E67" s="1442">
        <f t="shared" ca="1" si="2"/>
        <v>1.72</v>
      </c>
      <c r="F67" s="1448"/>
      <c r="G67" s="1444">
        <f t="shared" ca="1" si="3"/>
        <v>0.18</v>
      </c>
      <c r="H67" s="1445"/>
      <c r="I67" s="1446">
        <f t="shared" ca="1" si="4"/>
        <v>1.9</v>
      </c>
    </row>
    <row r="68" spans="1:18" ht="14.85" customHeight="1" x14ac:dyDescent="0.25">
      <c r="A68" s="1386" t="s">
        <v>239</v>
      </c>
      <c r="B68" s="1387"/>
      <c r="C68" s="1387"/>
      <c r="D68" s="1868"/>
      <c r="E68" s="1449">
        <f t="shared" ca="1" si="2"/>
        <v>54.51</v>
      </c>
      <c r="F68" s="1450"/>
      <c r="G68" s="1451">
        <f t="shared" ca="1" si="3"/>
        <v>6.5</v>
      </c>
      <c r="H68" s="1454"/>
      <c r="I68" s="1453">
        <f ca="1">SUM(E68:H68)</f>
        <v>61.01</v>
      </c>
    </row>
    <row r="69" spans="1:18" ht="14.85" customHeight="1" x14ac:dyDescent="0.25">
      <c r="A69" s="1390" t="str">
        <f>A39</f>
        <v>Personalgemeinkosten in €</v>
      </c>
      <c r="B69" s="1391"/>
      <c r="C69" s="1391"/>
      <c r="D69" s="1869"/>
      <c r="E69" s="1442">
        <f t="shared" ca="1" si="2"/>
        <v>2.2599999999999998</v>
      </c>
      <c r="F69" s="1448"/>
      <c r="G69" s="1442">
        <f t="shared" ca="1" si="3"/>
        <v>0</v>
      </c>
      <c r="H69" s="1455"/>
      <c r="I69" s="3143">
        <f ca="1">SUM(E69:H70)</f>
        <v>5.92</v>
      </c>
    </row>
    <row r="70" spans="1:18" ht="14.85" customHeight="1" x14ac:dyDescent="0.25">
      <c r="A70" s="1394" t="str">
        <f t="shared" ref="A70:A73" si="5">A40</f>
        <v>Personalgemeinkosten in %</v>
      </c>
      <c r="B70" s="1395"/>
      <c r="C70" s="1395"/>
      <c r="D70" s="1870"/>
      <c r="E70" s="1397">
        <f t="shared" ca="1" si="2"/>
        <v>3.27</v>
      </c>
      <c r="F70" s="1398"/>
      <c r="G70" s="1399">
        <f t="shared" ca="1" si="3"/>
        <v>0.39</v>
      </c>
      <c r="H70" s="1400"/>
      <c r="I70" s="3143"/>
    </row>
    <row r="71" spans="1:18" ht="14.85" customHeight="1" x14ac:dyDescent="0.25">
      <c r="A71" s="1390" t="str">
        <f t="shared" si="5"/>
        <v>Personalkosten vor GZ</v>
      </c>
      <c r="B71" s="1391"/>
      <c r="C71" s="1391"/>
      <c r="D71" s="1401"/>
      <c r="E71" s="1365">
        <f t="shared" ca="1" si="2"/>
        <v>60.04</v>
      </c>
      <c r="F71" s="1377"/>
      <c r="G71" s="1367">
        <f t="shared" ca="1" si="3"/>
        <v>6.89</v>
      </c>
      <c r="H71" s="1393"/>
      <c r="I71" s="1446">
        <f t="shared" ca="1" si="4"/>
        <v>66.930000000000007</v>
      </c>
    </row>
    <row r="72" spans="1:18" ht="14.85" customHeight="1" x14ac:dyDescent="0.25">
      <c r="A72" s="1390" t="str">
        <f t="shared" si="5"/>
        <v>Umlagen vor GZ  |  €</v>
      </c>
      <c r="B72" s="1403"/>
      <c r="C72" s="1403"/>
      <c r="D72" s="1404"/>
      <c r="E72" s="1405">
        <f t="shared" ca="1" si="2"/>
        <v>1.02</v>
      </c>
      <c r="F72" s="1406"/>
      <c r="G72" s="1407">
        <f t="shared" ca="1" si="3"/>
        <v>0</v>
      </c>
      <c r="H72" s="1408"/>
      <c r="I72" s="3143">
        <f ca="1">SUM(E72:H73)</f>
        <v>1.02</v>
      </c>
    </row>
    <row r="73" spans="1:18" ht="14.85" customHeight="1" x14ac:dyDescent="0.25">
      <c r="A73" s="1390" t="str">
        <f t="shared" si="5"/>
        <v>Umlagen vor GZ  |  %</v>
      </c>
      <c r="B73" s="1403"/>
      <c r="C73" s="1403"/>
      <c r="D73" s="1404"/>
      <c r="E73" s="1405">
        <f t="shared" ca="1" si="2"/>
        <v>0</v>
      </c>
      <c r="F73" s="1406"/>
      <c r="G73" s="1407">
        <f t="shared" ca="1" si="3"/>
        <v>0</v>
      </c>
      <c r="H73" s="1408"/>
      <c r="I73" s="3143"/>
    </row>
    <row r="74" spans="1:18" ht="14.85" customHeight="1" x14ac:dyDescent="0.25">
      <c r="A74" s="1456" t="s">
        <v>240</v>
      </c>
      <c r="B74" s="1457"/>
      <c r="C74" s="1457"/>
      <c r="D74" s="1458"/>
      <c r="E74" s="1459">
        <f t="shared" ca="1" si="2"/>
        <v>17.41</v>
      </c>
      <c r="F74" s="1460"/>
      <c r="G74" s="1461">
        <f t="shared" ca="1" si="3"/>
        <v>2</v>
      </c>
      <c r="H74" s="1462"/>
      <c r="I74" s="1463">
        <f t="shared" ca="1" si="4"/>
        <v>19.41</v>
      </c>
    </row>
    <row r="75" spans="1:18" ht="14.85" customHeight="1" x14ac:dyDescent="0.25">
      <c r="A75" s="1464" t="s">
        <v>241</v>
      </c>
      <c r="B75" s="1465"/>
      <c r="C75" s="1465"/>
      <c r="D75" s="1466"/>
      <c r="E75" s="1467">
        <f t="shared" ca="1" si="2"/>
        <v>0.3</v>
      </c>
      <c r="F75" s="1468"/>
      <c r="G75" s="1469">
        <f t="shared" ca="1" si="3"/>
        <v>0</v>
      </c>
      <c r="H75" s="1470"/>
      <c r="I75" s="1471">
        <f t="shared" ca="1" si="4"/>
        <v>0.3</v>
      </c>
    </row>
    <row r="76" spans="1:18" ht="14.85" customHeight="1" x14ac:dyDescent="0.25">
      <c r="A76" s="1472" t="s">
        <v>339</v>
      </c>
      <c r="B76" s="1387"/>
      <c r="C76" s="1387"/>
      <c r="D76" s="1388"/>
      <c r="E76" s="1381">
        <f t="shared" ca="1" si="2"/>
        <v>77.45</v>
      </c>
      <c r="F76" s="1382"/>
      <c r="G76" s="1381">
        <f t="shared" ca="1" si="3"/>
        <v>8.89</v>
      </c>
      <c r="H76" s="1389"/>
      <c r="I76" s="1453">
        <f t="shared" ca="1" si="4"/>
        <v>86.34</v>
      </c>
    </row>
    <row r="77" spans="1:18" ht="14.85" customHeight="1" x14ac:dyDescent="0.25">
      <c r="A77" s="1473" t="s">
        <v>340</v>
      </c>
      <c r="B77" s="1474"/>
      <c r="C77" s="1474"/>
      <c r="D77" s="1475"/>
      <c r="E77" s="1476">
        <f t="shared" ca="1" si="2"/>
        <v>1.32</v>
      </c>
      <c r="F77" s="1477"/>
      <c r="G77" s="1476">
        <f t="shared" ca="1" si="3"/>
        <v>0</v>
      </c>
      <c r="H77" s="1478"/>
      <c r="I77" s="1479">
        <f t="shared" ca="1" si="4"/>
        <v>1.32</v>
      </c>
    </row>
    <row r="78" spans="1:18" ht="14.85" customHeight="1" x14ac:dyDescent="0.25">
      <c r="A78" s="1409" t="s">
        <v>341</v>
      </c>
      <c r="B78" s="1410"/>
      <c r="C78" s="1410"/>
      <c r="D78" s="1411"/>
      <c r="E78" s="1412">
        <f t="shared" ca="1" si="2"/>
        <v>78.77</v>
      </c>
      <c r="F78" s="1413"/>
      <c r="G78" s="1414">
        <f t="shared" ca="1" si="3"/>
        <v>8.89</v>
      </c>
      <c r="H78" s="1415"/>
      <c r="I78" s="1471">
        <f t="shared" ca="1" si="4"/>
        <v>87.66</v>
      </c>
    </row>
    <row r="79" spans="1:18" ht="14.85" customHeight="1" x14ac:dyDescent="0.25">
      <c r="A79" s="1480" t="s">
        <v>342</v>
      </c>
      <c r="B79" s="1481"/>
      <c r="C79" s="1481"/>
      <c r="D79" s="1482"/>
      <c r="E79" s="1483"/>
      <c r="F79" s="1484"/>
      <c r="G79" s="1483"/>
      <c r="H79" s="1485"/>
      <c r="I79" s="1486">
        <f ca="1">I78</f>
        <v>87.66</v>
      </c>
    </row>
    <row r="80" spans="1:18" s="1492" customFormat="1" ht="11.85" customHeight="1" x14ac:dyDescent="0.2">
      <c r="A80" s="1487" t="s">
        <v>1107</v>
      </c>
      <c r="B80" s="1488"/>
      <c r="C80" s="1488"/>
      <c r="D80" s="1489"/>
      <c r="E80" s="1490"/>
      <c r="F80" s="1490"/>
      <c r="G80" s="1490"/>
      <c r="H80" s="1490"/>
      <c r="I80" s="1491"/>
      <c r="K80" s="2112"/>
      <c r="L80" s="2112"/>
      <c r="M80" s="2112"/>
      <c r="N80" s="2112"/>
      <c r="O80" s="2112"/>
      <c r="P80" s="2112"/>
      <c r="Q80" s="2112"/>
      <c r="R80" s="2112"/>
    </row>
    <row r="81" spans="1:9" x14ac:dyDescent="0.25">
      <c r="A81" s="1429"/>
      <c r="B81" s="1430"/>
      <c r="C81" s="1430"/>
      <c r="D81" s="1431"/>
      <c r="E81" s="1432"/>
      <c r="F81" s="1433"/>
      <c r="G81" s="1433"/>
      <c r="H81" s="1433"/>
      <c r="I81" s="1434"/>
    </row>
    <row r="82" spans="1:9" x14ac:dyDescent="0.25">
      <c r="A82" s="1347" t="s">
        <v>401</v>
      </c>
      <c r="B82" s="1493"/>
      <c r="C82" s="1493"/>
      <c r="D82" s="1494"/>
      <c r="E82" s="1345"/>
      <c r="F82" s="1346"/>
      <c r="G82" s="3105" t="s">
        <v>945</v>
      </c>
      <c r="H82" s="3107" t="s">
        <v>349</v>
      </c>
      <c r="I82" s="1434"/>
    </row>
    <row r="83" spans="1:9" x14ac:dyDescent="0.25">
      <c r="A83" s="1871"/>
      <c r="B83" s="1518"/>
      <c r="C83" s="1518"/>
      <c r="D83" s="1872"/>
      <c r="F83" s="1873"/>
      <c r="G83" s="3106"/>
      <c r="H83" s="3108"/>
      <c r="I83" s="1434"/>
    </row>
    <row r="84" spans="1:9" x14ac:dyDescent="0.25">
      <c r="A84" s="1496" t="s">
        <v>107</v>
      </c>
      <c r="B84" s="1497"/>
      <c r="C84" s="1497"/>
      <c r="D84" s="1498"/>
      <c r="E84" s="1874">
        <f ca="1">G84/G$84</f>
        <v>1</v>
      </c>
      <c r="F84" s="1500">
        <f ca="1">E84</f>
        <v>1</v>
      </c>
      <c r="G84" s="1501">
        <f ca="1">E24</f>
        <v>126</v>
      </c>
      <c r="H84" s="1502">
        <f ca="1">G84/D$50</f>
        <v>20</v>
      </c>
      <c r="I84" s="1434"/>
    </row>
    <row r="85" spans="1:9" x14ac:dyDescent="0.25">
      <c r="A85" s="1503" t="s">
        <v>345</v>
      </c>
      <c r="B85" s="1504"/>
      <c r="C85" s="1504"/>
      <c r="D85" s="1505"/>
      <c r="E85" s="1499">
        <f t="shared" ref="E85:E92" ca="1" si="6">G85/G$84</f>
        <v>0.14330000000000001</v>
      </c>
      <c r="F85" s="1506">
        <f ca="1">E85+F84</f>
        <v>1.1433</v>
      </c>
      <c r="G85" s="1507">
        <f ca="1">F24</f>
        <v>18.05</v>
      </c>
      <c r="H85" s="1508">
        <f t="shared" ref="H85:H92" ca="1" si="7">G85/D$50</f>
        <v>2.87</v>
      </c>
      <c r="I85" s="1434"/>
    </row>
    <row r="86" spans="1:9" x14ac:dyDescent="0.25">
      <c r="A86" s="1509" t="s">
        <v>944</v>
      </c>
      <c r="B86" s="1510"/>
      <c r="C86" s="1510"/>
      <c r="D86" s="267"/>
      <c r="E86" s="1499">
        <f t="shared" ca="1" si="6"/>
        <v>0</v>
      </c>
      <c r="F86" s="1506">
        <f t="shared" ref="F86:F92" ca="1" si="8">E86+F85</f>
        <v>1.1433</v>
      </c>
      <c r="G86" s="1511">
        <f ca="1">E26+F26</f>
        <v>0</v>
      </c>
      <c r="H86" s="1508">
        <f t="shared" ca="1" si="7"/>
        <v>0</v>
      </c>
      <c r="I86" s="1434"/>
    </row>
    <row r="87" spans="1:9" x14ac:dyDescent="0.25">
      <c r="A87" s="1509" t="s">
        <v>346</v>
      </c>
      <c r="B87" s="1510"/>
      <c r="C87" s="1510"/>
      <c r="D87" s="267"/>
      <c r="E87" s="1499">
        <f t="shared" ca="1" si="6"/>
        <v>0.2225</v>
      </c>
      <c r="F87" s="1506">
        <f t="shared" ca="1" si="8"/>
        <v>1.3657999999999999</v>
      </c>
      <c r="G87" s="1511">
        <f ca="1">E31-E24-E26+E37</f>
        <v>28.04</v>
      </c>
      <c r="H87" s="1508">
        <f t="shared" ca="1" si="7"/>
        <v>4.45</v>
      </c>
      <c r="I87" s="1434"/>
    </row>
    <row r="88" spans="1:9" x14ac:dyDescent="0.25">
      <c r="A88" s="1509" t="s">
        <v>967</v>
      </c>
      <c r="B88" s="1510"/>
      <c r="C88" s="1510"/>
      <c r="D88" s="267"/>
      <c r="E88" s="1499">
        <f t="shared" ca="1" si="6"/>
        <v>1.3595999999999999</v>
      </c>
      <c r="F88" s="1506">
        <f t="shared" ca="1" si="8"/>
        <v>2.7254</v>
      </c>
      <c r="G88" s="1511">
        <f ca="1">E34+E35+E36</f>
        <v>171.31</v>
      </c>
      <c r="H88" s="1508">
        <f t="shared" ca="1" si="7"/>
        <v>27.19</v>
      </c>
      <c r="I88" s="1434"/>
    </row>
    <row r="89" spans="1:9" x14ac:dyDescent="0.25">
      <c r="A89" s="1509" t="s">
        <v>1098</v>
      </c>
      <c r="B89" s="1510"/>
      <c r="C89" s="1510"/>
      <c r="D89" s="1512"/>
      <c r="E89" s="1499">
        <f t="shared" ca="1" si="6"/>
        <v>0.34470000000000001</v>
      </c>
      <c r="F89" s="1506">
        <f t="shared" ca="1" si="8"/>
        <v>3.0701000000000001</v>
      </c>
      <c r="G89" s="1511">
        <f ca="1">G41</f>
        <v>43.43</v>
      </c>
      <c r="H89" s="1508">
        <f t="shared" ca="1" si="7"/>
        <v>6.89</v>
      </c>
      <c r="I89" s="1434"/>
    </row>
    <row r="90" spans="1:9" x14ac:dyDescent="0.25">
      <c r="A90" s="1509" t="s">
        <v>255</v>
      </c>
      <c r="B90" s="1510"/>
      <c r="C90" s="1510"/>
      <c r="D90" s="1512"/>
      <c r="E90" s="1499">
        <f t="shared" ca="1" si="6"/>
        <v>0.27660000000000001</v>
      </c>
      <c r="F90" s="1506">
        <f t="shared" ca="1" si="8"/>
        <v>3.3466999999999998</v>
      </c>
      <c r="G90" s="1511">
        <f ca="1">SUM(E39:E40)</f>
        <v>34.85</v>
      </c>
      <c r="H90" s="1508">
        <f t="shared" ca="1" si="7"/>
        <v>5.53</v>
      </c>
      <c r="I90" s="1434"/>
    </row>
    <row r="91" spans="1:9" x14ac:dyDescent="0.25">
      <c r="A91" s="1509" t="s">
        <v>247</v>
      </c>
      <c r="B91" s="1510"/>
      <c r="C91" s="1510"/>
      <c r="D91" s="1512"/>
      <c r="E91" s="1499">
        <f t="shared" ca="1" si="6"/>
        <v>5.0999999999999997E-2</v>
      </c>
      <c r="F91" s="1506">
        <f t="shared" ca="1" si="8"/>
        <v>3.3976999999999999</v>
      </c>
      <c r="G91" s="1511">
        <f ca="1">I42</f>
        <v>6.43</v>
      </c>
      <c r="H91" s="1508">
        <f t="shared" ca="1" si="7"/>
        <v>1.02</v>
      </c>
      <c r="I91" s="1434"/>
    </row>
    <row r="92" spans="1:9" x14ac:dyDescent="0.25">
      <c r="A92" s="1311" t="s">
        <v>968</v>
      </c>
      <c r="B92" s="1513"/>
      <c r="C92" s="1513"/>
      <c r="D92" s="1875"/>
      <c r="E92" s="1514">
        <f t="shared" ca="1" si="6"/>
        <v>0.98519999999999996</v>
      </c>
      <c r="F92" s="1876">
        <f t="shared" ca="1" si="8"/>
        <v>4.3829000000000002</v>
      </c>
      <c r="G92" s="1528">
        <f ca="1">SUM(I44,I45)</f>
        <v>124.14</v>
      </c>
      <c r="H92" s="1877">
        <f t="shared" ca="1" si="7"/>
        <v>19.7</v>
      </c>
      <c r="I92" s="1434"/>
    </row>
    <row r="93" spans="1:9" x14ac:dyDescent="0.25">
      <c r="A93" s="1311" t="s">
        <v>56</v>
      </c>
      <c r="B93" s="722"/>
      <c r="C93" s="1513"/>
      <c r="D93" s="1513"/>
      <c r="E93" s="1514"/>
      <c r="F93" s="1515"/>
      <c r="G93" s="1516">
        <f ca="1">SUM(G84:G92)</f>
        <v>552.25</v>
      </c>
      <c r="H93" s="1516">
        <f ca="1">SUM(H84:H92)</f>
        <v>87.65</v>
      </c>
      <c r="I93" s="1434"/>
    </row>
    <row r="94" spans="1:9" x14ac:dyDescent="0.25">
      <c r="A94" s="1517"/>
      <c r="B94" s="1518"/>
      <c r="C94" s="1518"/>
      <c r="D94" s="1518"/>
      <c r="E94" s="1518"/>
      <c r="G94" s="1518"/>
      <c r="H94" s="1518"/>
      <c r="I94" s="1434"/>
    </row>
    <row r="95" spans="1:9" x14ac:dyDescent="0.25">
      <c r="A95" s="1517"/>
      <c r="B95" s="1518"/>
      <c r="C95" s="1518"/>
      <c r="D95" s="1518"/>
      <c r="E95" s="1518"/>
      <c r="G95" s="1518"/>
      <c r="H95" s="1518"/>
      <c r="I95" s="1434"/>
    </row>
    <row r="96" spans="1:9" x14ac:dyDescent="0.25">
      <c r="A96" s="1517"/>
      <c r="B96" s="1518"/>
      <c r="C96" s="1518"/>
      <c r="D96" s="1518"/>
      <c r="E96" s="1518"/>
      <c r="G96" s="1518"/>
      <c r="H96" s="1518"/>
      <c r="I96" s="1434"/>
    </row>
    <row r="97" spans="1:9" x14ac:dyDescent="0.25">
      <c r="A97" s="1517"/>
      <c r="B97" s="1518"/>
      <c r="C97" s="1518"/>
      <c r="D97" s="1518"/>
      <c r="E97" s="1518"/>
      <c r="G97" s="1518"/>
      <c r="H97" s="1518"/>
      <c r="I97" s="1434"/>
    </row>
    <row r="98" spans="1:9" x14ac:dyDescent="0.25">
      <c r="A98" s="1517"/>
      <c r="B98" s="1518"/>
      <c r="C98" s="1518"/>
      <c r="D98" s="1518"/>
      <c r="E98" s="1518"/>
      <c r="G98" s="1518"/>
      <c r="H98" s="1518"/>
      <c r="I98" s="1434"/>
    </row>
    <row r="99" spans="1:9" x14ac:dyDescent="0.25">
      <c r="A99" s="1517"/>
      <c r="B99" s="1518"/>
      <c r="C99" s="1518"/>
      <c r="D99" s="1518"/>
      <c r="E99" s="1518"/>
      <c r="G99" s="1518"/>
      <c r="H99" s="1518"/>
      <c r="I99" s="1434"/>
    </row>
    <row r="100" spans="1:9" x14ac:dyDescent="0.25">
      <c r="A100" s="1517"/>
      <c r="B100" s="1518"/>
      <c r="C100" s="1518"/>
      <c r="D100" s="1518"/>
      <c r="E100" s="1518"/>
      <c r="G100" s="1518"/>
      <c r="H100" s="1518"/>
      <c r="I100" s="1434"/>
    </row>
    <row r="101" spans="1:9" x14ac:dyDescent="0.25">
      <c r="A101" s="1517"/>
      <c r="B101" s="1518"/>
      <c r="C101" s="1518"/>
      <c r="D101" s="1518"/>
      <c r="E101" s="1518"/>
      <c r="G101" s="1518"/>
      <c r="H101" s="1518"/>
      <c r="I101" s="1434"/>
    </row>
    <row r="102" spans="1:9" x14ac:dyDescent="0.25">
      <c r="A102" s="1517"/>
      <c r="B102" s="1518"/>
      <c r="C102" s="1518"/>
      <c r="D102" s="1518"/>
      <c r="E102" s="1518"/>
      <c r="G102" s="1518"/>
      <c r="H102" s="1518"/>
      <c r="I102" s="1434"/>
    </row>
    <row r="103" spans="1:9" x14ac:dyDescent="0.25">
      <c r="A103" s="1517"/>
      <c r="B103" s="1518"/>
      <c r="C103" s="1518"/>
      <c r="D103" s="1518"/>
      <c r="E103" s="1518"/>
      <c r="G103" s="1518"/>
      <c r="H103" s="1518"/>
      <c r="I103" s="1434"/>
    </row>
    <row r="104" spans="1:9" x14ac:dyDescent="0.25">
      <c r="A104" s="1517"/>
      <c r="B104" s="1518"/>
      <c r="C104" s="1518"/>
      <c r="D104" s="1518"/>
      <c r="E104" s="1518"/>
      <c r="G104" s="1518"/>
      <c r="H104" s="1518"/>
      <c r="I104" s="1434"/>
    </row>
    <row r="109" spans="1:9" x14ac:dyDescent="0.25">
      <c r="A109" s="1347" t="s">
        <v>986</v>
      </c>
      <c r="B109" s="1493"/>
      <c r="C109" s="1493"/>
      <c r="D109" s="1493"/>
      <c r="E109" s="1493"/>
      <c r="F109" s="1345"/>
      <c r="G109" s="1493"/>
      <c r="H109" s="1519"/>
    </row>
    <row r="110" spans="1:9" x14ac:dyDescent="0.25">
      <c r="A110" s="1509" t="s">
        <v>347</v>
      </c>
      <c r="B110" s="1510"/>
      <c r="C110" s="1510"/>
      <c r="D110" s="1510"/>
      <c r="E110" s="1510"/>
      <c r="F110" s="267"/>
      <c r="G110" s="1520">
        <f ca="1">H93</f>
        <v>87.65</v>
      </c>
      <c r="H110" s="1521">
        <f ca="1">G110/G$110</f>
        <v>1</v>
      </c>
      <c r="I110" s="267"/>
    </row>
    <row r="111" spans="1:9" x14ac:dyDescent="0.25">
      <c r="A111" s="1522" t="s">
        <v>946</v>
      </c>
      <c r="B111" s="1523"/>
      <c r="C111" s="1523"/>
      <c r="D111" s="1523"/>
      <c r="E111" s="1524"/>
      <c r="F111" s="1525">
        <f ca="1">G68</f>
        <v>6.5</v>
      </c>
      <c r="G111" s="1510"/>
      <c r="H111" s="1526"/>
      <c r="I111" s="267"/>
    </row>
    <row r="112" spans="1:9" x14ac:dyDescent="0.25">
      <c r="A112" s="1522" t="s">
        <v>948</v>
      </c>
      <c r="B112" s="1523"/>
      <c r="C112" s="1523"/>
      <c r="D112" s="1523"/>
      <c r="E112" s="1524"/>
      <c r="F112" s="1525">
        <f ca="1">H86*E71/E61</f>
        <v>0</v>
      </c>
      <c r="G112" s="1510"/>
      <c r="H112" s="1526"/>
      <c r="I112" s="267"/>
    </row>
    <row r="113" spans="1:18" x14ac:dyDescent="0.25">
      <c r="A113" s="1522" t="s">
        <v>949</v>
      </c>
      <c r="B113" s="1523"/>
      <c r="C113" s="1523"/>
      <c r="D113" s="1523"/>
      <c r="E113" s="1524"/>
      <c r="F113" s="1525">
        <f ca="1">I69</f>
        <v>5.92</v>
      </c>
      <c r="G113" s="1510"/>
      <c r="H113" s="1526"/>
      <c r="I113" s="267"/>
    </row>
    <row r="114" spans="1:18" x14ac:dyDescent="0.25">
      <c r="A114" s="1522" t="s">
        <v>950</v>
      </c>
      <c r="B114" s="1523"/>
      <c r="C114" s="1523"/>
      <c r="D114" s="1523"/>
      <c r="E114" s="1524"/>
      <c r="F114" s="1525">
        <f ca="1">SUM(I72)</f>
        <v>1.02</v>
      </c>
      <c r="G114" s="1510"/>
      <c r="H114" s="1526"/>
      <c r="I114" s="267"/>
    </row>
    <row r="115" spans="1:18" x14ac:dyDescent="0.25">
      <c r="A115" s="1522" t="s">
        <v>951</v>
      </c>
      <c r="B115" s="1523"/>
      <c r="C115" s="1523"/>
      <c r="D115" s="1523"/>
      <c r="E115" s="1524"/>
      <c r="F115" s="1525">
        <f ca="1">SUM(I74:I75)</f>
        <v>19.71</v>
      </c>
      <c r="G115" s="1513"/>
      <c r="H115" s="1526"/>
      <c r="I115" s="267"/>
    </row>
    <row r="116" spans="1:18" x14ac:dyDescent="0.25">
      <c r="A116" s="1509" t="s">
        <v>947</v>
      </c>
      <c r="B116" s="1510"/>
      <c r="C116" s="1510"/>
      <c r="D116" s="1510"/>
      <c r="E116" s="267"/>
      <c r="F116" s="267"/>
      <c r="G116" s="1527">
        <f ca="1">SUM(F111:F115)</f>
        <v>33.15</v>
      </c>
      <c r="H116" s="1521">
        <f ca="1">G116/G$110</f>
        <v>0.37819999999999998</v>
      </c>
      <c r="I116" s="267"/>
    </row>
    <row r="117" spans="1:18" x14ac:dyDescent="0.25">
      <c r="A117" s="1311" t="s">
        <v>952</v>
      </c>
      <c r="B117" s="1513"/>
      <c r="C117" s="1513"/>
      <c r="D117" s="1513"/>
      <c r="E117" s="722"/>
      <c r="F117" s="722"/>
      <c r="G117" s="1528">
        <f ca="1">H93-G116</f>
        <v>54.5</v>
      </c>
      <c r="H117" s="1529">
        <f ca="1">G117/G$110</f>
        <v>0.62180000000000002</v>
      </c>
      <c r="I117" s="267"/>
    </row>
    <row r="118" spans="1:18" x14ac:dyDescent="0.25">
      <c r="A118" s="267"/>
      <c r="B118" s="267"/>
      <c r="C118" s="267"/>
      <c r="D118" s="267"/>
      <c r="E118" s="267"/>
      <c r="F118" s="267"/>
      <c r="G118" s="267"/>
      <c r="H118" s="267"/>
      <c r="I118" s="267"/>
    </row>
    <row r="119" spans="1:18" x14ac:dyDescent="0.25">
      <c r="A119" s="267"/>
      <c r="B119" s="267"/>
      <c r="C119" s="267"/>
      <c r="D119" s="267"/>
      <c r="E119" s="267"/>
      <c r="F119" s="267"/>
      <c r="G119" s="267"/>
      <c r="H119" s="267"/>
      <c r="I119" s="267"/>
    </row>
    <row r="120" spans="1:18" s="1492" customFormat="1" ht="25.15" customHeight="1" x14ac:dyDescent="0.2">
      <c r="A120" s="1530" t="s">
        <v>350</v>
      </c>
      <c r="B120" s="1531"/>
      <c r="C120" s="1532"/>
      <c r="D120" s="1531"/>
      <c r="E120" s="1531"/>
      <c r="F120" s="1531"/>
      <c r="G120" s="1531"/>
      <c r="H120" s="1531"/>
      <c r="I120" s="1533"/>
      <c r="K120" s="2112"/>
      <c r="L120" s="2112"/>
      <c r="M120" s="2112"/>
      <c r="N120" s="2112"/>
      <c r="O120" s="2112"/>
      <c r="P120" s="2112"/>
      <c r="Q120" s="2112"/>
      <c r="R120" s="2112"/>
    </row>
    <row r="121" spans="1:18" x14ac:dyDescent="0.25">
      <c r="A121" s="1344" t="s">
        <v>351</v>
      </c>
      <c r="B121" s="1534"/>
      <c r="C121" s="1344"/>
      <c r="D121" s="1345"/>
      <c r="E121" s="1345"/>
      <c r="F121" s="1345"/>
      <c r="G121" s="1345"/>
      <c r="H121" s="1345"/>
      <c r="I121" s="1346"/>
    </row>
    <row r="122" spans="1:18" x14ac:dyDescent="0.25">
      <c r="A122" s="3147" t="s">
        <v>1094</v>
      </c>
      <c r="B122" s="3148"/>
      <c r="C122" s="3148"/>
      <c r="D122" s="3148"/>
      <c r="E122" s="3148"/>
      <c r="F122" s="3148"/>
      <c r="G122" s="3148"/>
      <c r="H122" s="3148"/>
      <c r="I122" s="3149"/>
    </row>
    <row r="123" spans="1:18" x14ac:dyDescent="0.25">
      <c r="A123" s="3150"/>
      <c r="B123" s="3151"/>
      <c r="C123" s="3151"/>
      <c r="D123" s="3151"/>
      <c r="E123" s="3151"/>
      <c r="F123" s="3151"/>
      <c r="G123" s="3151"/>
      <c r="H123" s="3151"/>
      <c r="I123" s="3152"/>
    </row>
    <row r="124" spans="1:18" x14ac:dyDescent="0.25">
      <c r="A124" s="3153" t="s">
        <v>1095</v>
      </c>
      <c r="B124" s="2296"/>
      <c r="C124" s="2296"/>
      <c r="D124" s="2296"/>
      <c r="E124" s="2296"/>
      <c r="F124" s="2296"/>
      <c r="G124" s="2296"/>
      <c r="H124" s="2296"/>
      <c r="I124" s="3154"/>
    </row>
    <row r="125" spans="1:18" ht="15.75" customHeight="1" x14ac:dyDescent="0.25">
      <c r="A125" s="3150" t="s">
        <v>1096</v>
      </c>
      <c r="B125" s="3151"/>
      <c r="C125" s="3151"/>
      <c r="D125" s="3151"/>
      <c r="E125" s="3151"/>
      <c r="F125" s="3151"/>
      <c r="G125" s="3151"/>
      <c r="H125" s="3151"/>
      <c r="I125" s="3152"/>
    </row>
    <row r="126" spans="1:18" x14ac:dyDescent="0.25">
      <c r="A126" s="3150"/>
      <c r="B126" s="3151"/>
      <c r="C126" s="3151"/>
      <c r="D126" s="3151"/>
      <c r="E126" s="3151"/>
      <c r="F126" s="3151"/>
      <c r="G126" s="3151"/>
      <c r="H126" s="3151"/>
      <c r="I126" s="3152"/>
    </row>
    <row r="127" spans="1:18" x14ac:dyDescent="0.25">
      <c r="A127" s="3150"/>
      <c r="B127" s="3151"/>
      <c r="C127" s="3151"/>
      <c r="D127" s="3151"/>
      <c r="E127" s="3151"/>
      <c r="F127" s="3151"/>
      <c r="G127" s="3151"/>
      <c r="H127" s="3151"/>
      <c r="I127" s="3152"/>
    </row>
    <row r="128" spans="1:18" x14ac:dyDescent="0.25">
      <c r="A128" s="3150"/>
      <c r="B128" s="3151"/>
      <c r="C128" s="3151"/>
      <c r="D128" s="3151"/>
      <c r="E128" s="3151"/>
      <c r="F128" s="3151"/>
      <c r="G128" s="3151"/>
      <c r="H128" s="3151"/>
      <c r="I128" s="3152"/>
    </row>
    <row r="129" spans="1:9" x14ac:dyDescent="0.25">
      <c r="A129" s="669" t="s">
        <v>327</v>
      </c>
      <c r="B129" s="267"/>
      <c r="C129" s="267"/>
      <c r="D129" s="267"/>
      <c r="E129" s="267"/>
      <c r="F129" s="267"/>
      <c r="G129" s="267"/>
      <c r="H129" s="267"/>
      <c r="I129" s="779"/>
    </row>
    <row r="130" spans="1:9" x14ac:dyDescent="0.25">
      <c r="A130" s="669" t="s">
        <v>328</v>
      </c>
      <c r="B130" s="267"/>
      <c r="C130" s="267"/>
      <c r="D130" s="267"/>
      <c r="E130" s="267"/>
      <c r="F130" s="267"/>
      <c r="G130" s="267"/>
      <c r="H130" s="267"/>
      <c r="I130" s="779"/>
    </row>
    <row r="131" spans="1:9" x14ac:dyDescent="0.25">
      <c r="A131" s="669" t="s">
        <v>427</v>
      </c>
      <c r="B131" s="267"/>
      <c r="C131" s="1535"/>
      <c r="D131" s="267"/>
      <c r="E131" s="267"/>
      <c r="F131" s="267"/>
      <c r="G131" s="267"/>
      <c r="H131" s="267"/>
      <c r="I131" s="779"/>
    </row>
    <row r="132" spans="1:9" x14ac:dyDescent="0.25">
      <c r="A132" s="669" t="s">
        <v>359</v>
      </c>
      <c r="B132" s="267"/>
      <c r="C132" s="267"/>
      <c r="D132" s="267"/>
      <c r="E132" s="267"/>
      <c r="F132" s="267"/>
      <c r="G132" s="267"/>
      <c r="H132" s="267"/>
      <c r="I132" s="779"/>
    </row>
    <row r="133" spans="1:9" x14ac:dyDescent="0.25">
      <c r="A133" s="669" t="s">
        <v>360</v>
      </c>
      <c r="B133" s="267"/>
      <c r="C133" s="267"/>
      <c r="D133" s="267"/>
      <c r="E133" s="267"/>
      <c r="F133" s="267"/>
      <c r="G133" s="267"/>
      <c r="H133" s="267"/>
      <c r="I133" s="779"/>
    </row>
    <row r="134" spans="1:9" x14ac:dyDescent="0.25">
      <c r="A134" s="669" t="s">
        <v>329</v>
      </c>
      <c r="B134" s="267"/>
      <c r="C134" s="267"/>
      <c r="D134" s="267"/>
      <c r="E134" s="267"/>
      <c r="F134" s="267"/>
      <c r="G134" s="267"/>
      <c r="H134" s="267"/>
      <c r="I134" s="779"/>
    </row>
    <row r="135" spans="1:9" x14ac:dyDescent="0.25">
      <c r="A135" s="3150" t="s">
        <v>1097</v>
      </c>
      <c r="B135" s="3151"/>
      <c r="C135" s="3151"/>
      <c r="D135" s="3151"/>
      <c r="E135" s="3151"/>
      <c r="F135" s="3151"/>
      <c r="G135" s="3151"/>
      <c r="H135" s="3151"/>
      <c r="I135" s="3152"/>
    </row>
    <row r="136" spans="1:9" x14ac:dyDescent="0.25">
      <c r="A136" s="3150"/>
      <c r="B136" s="3151"/>
      <c r="C136" s="3151"/>
      <c r="D136" s="3151"/>
      <c r="E136" s="3151"/>
      <c r="F136" s="3151"/>
      <c r="G136" s="3151"/>
      <c r="H136" s="3151"/>
      <c r="I136" s="3152"/>
    </row>
    <row r="137" spans="1:9" x14ac:dyDescent="0.25">
      <c r="A137" s="3114" t="str">
        <f ca="1">IF(A14=K14,"ACHTUNG: Beachte auch REPORT Pkt A. Es sind Hinweise wegen Überschreitung von Richtwerten vorhanden.","")</f>
        <v/>
      </c>
      <c r="B137" s="3115"/>
      <c r="C137" s="3115"/>
      <c r="D137" s="3115"/>
      <c r="E137" s="3115"/>
      <c r="F137" s="3115"/>
      <c r="G137" s="3115"/>
      <c r="H137" s="3115"/>
      <c r="I137" s="3116"/>
    </row>
    <row r="138" spans="1:9" ht="25.15" customHeight="1" x14ac:dyDescent="0.25">
      <c r="A138" s="3073" t="s">
        <v>352</v>
      </c>
      <c r="B138" s="3074"/>
      <c r="C138" s="3074"/>
      <c r="D138" s="3074"/>
      <c r="E138" s="3075"/>
      <c r="F138" s="1532"/>
      <c r="G138" s="1536" t="s">
        <v>361</v>
      </c>
      <c r="H138" s="1537">
        <f ca="1">TODAY()</f>
        <v>46142</v>
      </c>
      <c r="I138" s="1538">
        <f ca="1">NOW()</f>
        <v>46142.648652777803</v>
      </c>
    </row>
    <row r="139" spans="1:9" ht="15.95" customHeight="1" x14ac:dyDescent="0.25">
      <c r="A139" s="3079" t="str">
        <f ca="1">A19</f>
        <v>Ungenaue Kalkulation (Rundungen) und Ergebnisse wegen fehlender Lizenz!!</v>
      </c>
      <c r="B139" s="3080"/>
      <c r="C139" s="3080"/>
      <c r="D139" s="3080"/>
      <c r="E139" s="3080"/>
      <c r="F139" s="3080"/>
      <c r="G139" s="3080"/>
      <c r="H139" s="3080"/>
      <c r="I139" s="3081"/>
    </row>
    <row r="140" spans="1:9" ht="15.95" customHeight="1" x14ac:dyDescent="0.25">
      <c r="A140" s="3082"/>
      <c r="B140" s="3083"/>
      <c r="C140" s="3083"/>
      <c r="D140" s="3083"/>
      <c r="E140" s="3083"/>
      <c r="F140" s="3083"/>
      <c r="G140" s="3083"/>
      <c r="H140" s="3083"/>
      <c r="I140" s="3084"/>
    </row>
    <row r="141" spans="1:9" ht="15.95" customHeight="1" x14ac:dyDescent="0.25">
      <c r="A141" s="1539" t="s">
        <v>437</v>
      </c>
      <c r="B141" s="1540"/>
      <c r="C141" s="1541"/>
      <c r="D141" s="1542" t="str">
        <f ca="1">MID(CELL("Dateiname"),SEARCH("[",CELL("Dateiname"))+1,SEARCH("]",CELL("Dateiname"))-SEARCH("[",CELL("Dateiname"))-1)</f>
        <v>K3-Blatt_Baugewerbe_(V4.0g).xlsx</v>
      </c>
      <c r="E141" s="1542"/>
      <c r="F141" s="1542"/>
      <c r="G141" s="1542"/>
      <c r="H141" s="1543"/>
      <c r="I141" s="1544"/>
    </row>
    <row r="142" spans="1:9" ht="15.95" customHeight="1" x14ac:dyDescent="0.25">
      <c r="A142" s="3117" t="s">
        <v>436</v>
      </c>
      <c r="B142" s="3118"/>
      <c r="C142" s="267"/>
      <c r="D142" s="3060" t="str">
        <f ca="1">Stammdaten!A2&amp;"
Bitte achten Sie darauf, dass die Quelldatei/Stammdaten bei den firmenindividuellen Werten (zB AKV (Überzahlung). Heimfahrtskosten udgl) jedenfalls ihren Daten entsprechen. "&amp;"Achten Sie auch darauf die aktuellen KollV-Daten und SV-Daten zu verwenden. Sie können diese Daten in der Quelldatei eigenständig ändern."</f>
        <v>Ihre Auswahl im Blatt STAMMDATEN: Quelldatei mit Namen [K3_Quelle.xlsx] und dem Blattnamen mit [Bauindustrie_gewerbe_26].  Die dort angelegten Stammdaten werden in das Kalk-Tool übertragen. 
Bitte achten Sie darauf, dass die Quelldatei/Stammdaten bei den firmenindividuellen Werten (zB AKV (Überzahlung). Heimfahrtskosten udgl) jedenfalls ihren Daten entsprechen. Achten Sie auch darauf die aktuellen KollV-Daten und SV-Daten zu verwenden. Sie können diese Daten in der Quelldatei eigenständig ändern.</v>
      </c>
      <c r="E142" s="3061"/>
      <c r="F142" s="3061"/>
      <c r="G142" s="3061"/>
      <c r="H142" s="3061"/>
      <c r="I142" s="3062"/>
    </row>
    <row r="143" spans="1:9" ht="15.95" customHeight="1" x14ac:dyDescent="0.25">
      <c r="A143" s="3117"/>
      <c r="B143" s="3118"/>
      <c r="C143" s="1545"/>
      <c r="D143" s="3063"/>
      <c r="E143" s="3064"/>
      <c r="F143" s="3064"/>
      <c r="G143" s="3064"/>
      <c r="H143" s="3064"/>
      <c r="I143" s="3065"/>
    </row>
    <row r="144" spans="1:9" ht="15.95" customHeight="1" x14ac:dyDescent="0.25">
      <c r="A144" s="3117"/>
      <c r="B144" s="3118"/>
      <c r="C144" s="1545"/>
      <c r="D144" s="3063"/>
      <c r="E144" s="3064"/>
      <c r="F144" s="3064"/>
      <c r="G144" s="3064"/>
      <c r="H144" s="3064"/>
      <c r="I144" s="3065"/>
    </row>
    <row r="145" spans="1:11" ht="15.95" customHeight="1" x14ac:dyDescent="0.25">
      <c r="A145" s="3117"/>
      <c r="B145" s="3118"/>
      <c r="C145" s="1545"/>
      <c r="D145" s="3063"/>
      <c r="E145" s="3064"/>
      <c r="F145" s="3064"/>
      <c r="G145" s="3064"/>
      <c r="H145" s="3064"/>
      <c r="I145" s="3065"/>
    </row>
    <row r="146" spans="1:11" ht="15.95" customHeight="1" x14ac:dyDescent="0.25">
      <c r="A146" s="3117"/>
      <c r="B146" s="3118"/>
      <c r="C146" s="1545"/>
      <c r="D146" s="3063"/>
      <c r="E146" s="3064"/>
      <c r="F146" s="3064"/>
      <c r="G146" s="3064"/>
      <c r="H146" s="3064"/>
      <c r="I146" s="3065"/>
    </row>
    <row r="147" spans="1:11" ht="15.95" customHeight="1" x14ac:dyDescent="0.25">
      <c r="A147" s="3117"/>
      <c r="B147" s="3118"/>
      <c r="C147" s="1545"/>
      <c r="D147" s="3063"/>
      <c r="E147" s="3064"/>
      <c r="F147" s="3064"/>
      <c r="G147" s="3064"/>
      <c r="H147" s="3064"/>
      <c r="I147" s="3065"/>
    </row>
    <row r="148" spans="1:11" ht="15.95" customHeight="1" x14ac:dyDescent="0.25">
      <c r="A148" s="3117"/>
      <c r="B148" s="3118"/>
      <c r="C148" s="1545"/>
      <c r="D148" s="3063"/>
      <c r="E148" s="3064"/>
      <c r="F148" s="3064"/>
      <c r="G148" s="3064"/>
      <c r="H148" s="3064"/>
      <c r="I148" s="3065"/>
    </row>
    <row r="149" spans="1:11" ht="15.95" customHeight="1" x14ac:dyDescent="0.25">
      <c r="A149" s="3119"/>
      <c r="B149" s="3120"/>
      <c r="C149" s="1546"/>
      <c r="D149" s="3066"/>
      <c r="E149" s="3067"/>
      <c r="F149" s="3067"/>
      <c r="G149" s="3067"/>
      <c r="H149" s="3067"/>
      <c r="I149" s="3068"/>
    </row>
    <row r="150" spans="1:11" x14ac:dyDescent="0.25">
      <c r="A150" s="3073" t="s">
        <v>456</v>
      </c>
      <c r="B150" s="3074"/>
      <c r="C150" s="3074"/>
      <c r="D150" s="3074"/>
      <c r="E150" s="3074"/>
      <c r="F150" s="3074"/>
      <c r="G150" s="3074"/>
      <c r="H150" s="3074"/>
      <c r="I150" s="3075"/>
    </row>
    <row r="151" spans="1:11" x14ac:dyDescent="0.25">
      <c r="A151" s="1530"/>
      <c r="B151" s="1531"/>
      <c r="C151" s="1531"/>
      <c r="D151" s="1531"/>
      <c r="E151" s="1547" t="s">
        <v>404</v>
      </c>
      <c r="F151" s="3072" t="str">
        <f>"KALKULATION Punkt "&amp;K151</f>
        <v>KALKULATION Punkt A</v>
      </c>
      <c r="G151" s="3072"/>
      <c r="H151" s="1548" t="s">
        <v>402</v>
      </c>
      <c r="I151" s="1549" t="s">
        <v>403</v>
      </c>
      <c r="K151" s="1272" t="s">
        <v>6</v>
      </c>
    </row>
    <row r="152" spans="1:11" ht="18.399999999999999" customHeight="1" x14ac:dyDescent="0.25">
      <c r="A152" s="3060" t="str">
        <f ca="1">A403&amp;"
"&amp;A411&amp;"
"&amp;A415</f>
        <v>Die Kalkulation erfolgt für das Projekt [Musterprojekt Baugewerbe ]. Als Geschäftszahl der Ausschreibung ist [Seine GZ] angegeben. Die GZ des Unternehmers ist mit [Meine GZ] angegeben. 
Das angegebene Kalkulationsdatum ist der 01.05.2026. In Bezug zum heutigen Tag liegt das Kalkulationsdatum (wird als Datum der Erstellung der Kalkulation verstanden) 1 Tage in der Zukunft. 
Der Personalpreis wird für die Personalkostenart [Lohn] und für die Leistungsart [Montage] ermittelt.</v>
      </c>
      <c r="B152" s="3061"/>
      <c r="C152" s="3061"/>
      <c r="D152" s="3061"/>
      <c r="E152" s="3061"/>
      <c r="F152" s="3061"/>
      <c r="G152" s="3061"/>
      <c r="H152" s="3061"/>
      <c r="I152" s="3062"/>
    </row>
    <row r="153" spans="1:11" ht="18.399999999999999" customHeight="1" x14ac:dyDescent="0.25">
      <c r="A153" s="3063"/>
      <c r="B153" s="3064"/>
      <c r="C153" s="3064"/>
      <c r="D153" s="3064"/>
      <c r="E153" s="3064"/>
      <c r="F153" s="3064"/>
      <c r="G153" s="3064"/>
      <c r="H153" s="3064"/>
      <c r="I153" s="3065"/>
    </row>
    <row r="154" spans="1:11" ht="18.399999999999999" customHeight="1" x14ac:dyDescent="0.25">
      <c r="A154" s="3063"/>
      <c r="B154" s="3064"/>
      <c r="C154" s="3064"/>
      <c r="D154" s="3064"/>
      <c r="E154" s="3064"/>
      <c r="F154" s="3064"/>
      <c r="G154" s="3064"/>
      <c r="H154" s="3064"/>
      <c r="I154" s="3065"/>
    </row>
    <row r="155" spans="1:11" ht="18.399999999999999" customHeight="1" x14ac:dyDescent="0.25">
      <c r="A155" s="3063"/>
      <c r="B155" s="3064"/>
      <c r="C155" s="3064"/>
      <c r="D155" s="3064"/>
      <c r="E155" s="3064"/>
      <c r="F155" s="3064"/>
      <c r="G155" s="3064"/>
      <c r="H155" s="3064"/>
      <c r="I155" s="3065"/>
    </row>
    <row r="156" spans="1:11" ht="18.399999999999999" customHeight="1" x14ac:dyDescent="0.25">
      <c r="A156" s="3063"/>
      <c r="B156" s="3064"/>
      <c r="C156" s="3064"/>
      <c r="D156" s="3064"/>
      <c r="E156" s="3064"/>
      <c r="F156" s="3064"/>
      <c r="G156" s="3064"/>
      <c r="H156" s="3064"/>
      <c r="I156" s="3065"/>
    </row>
    <row r="157" spans="1:11" ht="18.399999999999999" customHeight="1" x14ac:dyDescent="0.25">
      <c r="A157" s="3063"/>
      <c r="B157" s="3064"/>
      <c r="C157" s="3064"/>
      <c r="D157" s="3064"/>
      <c r="E157" s="3064"/>
      <c r="F157" s="3064"/>
      <c r="G157" s="3064"/>
      <c r="H157" s="3064"/>
      <c r="I157" s="3065"/>
    </row>
    <row r="158" spans="1:11" ht="18.399999999999999" customHeight="1" x14ac:dyDescent="0.25">
      <c r="A158" s="3066"/>
      <c r="B158" s="3067"/>
      <c r="C158" s="3067"/>
      <c r="D158" s="3067"/>
      <c r="E158" s="3067"/>
      <c r="F158" s="3067"/>
      <c r="G158" s="3067"/>
      <c r="H158" s="3067"/>
      <c r="I158" s="3068"/>
    </row>
    <row r="159" spans="1:11" ht="18.399999999999999" customHeight="1" x14ac:dyDescent="0.25">
      <c r="A159" s="1550" t="s">
        <v>969</v>
      </c>
      <c r="B159" s="1551"/>
      <c r="C159" s="1551"/>
      <c r="D159" s="1551"/>
      <c r="E159" s="1551"/>
      <c r="F159" s="1551"/>
      <c r="G159" s="1551"/>
      <c r="H159" s="1551"/>
      <c r="I159" s="1552"/>
    </row>
    <row r="160" spans="1:11" ht="18.399999999999999" customHeight="1" x14ac:dyDescent="0.25">
      <c r="A160" s="1530"/>
      <c r="B160" s="1531"/>
      <c r="C160" s="1531"/>
      <c r="D160" s="1531"/>
      <c r="E160" s="1547" t="s">
        <v>404</v>
      </c>
      <c r="F160" s="3072" t="str">
        <f>"KALKULATION Punkt "&amp;K160</f>
        <v>KALKULATION Punkt B1</v>
      </c>
      <c r="G160" s="3072"/>
      <c r="H160" s="1548" t="s">
        <v>402</v>
      </c>
      <c r="I160" s="1549" t="s">
        <v>408</v>
      </c>
      <c r="K160" s="1272" t="s">
        <v>742</v>
      </c>
    </row>
    <row r="161" spans="1:9" ht="15.75" customHeight="1" x14ac:dyDescent="0.25">
      <c r="A161" s="3060" t="str">
        <f ca="1">A428&amp;A447&amp;A454&amp;A461&amp;A466</f>
        <v xml:space="preserve">Der verwendete Kollektivvertrag (KollV) ist der [KollV f Bauindustrie und Baugewerbe (Arbeiter)] mit dem Stichtag 01.05.2026. Im Bezug zum angegebenen Kalkulationsdatum liegt der KollV-Stichtag 0 Tage zuvor. Im Bezug zum heutigen Tag liegt der KollV-Stichtag 1 Tage in der Zukunft. 
Die durchschnittliche Arbeitsgruppe für die Mittelpersonalkosten ist mit 7 Personen angenommen (B1). Dabei sind folgende Beschäftigungsgruppen (Anteile in %) berücksichtigt: [IIa.    Vorarbeiter (14%), IIb.   Facharbeiter (43%), IV.   Bauhilfsarbeiter (43%)]. 
Das angesetzte höchste KV-Entgelt beträgt 21,96€/Std, das niedrigste 17,03€/Std. Im gewichteten Mittel beträgt das KV-Entgelt 20,00€. Darauf ist eine durchschnittliche Überzahlung (AKV-Entgelt) in Hv 2,85€ bzw 14,3% aufgeschlagen. Wegen der vorgenommenen Umlage von unproduktivem Personal (B2.a) kann der zuvor angegebene AKV-Wert vom im K3-Blatt dargestellten Wert abweichen. Er liegt (gewichtet über produktivem und unproduktivem Personal) bei 14,3% (B3). </v>
      </c>
      <c r="B161" s="3061"/>
      <c r="C161" s="3061"/>
      <c r="D161" s="3061"/>
      <c r="E161" s="3061"/>
      <c r="F161" s="3061"/>
      <c r="G161" s="3061"/>
      <c r="H161" s="3061"/>
      <c r="I161" s="3062"/>
    </row>
    <row r="162" spans="1:9" x14ac:dyDescent="0.25">
      <c r="A162" s="3063"/>
      <c r="B162" s="3064"/>
      <c r="C162" s="3064"/>
      <c r="D162" s="3064"/>
      <c r="E162" s="3064"/>
      <c r="F162" s="3064"/>
      <c r="G162" s="3064"/>
      <c r="H162" s="3064"/>
      <c r="I162" s="3065"/>
    </row>
    <row r="163" spans="1:9" x14ac:dyDescent="0.25">
      <c r="A163" s="3063"/>
      <c r="B163" s="3064"/>
      <c r="C163" s="3064"/>
      <c r="D163" s="3064"/>
      <c r="E163" s="3064"/>
      <c r="F163" s="3064"/>
      <c r="G163" s="3064"/>
      <c r="H163" s="3064"/>
      <c r="I163" s="3065"/>
    </row>
    <row r="164" spans="1:9" x14ac:dyDescent="0.25">
      <c r="A164" s="3063"/>
      <c r="B164" s="3064"/>
      <c r="C164" s="3064"/>
      <c r="D164" s="3064"/>
      <c r="E164" s="3064"/>
      <c r="F164" s="3064"/>
      <c r="G164" s="3064"/>
      <c r="H164" s="3064"/>
      <c r="I164" s="3065"/>
    </row>
    <row r="165" spans="1:9" x14ac:dyDescent="0.25">
      <c r="A165" s="3063"/>
      <c r="B165" s="3064"/>
      <c r="C165" s="3064"/>
      <c r="D165" s="3064"/>
      <c r="E165" s="3064"/>
      <c r="F165" s="3064"/>
      <c r="G165" s="3064"/>
      <c r="H165" s="3064"/>
      <c r="I165" s="3065"/>
    </row>
    <row r="166" spans="1:9" x14ac:dyDescent="0.25">
      <c r="A166" s="3063"/>
      <c r="B166" s="3064"/>
      <c r="C166" s="3064"/>
      <c r="D166" s="3064"/>
      <c r="E166" s="3064"/>
      <c r="F166" s="3064"/>
      <c r="G166" s="3064"/>
      <c r="H166" s="3064"/>
      <c r="I166" s="3065"/>
    </row>
    <row r="167" spans="1:9" x14ac:dyDescent="0.25">
      <c r="A167" s="3063"/>
      <c r="B167" s="3064"/>
      <c r="C167" s="3064"/>
      <c r="D167" s="3064"/>
      <c r="E167" s="3064"/>
      <c r="F167" s="3064"/>
      <c r="G167" s="3064"/>
      <c r="H167" s="3064"/>
      <c r="I167" s="3065"/>
    </row>
    <row r="168" spans="1:9" x14ac:dyDescent="0.25">
      <c r="A168" s="3063"/>
      <c r="B168" s="3064"/>
      <c r="C168" s="3064"/>
      <c r="D168" s="3064"/>
      <c r="E168" s="3064"/>
      <c r="F168" s="3064"/>
      <c r="G168" s="3064"/>
      <c r="H168" s="3064"/>
      <c r="I168" s="3065"/>
    </row>
    <row r="169" spans="1:9" x14ac:dyDescent="0.25">
      <c r="A169" s="3063"/>
      <c r="B169" s="3064"/>
      <c r="C169" s="3064"/>
      <c r="D169" s="3064"/>
      <c r="E169" s="3064"/>
      <c r="F169" s="3064"/>
      <c r="G169" s="3064"/>
      <c r="H169" s="3064"/>
      <c r="I169" s="3065"/>
    </row>
    <row r="170" spans="1:9" x14ac:dyDescent="0.25">
      <c r="A170" s="3063"/>
      <c r="B170" s="3064"/>
      <c r="C170" s="3064"/>
      <c r="D170" s="3064"/>
      <c r="E170" s="3064"/>
      <c r="F170" s="3064"/>
      <c r="G170" s="3064"/>
      <c r="H170" s="3064"/>
      <c r="I170" s="3065"/>
    </row>
    <row r="171" spans="1:9" x14ac:dyDescent="0.25">
      <c r="A171" s="3063"/>
      <c r="B171" s="3064"/>
      <c r="C171" s="3064"/>
      <c r="D171" s="3064"/>
      <c r="E171" s="3064"/>
      <c r="F171" s="3064"/>
      <c r="G171" s="3064"/>
      <c r="H171" s="3064"/>
      <c r="I171" s="3065"/>
    </row>
    <row r="172" spans="1:9" x14ac:dyDescent="0.25">
      <c r="A172" s="3063"/>
      <c r="B172" s="3064"/>
      <c r="C172" s="3064"/>
      <c r="D172" s="3064"/>
      <c r="E172" s="3064"/>
      <c r="F172" s="3064"/>
      <c r="G172" s="3064"/>
      <c r="H172" s="3064"/>
      <c r="I172" s="3065"/>
    </row>
    <row r="173" spans="1:9" x14ac:dyDescent="0.25">
      <c r="A173" s="3063"/>
      <c r="B173" s="3064"/>
      <c r="C173" s="3064"/>
      <c r="D173" s="3064"/>
      <c r="E173" s="3064"/>
      <c r="F173" s="3064"/>
      <c r="G173" s="3064"/>
      <c r="H173" s="3064"/>
      <c r="I173" s="3065"/>
    </row>
    <row r="174" spans="1:9" x14ac:dyDescent="0.25">
      <c r="A174" s="3063"/>
      <c r="B174" s="3064"/>
      <c r="C174" s="3064"/>
      <c r="D174" s="3064"/>
      <c r="E174" s="3064"/>
      <c r="F174" s="3064"/>
      <c r="G174" s="3064"/>
      <c r="H174" s="3064"/>
      <c r="I174" s="3065"/>
    </row>
    <row r="175" spans="1:9" x14ac:dyDescent="0.25">
      <c r="A175" s="3063"/>
      <c r="B175" s="3064"/>
      <c r="C175" s="3064"/>
      <c r="D175" s="3064"/>
      <c r="E175" s="3064"/>
      <c r="F175" s="3064"/>
      <c r="G175" s="3064"/>
      <c r="H175" s="3064"/>
      <c r="I175" s="3065"/>
    </row>
    <row r="176" spans="1:9" x14ac:dyDescent="0.25">
      <c r="A176" s="3066"/>
      <c r="B176" s="3067"/>
      <c r="C176" s="3067"/>
      <c r="D176" s="3067"/>
      <c r="E176" s="3067"/>
      <c r="F176" s="3067"/>
      <c r="G176" s="3067"/>
      <c r="H176" s="3067"/>
      <c r="I176" s="3068"/>
    </row>
    <row r="177" spans="1:11" x14ac:dyDescent="0.25">
      <c r="A177" s="3073" t="s">
        <v>457</v>
      </c>
      <c r="B177" s="3074"/>
      <c r="C177" s="3074"/>
      <c r="D177" s="3074"/>
      <c r="E177" s="3074"/>
      <c r="F177" s="3074"/>
      <c r="G177" s="3074"/>
      <c r="H177" s="3074"/>
      <c r="I177" s="3075"/>
    </row>
    <row r="178" spans="1:11" x14ac:dyDescent="0.25">
      <c r="A178" s="1553"/>
      <c r="B178" s="1554"/>
      <c r="C178" s="1554"/>
      <c r="D178" s="1554"/>
      <c r="E178" s="1555" t="s">
        <v>404</v>
      </c>
      <c r="F178" s="3072" t="str">
        <f>"KALKULATION Punkt "&amp;K178</f>
        <v>KALKULATION Punkt B2</v>
      </c>
      <c r="G178" s="3072"/>
      <c r="H178" s="1556" t="s">
        <v>402</v>
      </c>
      <c r="I178" s="1557" t="s">
        <v>405</v>
      </c>
      <c r="K178" s="1272" t="s">
        <v>674</v>
      </c>
    </row>
    <row r="179" spans="1:11" ht="15.75" customHeight="1" x14ac:dyDescent="0.25">
      <c r="A179" s="3060" t="str">
        <f ca="1">A470&amp;A477&amp;A486&amp;A499&amp;A509&amp;A515&amp;A519</f>
        <v xml:space="preserve">Eine Umlage für unproduktives Personal ist vorgenommen (B2.a) und dieses ist kalkulatorisch  dem Kreis der kalkulierten Beschäftigten entnommen (KZ=0 bei B2.a). Die Festlegung des unprod. Personals erfolgt gem B2.a als (Auswahl (3)) Anteil an der in B1 festgelegten Gesamtanzahl. Durch den relativen Bezug ändert sich die Anzahl des unprod. Personals bei Änderung der Anzahl in Pkt B1.
Die Umlage betrifft das Ausmaß von 0,70 Person(en) / Köpfe und setzt sich wie folgt zusammen: [IIa.    Vorarbeiter, IIb.   Facharbeiter]. Die 'produktiv' tätige Personenanzahl, jenes Personal das die verkaufbare Leistung erbringt, beträgt 6,30 (Köpfe). Der Umlageprozentsatz nach 'Köpfen' beträgt 11,11% (die wertmäßige Umlage kann davon abweichen). 
Es ist kein Ansatz für sonstige unproduktive Zeiten (B2.b) vorgenommen. 
Die Ansätze für unproduktives Personal (B2.a) und/oder sonstige unproduktive Zeiten (B2.b) ergeben einen Aufschlag nach 'Köpfen' von 11,11% bzw kalkulatorisch einen monetären Aufschlag in Höhe von 11,93%. </v>
      </c>
      <c r="B179" s="3061"/>
      <c r="C179" s="3061"/>
      <c r="D179" s="3061"/>
      <c r="E179" s="3061"/>
      <c r="F179" s="3061"/>
      <c r="G179" s="3061"/>
      <c r="H179" s="3061"/>
      <c r="I179" s="3062"/>
    </row>
    <row r="180" spans="1:11" x14ac:dyDescent="0.25">
      <c r="A180" s="3063"/>
      <c r="B180" s="3064"/>
      <c r="C180" s="3064"/>
      <c r="D180" s="3064"/>
      <c r="E180" s="3064"/>
      <c r="F180" s="3064"/>
      <c r="G180" s="3064"/>
      <c r="H180" s="3064"/>
      <c r="I180" s="3065"/>
    </row>
    <row r="181" spans="1:11" x14ac:dyDescent="0.25">
      <c r="A181" s="3063"/>
      <c r="B181" s="3064"/>
      <c r="C181" s="3064"/>
      <c r="D181" s="3064"/>
      <c r="E181" s="3064"/>
      <c r="F181" s="3064"/>
      <c r="G181" s="3064"/>
      <c r="H181" s="3064"/>
      <c r="I181" s="3065"/>
    </row>
    <row r="182" spans="1:11" x14ac:dyDescent="0.25">
      <c r="A182" s="3063"/>
      <c r="B182" s="3064"/>
      <c r="C182" s="3064"/>
      <c r="D182" s="3064"/>
      <c r="E182" s="3064"/>
      <c r="F182" s="3064"/>
      <c r="G182" s="3064"/>
      <c r="H182" s="3064"/>
      <c r="I182" s="3065"/>
    </row>
    <row r="183" spans="1:11" x14ac:dyDescent="0.25">
      <c r="A183" s="3063"/>
      <c r="B183" s="3064"/>
      <c r="C183" s="3064"/>
      <c r="D183" s="3064"/>
      <c r="E183" s="3064"/>
      <c r="F183" s="3064"/>
      <c r="G183" s="3064"/>
      <c r="H183" s="3064"/>
      <c r="I183" s="3065"/>
    </row>
    <row r="184" spans="1:11" x14ac:dyDescent="0.25">
      <c r="A184" s="3063"/>
      <c r="B184" s="3064"/>
      <c r="C184" s="3064"/>
      <c r="D184" s="3064"/>
      <c r="E184" s="3064"/>
      <c r="F184" s="3064"/>
      <c r="G184" s="3064"/>
      <c r="H184" s="3064"/>
      <c r="I184" s="3065"/>
    </row>
    <row r="185" spans="1:11" x14ac:dyDescent="0.25">
      <c r="A185" s="3063"/>
      <c r="B185" s="3064"/>
      <c r="C185" s="3064"/>
      <c r="D185" s="3064"/>
      <c r="E185" s="3064"/>
      <c r="F185" s="3064"/>
      <c r="G185" s="3064"/>
      <c r="H185" s="3064"/>
      <c r="I185" s="3065"/>
    </row>
    <row r="186" spans="1:11" x14ac:dyDescent="0.25">
      <c r="A186" s="3063"/>
      <c r="B186" s="3064"/>
      <c r="C186" s="3064"/>
      <c r="D186" s="3064"/>
      <c r="E186" s="3064"/>
      <c r="F186" s="3064"/>
      <c r="G186" s="3064"/>
      <c r="H186" s="3064"/>
      <c r="I186" s="3065"/>
    </row>
    <row r="187" spans="1:11" x14ac:dyDescent="0.25">
      <c r="A187" s="3063"/>
      <c r="B187" s="3064"/>
      <c r="C187" s="3064"/>
      <c r="D187" s="3064"/>
      <c r="E187" s="3064"/>
      <c r="F187" s="3064"/>
      <c r="G187" s="3064"/>
      <c r="H187" s="3064"/>
      <c r="I187" s="3065"/>
    </row>
    <row r="188" spans="1:11" x14ac:dyDescent="0.25">
      <c r="A188" s="3063"/>
      <c r="B188" s="3064"/>
      <c r="C188" s="3064"/>
      <c r="D188" s="3064"/>
      <c r="E188" s="3064"/>
      <c r="F188" s="3064"/>
      <c r="G188" s="3064"/>
      <c r="H188" s="3064"/>
      <c r="I188" s="3065"/>
    </row>
    <row r="189" spans="1:11" x14ac:dyDescent="0.25">
      <c r="A189" s="3063"/>
      <c r="B189" s="3064"/>
      <c r="C189" s="3064"/>
      <c r="D189" s="3064"/>
      <c r="E189" s="3064"/>
      <c r="F189" s="3064"/>
      <c r="G189" s="3064"/>
      <c r="H189" s="3064"/>
      <c r="I189" s="3065"/>
    </row>
    <row r="190" spans="1:11" x14ac:dyDescent="0.25">
      <c r="A190" s="3063"/>
      <c r="B190" s="3064"/>
      <c r="C190" s="3064"/>
      <c r="D190" s="3064"/>
      <c r="E190" s="3064"/>
      <c r="F190" s="3064"/>
      <c r="G190" s="3064"/>
      <c r="H190" s="3064"/>
      <c r="I190" s="3065"/>
    </row>
    <row r="191" spans="1:11" x14ac:dyDescent="0.25">
      <c r="A191" s="3063"/>
      <c r="B191" s="3064"/>
      <c r="C191" s="3064"/>
      <c r="D191" s="3064"/>
      <c r="E191" s="3064"/>
      <c r="F191" s="3064"/>
      <c r="G191" s="3064"/>
      <c r="H191" s="3064"/>
      <c r="I191" s="3065"/>
    </row>
    <row r="192" spans="1:11" x14ac:dyDescent="0.25">
      <c r="A192" s="3063"/>
      <c r="B192" s="3064"/>
      <c r="C192" s="3064"/>
      <c r="D192" s="3064"/>
      <c r="E192" s="3064"/>
      <c r="F192" s="3064"/>
      <c r="G192" s="3064"/>
      <c r="H192" s="3064"/>
      <c r="I192" s="3065"/>
    </row>
    <row r="193" spans="1:11" x14ac:dyDescent="0.25">
      <c r="A193" s="3063"/>
      <c r="B193" s="3064"/>
      <c r="C193" s="3064"/>
      <c r="D193" s="3064"/>
      <c r="E193" s="3064"/>
      <c r="F193" s="3064"/>
      <c r="G193" s="3064"/>
      <c r="H193" s="3064"/>
      <c r="I193" s="3065"/>
    </row>
    <row r="194" spans="1:11" x14ac:dyDescent="0.25">
      <c r="A194" s="3063"/>
      <c r="B194" s="3064"/>
      <c r="C194" s="3064"/>
      <c r="D194" s="3064"/>
      <c r="E194" s="3064"/>
      <c r="F194" s="3064"/>
      <c r="G194" s="3064"/>
      <c r="H194" s="3064"/>
      <c r="I194" s="3065"/>
    </row>
    <row r="195" spans="1:11" x14ac:dyDescent="0.25">
      <c r="A195" s="3063"/>
      <c r="B195" s="3064"/>
      <c r="C195" s="3064"/>
      <c r="D195" s="3064"/>
      <c r="E195" s="3064"/>
      <c r="F195" s="3064"/>
      <c r="G195" s="3064"/>
      <c r="H195" s="3064"/>
      <c r="I195" s="3065"/>
    </row>
    <row r="196" spans="1:11" x14ac:dyDescent="0.25">
      <c r="A196" s="3063"/>
      <c r="B196" s="3064"/>
      <c r="C196" s="3064"/>
      <c r="D196" s="3064"/>
      <c r="E196" s="3064"/>
      <c r="F196" s="3064"/>
      <c r="G196" s="3064"/>
      <c r="H196" s="3064"/>
      <c r="I196" s="3065"/>
    </row>
    <row r="197" spans="1:11" x14ac:dyDescent="0.25">
      <c r="A197" s="3063"/>
      <c r="B197" s="3064"/>
      <c r="C197" s="3064"/>
      <c r="D197" s="3064"/>
      <c r="E197" s="3064"/>
      <c r="F197" s="3064"/>
      <c r="G197" s="3064"/>
      <c r="H197" s="3064"/>
      <c r="I197" s="3065"/>
    </row>
    <row r="198" spans="1:11" x14ac:dyDescent="0.25">
      <c r="A198" s="3063"/>
      <c r="B198" s="3064"/>
      <c r="C198" s="3064"/>
      <c r="D198" s="3064"/>
      <c r="E198" s="3064"/>
      <c r="F198" s="3064"/>
      <c r="G198" s="3064"/>
      <c r="H198" s="3064"/>
      <c r="I198" s="3065"/>
    </row>
    <row r="199" spans="1:11" x14ac:dyDescent="0.25">
      <c r="A199" s="3063"/>
      <c r="B199" s="3064"/>
      <c r="C199" s="3064"/>
      <c r="D199" s="3064"/>
      <c r="E199" s="3064"/>
      <c r="F199" s="3064"/>
      <c r="G199" s="3064"/>
      <c r="H199" s="3064"/>
      <c r="I199" s="3065"/>
    </row>
    <row r="200" spans="1:11" x14ac:dyDescent="0.25">
      <c r="A200" s="3063"/>
      <c r="B200" s="3064"/>
      <c r="C200" s="3064"/>
      <c r="D200" s="3064"/>
      <c r="E200" s="3064"/>
      <c r="F200" s="3064"/>
      <c r="G200" s="3064"/>
      <c r="H200" s="3064"/>
      <c r="I200" s="3065"/>
    </row>
    <row r="201" spans="1:11" x14ac:dyDescent="0.25">
      <c r="A201" s="3063"/>
      <c r="B201" s="3064"/>
      <c r="C201" s="3064"/>
      <c r="D201" s="3064"/>
      <c r="E201" s="3064"/>
      <c r="F201" s="3064"/>
      <c r="G201" s="3064"/>
      <c r="H201" s="3064"/>
      <c r="I201" s="3065"/>
    </row>
    <row r="202" spans="1:11" x14ac:dyDescent="0.25">
      <c r="A202" s="3063"/>
      <c r="B202" s="3064"/>
      <c r="C202" s="3064"/>
      <c r="D202" s="3064"/>
      <c r="E202" s="3064"/>
      <c r="F202" s="3064"/>
      <c r="G202" s="3064"/>
      <c r="H202" s="3064"/>
      <c r="I202" s="3065"/>
    </row>
    <row r="203" spans="1:11" x14ac:dyDescent="0.25">
      <c r="A203" s="3063"/>
      <c r="B203" s="3064"/>
      <c r="C203" s="3064"/>
      <c r="D203" s="3064"/>
      <c r="E203" s="3064"/>
      <c r="F203" s="3064"/>
      <c r="G203" s="3064"/>
      <c r="H203" s="3064"/>
      <c r="I203" s="3065"/>
    </row>
    <row r="204" spans="1:11" x14ac:dyDescent="0.25">
      <c r="A204" s="3066"/>
      <c r="B204" s="3067"/>
      <c r="C204" s="3067"/>
      <c r="D204" s="3067"/>
      <c r="E204" s="3067"/>
      <c r="F204" s="3067"/>
      <c r="G204" s="3067"/>
      <c r="H204" s="3067"/>
      <c r="I204" s="3068"/>
    </row>
    <row r="205" spans="1:11" x14ac:dyDescent="0.25">
      <c r="A205" s="3076" t="s">
        <v>458</v>
      </c>
      <c r="B205" s="3077"/>
      <c r="C205" s="3077"/>
      <c r="D205" s="3077"/>
      <c r="E205" s="3077"/>
      <c r="F205" s="3077"/>
      <c r="G205" s="3077"/>
      <c r="H205" s="3077"/>
      <c r="I205" s="3078"/>
    </row>
    <row r="206" spans="1:11" x14ac:dyDescent="0.25">
      <c r="A206" s="1530"/>
      <c r="B206" s="1531"/>
      <c r="C206" s="1531"/>
      <c r="D206" s="1531"/>
      <c r="E206" s="1547" t="s">
        <v>404</v>
      </c>
      <c r="F206" s="3072" t="str">
        <f>"KALKULATION Punkt "&amp;K206</f>
        <v>KALKULATION Punkt C</v>
      </c>
      <c r="G206" s="3072"/>
      <c r="H206" s="1548" t="s">
        <v>402</v>
      </c>
      <c r="I206" s="1549" t="s">
        <v>406</v>
      </c>
      <c r="K206" s="1272" t="s">
        <v>159</v>
      </c>
    </row>
    <row r="207" spans="1:11" ht="15.75" customHeight="1" x14ac:dyDescent="0.25">
      <c r="A207" s="3060" t="str">
        <f ca="1">IF(KALKULATION!H115=0,"Es sind keine Arbeitszeitzuschläge (für Mehrarbeit, Überstunden, Aufzahlungsstunden für Nacht- oder Schichtarbeit und dgl) angesetzt. Die wöchentliche Arbeitszeit beträgt "&amp;TEXT(KALKULATION!C95,"0,00")&amp;" Std/Woche. ",A529&amp;A546&amp;A586&amp;A618&amp;A601)</f>
        <v xml:space="preserve">Die Arbeitszeit ist mit 42 Std pro Woche angesetzt (kollektivvertragliche Arbeitszeit gem Stammdaten/Quelldatei ist 39 Std/Wo). 
Als Differenz zur KV-Arbeitszeit bestehen 3,00 Std. Diese ergeben sich aus [Überstunde 50% für 3,00 Std]. Die Hinzurechnung für Mehrarbeit/Überstunden beträgt 4,29% bzw 0,94€. Die Berechnung erfolgt auf Basis des jeweiligen Überstundenzuschlags und des KV-Entgelts  zuzüglich 0,00%, die sich aus Entgeltüberzahlungen und zuzüglich  20,00%, die sich aus Erhöhungsfaktoren gem KollV ergeben. Es sind keine Verrechnungsstunden (zB für Nacht- oder Schichtarbeit) angesetzt. 
Insgesamt (C1 und C2) ergibt sich eine Hinzurechnung in Hv 4,30% bzw ein Betrag für Arbeitszeitzuschläge in Hv 0,95€/Std (K3 Zeile 8). </v>
      </c>
      <c r="B207" s="3061"/>
      <c r="C207" s="3061"/>
      <c r="D207" s="3061"/>
      <c r="E207" s="3061"/>
      <c r="F207" s="3061"/>
      <c r="G207" s="3061"/>
      <c r="H207" s="3061"/>
      <c r="I207" s="3062"/>
    </row>
    <row r="208" spans="1:11" x14ac:dyDescent="0.25">
      <c r="A208" s="3063"/>
      <c r="B208" s="3064"/>
      <c r="C208" s="3064"/>
      <c r="D208" s="3064"/>
      <c r="E208" s="3064"/>
      <c r="F208" s="3064"/>
      <c r="G208" s="3064"/>
      <c r="H208" s="3064"/>
      <c r="I208" s="3065"/>
    </row>
    <row r="209" spans="1:9" x14ac:dyDescent="0.25">
      <c r="A209" s="3063"/>
      <c r="B209" s="3064"/>
      <c r="C209" s="3064"/>
      <c r="D209" s="3064"/>
      <c r="E209" s="3064"/>
      <c r="F209" s="3064"/>
      <c r="G209" s="3064"/>
      <c r="H209" s="3064"/>
      <c r="I209" s="3065"/>
    </row>
    <row r="210" spans="1:9" x14ac:dyDescent="0.25">
      <c r="A210" s="3063"/>
      <c r="B210" s="3064"/>
      <c r="C210" s="3064"/>
      <c r="D210" s="3064"/>
      <c r="E210" s="3064"/>
      <c r="F210" s="3064"/>
      <c r="G210" s="3064"/>
      <c r="H210" s="3064"/>
      <c r="I210" s="3065"/>
    </row>
    <row r="211" spans="1:9" x14ac:dyDescent="0.25">
      <c r="A211" s="3063"/>
      <c r="B211" s="3064"/>
      <c r="C211" s="3064"/>
      <c r="D211" s="3064"/>
      <c r="E211" s="3064"/>
      <c r="F211" s="3064"/>
      <c r="G211" s="3064"/>
      <c r="H211" s="3064"/>
      <c r="I211" s="3065"/>
    </row>
    <row r="212" spans="1:9" x14ac:dyDescent="0.25">
      <c r="A212" s="3063"/>
      <c r="B212" s="3064"/>
      <c r="C212" s="3064"/>
      <c r="D212" s="3064"/>
      <c r="E212" s="3064"/>
      <c r="F212" s="3064"/>
      <c r="G212" s="3064"/>
      <c r="H212" s="3064"/>
      <c r="I212" s="3065"/>
    </row>
    <row r="213" spans="1:9" x14ac:dyDescent="0.25">
      <c r="A213" s="3063"/>
      <c r="B213" s="3064"/>
      <c r="C213" s="3064"/>
      <c r="D213" s="3064"/>
      <c r="E213" s="3064"/>
      <c r="F213" s="3064"/>
      <c r="G213" s="3064"/>
      <c r="H213" s="3064"/>
      <c r="I213" s="3065"/>
    </row>
    <row r="214" spans="1:9" x14ac:dyDescent="0.25">
      <c r="A214" s="3063"/>
      <c r="B214" s="3064"/>
      <c r="C214" s="3064"/>
      <c r="D214" s="3064"/>
      <c r="E214" s="3064"/>
      <c r="F214" s="3064"/>
      <c r="G214" s="3064"/>
      <c r="H214" s="3064"/>
      <c r="I214" s="3065"/>
    </row>
    <row r="215" spans="1:9" x14ac:dyDescent="0.25">
      <c r="A215" s="3063"/>
      <c r="B215" s="3064"/>
      <c r="C215" s="3064"/>
      <c r="D215" s="3064"/>
      <c r="E215" s="3064"/>
      <c r="F215" s="3064"/>
      <c r="G215" s="3064"/>
      <c r="H215" s="3064"/>
      <c r="I215" s="3065"/>
    </row>
    <row r="216" spans="1:9" x14ac:dyDescent="0.25">
      <c r="A216" s="3063"/>
      <c r="B216" s="3064"/>
      <c r="C216" s="3064"/>
      <c r="D216" s="3064"/>
      <c r="E216" s="3064"/>
      <c r="F216" s="3064"/>
      <c r="G216" s="3064"/>
      <c r="H216" s="3064"/>
      <c r="I216" s="3065"/>
    </row>
    <row r="217" spans="1:9" x14ac:dyDescent="0.25">
      <c r="A217" s="3063"/>
      <c r="B217" s="3064"/>
      <c r="C217" s="3064"/>
      <c r="D217" s="3064"/>
      <c r="E217" s="3064"/>
      <c r="F217" s="3064"/>
      <c r="G217" s="3064"/>
      <c r="H217" s="3064"/>
      <c r="I217" s="3065"/>
    </row>
    <row r="218" spans="1:9" x14ac:dyDescent="0.25">
      <c r="A218" s="3063"/>
      <c r="B218" s="3064"/>
      <c r="C218" s="3064"/>
      <c r="D218" s="3064"/>
      <c r="E218" s="3064"/>
      <c r="F218" s="3064"/>
      <c r="G218" s="3064"/>
      <c r="H218" s="3064"/>
      <c r="I218" s="3065"/>
    </row>
    <row r="219" spans="1:9" x14ac:dyDescent="0.25">
      <c r="A219" s="3063"/>
      <c r="B219" s="3064"/>
      <c r="C219" s="3064"/>
      <c r="D219" s="3064"/>
      <c r="E219" s="3064"/>
      <c r="F219" s="3064"/>
      <c r="G219" s="3064"/>
      <c r="H219" s="3064"/>
      <c r="I219" s="3065"/>
    </row>
    <row r="220" spans="1:9" x14ac:dyDescent="0.25">
      <c r="A220" s="3063"/>
      <c r="B220" s="3064"/>
      <c r="C220" s="3064"/>
      <c r="D220" s="3064"/>
      <c r="E220" s="3064"/>
      <c r="F220" s="3064"/>
      <c r="G220" s="3064"/>
      <c r="H220" s="3064"/>
      <c r="I220" s="3065"/>
    </row>
    <row r="221" spans="1:9" x14ac:dyDescent="0.25">
      <c r="A221" s="3063"/>
      <c r="B221" s="3064"/>
      <c r="C221" s="3064"/>
      <c r="D221" s="3064"/>
      <c r="E221" s="3064"/>
      <c r="F221" s="3064"/>
      <c r="G221" s="3064"/>
      <c r="H221" s="3064"/>
      <c r="I221" s="3065"/>
    </row>
    <row r="222" spans="1:9" x14ac:dyDescent="0.25">
      <c r="A222" s="3063"/>
      <c r="B222" s="3064"/>
      <c r="C222" s="3064"/>
      <c r="D222" s="3064"/>
      <c r="E222" s="3064"/>
      <c r="F222" s="3064"/>
      <c r="G222" s="3064"/>
      <c r="H222" s="3064"/>
      <c r="I222" s="3065"/>
    </row>
    <row r="223" spans="1:9" x14ac:dyDescent="0.25">
      <c r="A223" s="3066"/>
      <c r="B223" s="3067"/>
      <c r="C223" s="3067"/>
      <c r="D223" s="3067"/>
      <c r="E223" s="3067"/>
      <c r="F223" s="3067"/>
      <c r="G223" s="3067"/>
      <c r="H223" s="3067"/>
      <c r="I223" s="3068"/>
    </row>
    <row r="224" spans="1:9" x14ac:dyDescent="0.25">
      <c r="A224" s="3163" t="s">
        <v>459</v>
      </c>
      <c r="B224" s="3164"/>
      <c r="C224" s="3164"/>
      <c r="D224" s="3164"/>
      <c r="E224" s="3164"/>
      <c r="F224" s="3164"/>
      <c r="G224" s="3164"/>
      <c r="H224" s="3164"/>
      <c r="I224" s="3165"/>
    </row>
    <row r="225" spans="1:11" x14ac:dyDescent="0.25">
      <c r="A225" s="1530"/>
      <c r="B225" s="1531"/>
      <c r="C225" s="1531"/>
      <c r="D225" s="1531"/>
      <c r="E225" s="1547" t="s">
        <v>404</v>
      </c>
      <c r="F225" s="3072" t="str">
        <f>"KALKULATION Punkt "&amp;K225</f>
        <v>KALKULATION Punkt D</v>
      </c>
      <c r="G225" s="3072"/>
      <c r="H225" s="1548" t="s">
        <v>402</v>
      </c>
      <c r="I225" s="1549" t="s">
        <v>407</v>
      </c>
      <c r="K225" s="1272" t="s">
        <v>8</v>
      </c>
    </row>
    <row r="226" spans="1:11" ht="15.75" customHeight="1" x14ac:dyDescent="0.25">
      <c r="A226" s="3060" t="str">
        <f ca="1">"Allgemeiner Hinweis: In manchen Leistungsverzeichnissen (LV) finden sich Aufzahlungspositionen die bei Anfall von Erschwernissen zur Abrechnung gelangen. "&amp;"IdR sind die kostenmäßigen Auswirkungen dann in der LV-Position zu berücksichtigen und sind daher nicht in den Personalpreis einzurechnen.
"&amp;IF(SUM(KALKULATION!H154,KALKULATION!G139)=0,"Es sind keine Zulagen (zB f Erschwernisse) angesetzt. Ggf ist zu prüfen, ob Zulagen für Erschwernisse aus den projektindividuellen Umständen anfallen. ",A635&amp;A656&amp;A669&amp;A670&amp;A680&amp;A685)</f>
        <v xml:space="preserve">Allgemeiner Hinweis: In manchen Leistungsverzeichnissen (LV) finden sich Aufzahlungspositionen die bei Anfall von Erschwernissen zur Abrechnung gelangen. IdR sind die kostenmäßigen Auswirkungen dann in der LV-Position zu berücksichtigen und sind daher nicht in den Personalpreis einzurechnen.
(Erschwernis-)Zulagen sind für das PRODUKTIVE PERSONAL bzw für den produktiven (erlösbringenden) Teil des Personals gem B1 in Vm B2 gewichtet in Hv 3,00% für folgende Zulagen erfasst; in Klammer der Anteil der davon betroffenen gesamten Leistungsstunden: [Abbrucharb. / Staubentwicklung (15,0%), Teil der ansonst abgabefreien Zulage Schmutzzulage Altlasten]. 
Als Basis für Zulagen in % ist gem Auswahl in D1.a1 [KV-Entgelt] herangezogen. Das kalkulatorische Rechenergebnis der Berücksichtigung der Zulagen für das produktive Personal beträgt 2,68%. 
Es ist eine ABGABEFREIE Zulage [Schmutzzulage Altlasten] gewichtet für 5% der gesamten Leistungsstunden berücksichtigt (bei Zulagen in %, ist die gleiche Basis, wie unter D1 ausgewählt, herangezogen). Ein abgabefreier Betrag in Hv 0,06€ ist nach Pkt E1 übertragen und wird daher der Zeile 11 des K3-Blattes zugewiesen. 
Für das UNPRODUKTIVE PERSONAL (gem B2.a) sind Zulagen im Gesamtausmaß von 3,00% in Ansatz gebracht. Dieser Ansatz entspricht jenem des produktiven Personals. Das kalkulatorische Rechenergebnis zur Berücksichtigung der Zulagen für das unproduktive Personal beträgt 0,32%. 
Insgesamt sind Zulagen mit einer Auswirkung in Hv 0,66€ (K3 Zeile 7) in die Kalkulation eingeflossen (3,00%). </v>
      </c>
      <c r="B226" s="3061"/>
      <c r="C226" s="3061"/>
      <c r="D226" s="3061"/>
      <c r="E226" s="3061"/>
      <c r="F226" s="3061"/>
      <c r="G226" s="3061"/>
      <c r="H226" s="3061"/>
      <c r="I226" s="3062"/>
    </row>
    <row r="227" spans="1:11" x14ac:dyDescent="0.25">
      <c r="A227" s="3063"/>
      <c r="B227" s="3064"/>
      <c r="C227" s="3064"/>
      <c r="D227" s="3064"/>
      <c r="E227" s="3064"/>
      <c r="F227" s="3064"/>
      <c r="G227" s="3064"/>
      <c r="H227" s="3064"/>
      <c r="I227" s="3065"/>
    </row>
    <row r="228" spans="1:11" x14ac:dyDescent="0.25">
      <c r="A228" s="3063"/>
      <c r="B228" s="3064"/>
      <c r="C228" s="3064"/>
      <c r="D228" s="3064"/>
      <c r="E228" s="3064"/>
      <c r="F228" s="3064"/>
      <c r="G228" s="3064"/>
      <c r="H228" s="3064"/>
      <c r="I228" s="3065"/>
    </row>
    <row r="229" spans="1:11" x14ac:dyDescent="0.25">
      <c r="A229" s="3063"/>
      <c r="B229" s="3064"/>
      <c r="C229" s="3064"/>
      <c r="D229" s="3064"/>
      <c r="E229" s="3064"/>
      <c r="F229" s="3064"/>
      <c r="G229" s="3064"/>
      <c r="H229" s="3064"/>
      <c r="I229" s="3065"/>
    </row>
    <row r="230" spans="1:11" x14ac:dyDescent="0.25">
      <c r="A230" s="3063"/>
      <c r="B230" s="3064"/>
      <c r="C230" s="3064"/>
      <c r="D230" s="3064"/>
      <c r="E230" s="3064"/>
      <c r="F230" s="3064"/>
      <c r="G230" s="3064"/>
      <c r="H230" s="3064"/>
      <c r="I230" s="3065"/>
    </row>
    <row r="231" spans="1:11" x14ac:dyDescent="0.25">
      <c r="A231" s="3063"/>
      <c r="B231" s="3064"/>
      <c r="C231" s="3064"/>
      <c r="D231" s="3064"/>
      <c r="E231" s="3064"/>
      <c r="F231" s="3064"/>
      <c r="G231" s="3064"/>
      <c r="H231" s="3064"/>
      <c r="I231" s="3065"/>
    </row>
    <row r="232" spans="1:11" x14ac:dyDescent="0.25">
      <c r="A232" s="3063"/>
      <c r="B232" s="3064"/>
      <c r="C232" s="3064"/>
      <c r="D232" s="3064"/>
      <c r="E232" s="3064"/>
      <c r="F232" s="3064"/>
      <c r="G232" s="3064"/>
      <c r="H232" s="3064"/>
      <c r="I232" s="3065"/>
    </row>
    <row r="233" spans="1:11" x14ac:dyDescent="0.25">
      <c r="A233" s="3063"/>
      <c r="B233" s="3064"/>
      <c r="C233" s="3064"/>
      <c r="D233" s="3064"/>
      <c r="E233" s="3064"/>
      <c r="F233" s="3064"/>
      <c r="G233" s="3064"/>
      <c r="H233" s="3064"/>
      <c r="I233" s="3065"/>
    </row>
    <row r="234" spans="1:11" x14ac:dyDescent="0.25">
      <c r="A234" s="3063"/>
      <c r="B234" s="3064"/>
      <c r="C234" s="3064"/>
      <c r="D234" s="3064"/>
      <c r="E234" s="3064"/>
      <c r="F234" s="3064"/>
      <c r="G234" s="3064"/>
      <c r="H234" s="3064"/>
      <c r="I234" s="3065"/>
    </row>
    <row r="235" spans="1:11" x14ac:dyDescent="0.25">
      <c r="A235" s="3063"/>
      <c r="B235" s="3064"/>
      <c r="C235" s="3064"/>
      <c r="D235" s="3064"/>
      <c r="E235" s="3064"/>
      <c r="F235" s="3064"/>
      <c r="G235" s="3064"/>
      <c r="H235" s="3064"/>
      <c r="I235" s="3065"/>
    </row>
    <row r="236" spans="1:11" x14ac:dyDescent="0.25">
      <c r="A236" s="3063"/>
      <c r="B236" s="3064"/>
      <c r="C236" s="3064"/>
      <c r="D236" s="3064"/>
      <c r="E236" s="3064"/>
      <c r="F236" s="3064"/>
      <c r="G236" s="3064"/>
      <c r="H236" s="3064"/>
      <c r="I236" s="3065"/>
    </row>
    <row r="237" spans="1:11" x14ac:dyDescent="0.25">
      <c r="A237" s="3063"/>
      <c r="B237" s="3064"/>
      <c r="C237" s="3064"/>
      <c r="D237" s="3064"/>
      <c r="E237" s="3064"/>
      <c r="F237" s="3064"/>
      <c r="G237" s="3064"/>
      <c r="H237" s="3064"/>
      <c r="I237" s="3065"/>
    </row>
    <row r="238" spans="1:11" x14ac:dyDescent="0.25">
      <c r="A238" s="3063"/>
      <c r="B238" s="3064"/>
      <c r="C238" s="3064"/>
      <c r="D238" s="3064"/>
      <c r="E238" s="3064"/>
      <c r="F238" s="3064"/>
      <c r="G238" s="3064"/>
      <c r="H238" s="3064"/>
      <c r="I238" s="3065"/>
    </row>
    <row r="239" spans="1:11" x14ac:dyDescent="0.25">
      <c r="A239" s="3063"/>
      <c r="B239" s="3064"/>
      <c r="C239" s="3064"/>
      <c r="D239" s="3064"/>
      <c r="E239" s="3064"/>
      <c r="F239" s="3064"/>
      <c r="G239" s="3064"/>
      <c r="H239" s="3064"/>
      <c r="I239" s="3065"/>
    </row>
    <row r="240" spans="1:11" x14ac:dyDescent="0.25">
      <c r="A240" s="3063"/>
      <c r="B240" s="3064"/>
      <c r="C240" s="3064"/>
      <c r="D240" s="3064"/>
      <c r="E240" s="3064"/>
      <c r="F240" s="3064"/>
      <c r="G240" s="3064"/>
      <c r="H240" s="3064"/>
      <c r="I240" s="3065"/>
    </row>
    <row r="241" spans="1:11" x14ac:dyDescent="0.25">
      <c r="A241" s="3063"/>
      <c r="B241" s="3064"/>
      <c r="C241" s="3064"/>
      <c r="D241" s="3064"/>
      <c r="E241" s="3064"/>
      <c r="F241" s="3064"/>
      <c r="G241" s="3064"/>
      <c r="H241" s="3064"/>
      <c r="I241" s="3065"/>
    </row>
    <row r="242" spans="1:11" x14ac:dyDescent="0.25">
      <c r="A242" s="3063"/>
      <c r="B242" s="3064"/>
      <c r="C242" s="3064"/>
      <c r="D242" s="3064"/>
      <c r="E242" s="3064"/>
      <c r="F242" s="3064"/>
      <c r="G242" s="3064"/>
      <c r="H242" s="3064"/>
      <c r="I242" s="3065"/>
    </row>
    <row r="243" spans="1:11" x14ac:dyDescent="0.25">
      <c r="A243" s="3063"/>
      <c r="B243" s="3064"/>
      <c r="C243" s="3064"/>
      <c r="D243" s="3064"/>
      <c r="E243" s="3064"/>
      <c r="F243" s="3064"/>
      <c r="G243" s="3064"/>
      <c r="H243" s="3064"/>
      <c r="I243" s="3065"/>
    </row>
    <row r="244" spans="1:11" x14ac:dyDescent="0.25">
      <c r="A244" s="3063"/>
      <c r="B244" s="3064"/>
      <c r="C244" s="3064"/>
      <c r="D244" s="3064"/>
      <c r="E244" s="3064"/>
      <c r="F244" s="3064"/>
      <c r="G244" s="3064"/>
      <c r="H244" s="3064"/>
      <c r="I244" s="3065"/>
    </row>
    <row r="245" spans="1:11" x14ac:dyDescent="0.25">
      <c r="A245" s="3063"/>
      <c r="B245" s="3064"/>
      <c r="C245" s="3064"/>
      <c r="D245" s="3064"/>
      <c r="E245" s="3064"/>
      <c r="F245" s="3064"/>
      <c r="G245" s="3064"/>
      <c r="H245" s="3064"/>
      <c r="I245" s="3065"/>
    </row>
    <row r="246" spans="1:11" x14ac:dyDescent="0.25">
      <c r="A246" s="3063"/>
      <c r="B246" s="3064"/>
      <c r="C246" s="3064"/>
      <c r="D246" s="3064"/>
      <c r="E246" s="3064"/>
      <c r="F246" s="3064"/>
      <c r="G246" s="3064"/>
      <c r="H246" s="3064"/>
      <c r="I246" s="3065"/>
    </row>
    <row r="247" spans="1:11" x14ac:dyDescent="0.25">
      <c r="A247" s="3063"/>
      <c r="B247" s="3064"/>
      <c r="C247" s="3064"/>
      <c r="D247" s="3064"/>
      <c r="E247" s="3064"/>
      <c r="F247" s="3064"/>
      <c r="G247" s="3064"/>
      <c r="H247" s="3064"/>
      <c r="I247" s="3065"/>
    </row>
    <row r="248" spans="1:11" x14ac:dyDescent="0.25">
      <c r="A248" s="3063"/>
      <c r="B248" s="3064"/>
      <c r="C248" s="3064"/>
      <c r="D248" s="3064"/>
      <c r="E248" s="3064"/>
      <c r="F248" s="3064"/>
      <c r="G248" s="3064"/>
      <c r="H248" s="3064"/>
      <c r="I248" s="3065"/>
    </row>
    <row r="249" spans="1:11" x14ac:dyDescent="0.25">
      <c r="A249" s="3066"/>
      <c r="B249" s="3067"/>
      <c r="C249" s="3067"/>
      <c r="D249" s="3067"/>
      <c r="E249" s="3067"/>
      <c r="F249" s="3067"/>
      <c r="G249" s="3067"/>
      <c r="H249" s="3067"/>
      <c r="I249" s="3068"/>
    </row>
    <row r="250" spans="1:11" x14ac:dyDescent="0.25">
      <c r="A250" s="3163" t="s">
        <v>460</v>
      </c>
      <c r="B250" s="3164"/>
      <c r="C250" s="3164"/>
      <c r="D250" s="3164"/>
      <c r="E250" s="3164"/>
      <c r="F250" s="3164"/>
      <c r="G250" s="3164"/>
      <c r="H250" s="3164"/>
      <c r="I250" s="3165"/>
    </row>
    <row r="251" spans="1:11" x14ac:dyDescent="0.25">
      <c r="A251" s="1530"/>
      <c r="B251" s="1531"/>
      <c r="C251" s="1531"/>
      <c r="D251" s="1531"/>
      <c r="E251" s="1547" t="s">
        <v>404</v>
      </c>
      <c r="F251" s="3072" t="str">
        <f>"KALKULATION Punkt "&amp;K251</f>
        <v>KALKULATION Punkt E</v>
      </c>
      <c r="G251" s="3072"/>
      <c r="H251" s="1548" t="s">
        <v>402</v>
      </c>
      <c r="I251" s="1549" t="s">
        <v>409</v>
      </c>
      <c r="K251" s="1272" t="s">
        <v>9</v>
      </c>
    </row>
    <row r="252" spans="1:11" ht="15.75" customHeight="1" x14ac:dyDescent="0.25">
      <c r="A252" s="3060" t="str">
        <f ca="1">A700&amp;A716&amp;A775&amp;A790&amp;A795&amp;A799</f>
        <v xml:space="preserve">Für abgabepflichtige sonstige Entgelte und Entschädigungen sind Kosten in Hv 1,40€/Std und für nicht abgabepflichtige (abgabefreie) Entschädigungen sind Kosten in Hv 1,90€/Std in Ansatz gebracht (K3 Zeile 9 bzw 11). 
Unter dem abgabefreien Betrag in K3 Zeile 11 ist eine abgabefreie Zulage aus C1.a in Hv 0,06€/Std für [Schmutzzulage Altlasten] enthalten. 
Es finden sich folgende Entschädigungen bzw Entgeltbestandteile (Prozent der Anspruchsberechtigten jeweils in Klammer) in der Kalkulation: 
-- An Entschädigungen mit ANSPRUCH PRO TAG ist/sind [Taggeld; 3 - 9 Std (§ 9, Z 4, lit a) (100%)] berücksichtigt (E2). Daraus ergeben sich Kosten pro Woche in Hv 0,00€ (abgabepflichtig) bzw 64,25€ (abgabefrei). 
-- An SONSTIGEM ENTGELT sind für [# Beispiek: Leistungsprämie Termin] Kosten pro Woche in Hv 50,00€ (abgabepflichtig)  bzw 0,00€ (abgabefrei) berücksichtigt (C4.b). 
Für unproduktive Zeiten ist ein Zuschlag in Hv 11,11% berücksichtigt (nähere Erläuterungen in E6.a). 
Wegen Ausfallzeit bei Schlechtwetter sind die Berechnungsergebnisse um 3,00% erhöht (E6.b). </v>
      </c>
      <c r="B252" s="3061"/>
      <c r="C252" s="3061"/>
      <c r="D252" s="3061"/>
      <c r="E252" s="3061"/>
      <c r="F252" s="3061"/>
      <c r="G252" s="3061"/>
      <c r="H252" s="3061"/>
      <c r="I252" s="3062"/>
    </row>
    <row r="253" spans="1:11" x14ac:dyDescent="0.25">
      <c r="A253" s="3063"/>
      <c r="B253" s="3064"/>
      <c r="C253" s="3064"/>
      <c r="D253" s="3064"/>
      <c r="E253" s="3064"/>
      <c r="F253" s="3064"/>
      <c r="G253" s="3064"/>
      <c r="H253" s="3064"/>
      <c r="I253" s="3065"/>
    </row>
    <row r="254" spans="1:11" x14ac:dyDescent="0.25">
      <c r="A254" s="3063"/>
      <c r="B254" s="3064"/>
      <c r="C254" s="3064"/>
      <c r="D254" s="3064"/>
      <c r="E254" s="3064"/>
      <c r="F254" s="3064"/>
      <c r="G254" s="3064"/>
      <c r="H254" s="3064"/>
      <c r="I254" s="3065"/>
    </row>
    <row r="255" spans="1:11" x14ac:dyDescent="0.25">
      <c r="A255" s="3063"/>
      <c r="B255" s="3064"/>
      <c r="C255" s="3064"/>
      <c r="D255" s="3064"/>
      <c r="E255" s="3064"/>
      <c r="F255" s="3064"/>
      <c r="G255" s="3064"/>
      <c r="H255" s="3064"/>
      <c r="I255" s="3065"/>
    </row>
    <row r="256" spans="1:11" x14ac:dyDescent="0.25">
      <c r="A256" s="3063"/>
      <c r="B256" s="3064"/>
      <c r="C256" s="3064"/>
      <c r="D256" s="3064"/>
      <c r="E256" s="3064"/>
      <c r="F256" s="3064"/>
      <c r="G256" s="3064"/>
      <c r="H256" s="3064"/>
      <c r="I256" s="3065"/>
    </row>
    <row r="257" spans="1:9" x14ac:dyDescent="0.25">
      <c r="A257" s="3063"/>
      <c r="B257" s="3064"/>
      <c r="C257" s="3064"/>
      <c r="D257" s="3064"/>
      <c r="E257" s="3064"/>
      <c r="F257" s="3064"/>
      <c r="G257" s="3064"/>
      <c r="H257" s="3064"/>
      <c r="I257" s="3065"/>
    </row>
    <row r="258" spans="1:9" x14ac:dyDescent="0.25">
      <c r="A258" s="3063"/>
      <c r="B258" s="3064"/>
      <c r="C258" s="3064"/>
      <c r="D258" s="3064"/>
      <c r="E258" s="3064"/>
      <c r="F258" s="3064"/>
      <c r="G258" s="3064"/>
      <c r="H258" s="3064"/>
      <c r="I258" s="3065"/>
    </row>
    <row r="259" spans="1:9" x14ac:dyDescent="0.25">
      <c r="A259" s="3063"/>
      <c r="B259" s="3064"/>
      <c r="C259" s="3064"/>
      <c r="D259" s="3064"/>
      <c r="E259" s="3064"/>
      <c r="F259" s="3064"/>
      <c r="G259" s="3064"/>
      <c r="H259" s="3064"/>
      <c r="I259" s="3065"/>
    </row>
    <row r="260" spans="1:9" x14ac:dyDescent="0.25">
      <c r="A260" s="3063"/>
      <c r="B260" s="3064"/>
      <c r="C260" s="3064"/>
      <c r="D260" s="3064"/>
      <c r="E260" s="3064"/>
      <c r="F260" s="3064"/>
      <c r="G260" s="3064"/>
      <c r="H260" s="3064"/>
      <c r="I260" s="3065"/>
    </row>
    <row r="261" spans="1:9" x14ac:dyDescent="0.25">
      <c r="A261" s="3063"/>
      <c r="B261" s="3064"/>
      <c r="C261" s="3064"/>
      <c r="D261" s="3064"/>
      <c r="E261" s="3064"/>
      <c r="F261" s="3064"/>
      <c r="G261" s="3064"/>
      <c r="H261" s="3064"/>
      <c r="I261" s="3065"/>
    </row>
    <row r="262" spans="1:9" x14ac:dyDescent="0.25">
      <c r="A262" s="3063"/>
      <c r="B262" s="3064"/>
      <c r="C262" s="3064"/>
      <c r="D262" s="3064"/>
      <c r="E262" s="3064"/>
      <c r="F262" s="3064"/>
      <c r="G262" s="3064"/>
      <c r="H262" s="3064"/>
      <c r="I262" s="3065"/>
    </row>
    <row r="263" spans="1:9" x14ac:dyDescent="0.25">
      <c r="A263" s="3063"/>
      <c r="B263" s="3064"/>
      <c r="C263" s="3064"/>
      <c r="D263" s="3064"/>
      <c r="E263" s="3064"/>
      <c r="F263" s="3064"/>
      <c r="G263" s="3064"/>
      <c r="H263" s="3064"/>
      <c r="I263" s="3065"/>
    </row>
    <row r="264" spans="1:9" x14ac:dyDescent="0.25">
      <c r="A264" s="3063"/>
      <c r="B264" s="3064"/>
      <c r="C264" s="3064"/>
      <c r="D264" s="3064"/>
      <c r="E264" s="3064"/>
      <c r="F264" s="3064"/>
      <c r="G264" s="3064"/>
      <c r="H264" s="3064"/>
      <c r="I264" s="3065"/>
    </row>
    <row r="265" spans="1:9" x14ac:dyDescent="0.25">
      <c r="A265" s="3063"/>
      <c r="B265" s="3064"/>
      <c r="C265" s="3064"/>
      <c r="D265" s="3064"/>
      <c r="E265" s="3064"/>
      <c r="F265" s="3064"/>
      <c r="G265" s="3064"/>
      <c r="H265" s="3064"/>
      <c r="I265" s="3065"/>
    </row>
    <row r="266" spans="1:9" x14ac:dyDescent="0.25">
      <c r="A266" s="3063"/>
      <c r="B266" s="3064"/>
      <c r="C266" s="3064"/>
      <c r="D266" s="3064"/>
      <c r="E266" s="3064"/>
      <c r="F266" s="3064"/>
      <c r="G266" s="3064"/>
      <c r="H266" s="3064"/>
      <c r="I266" s="3065"/>
    </row>
    <row r="267" spans="1:9" x14ac:dyDescent="0.25">
      <c r="A267" s="3063"/>
      <c r="B267" s="3064"/>
      <c r="C267" s="3064"/>
      <c r="D267" s="3064"/>
      <c r="E267" s="3064"/>
      <c r="F267" s="3064"/>
      <c r="G267" s="3064"/>
      <c r="H267" s="3064"/>
      <c r="I267" s="3065"/>
    </row>
    <row r="268" spans="1:9" x14ac:dyDescent="0.25">
      <c r="A268" s="3063"/>
      <c r="B268" s="3064"/>
      <c r="C268" s="3064"/>
      <c r="D268" s="3064"/>
      <c r="E268" s="3064"/>
      <c r="F268" s="3064"/>
      <c r="G268" s="3064"/>
      <c r="H268" s="3064"/>
      <c r="I268" s="3065"/>
    </row>
    <row r="269" spans="1:9" x14ac:dyDescent="0.25">
      <c r="A269" s="3063"/>
      <c r="B269" s="3064"/>
      <c r="C269" s="3064"/>
      <c r="D269" s="3064"/>
      <c r="E269" s="3064"/>
      <c r="F269" s="3064"/>
      <c r="G269" s="3064"/>
      <c r="H269" s="3064"/>
      <c r="I269" s="3065"/>
    </row>
    <row r="270" spans="1:9" x14ac:dyDescent="0.25">
      <c r="A270" s="3063"/>
      <c r="B270" s="3064"/>
      <c r="C270" s="3064"/>
      <c r="D270" s="3064"/>
      <c r="E270" s="3064"/>
      <c r="F270" s="3064"/>
      <c r="G270" s="3064"/>
      <c r="H270" s="3064"/>
      <c r="I270" s="3065"/>
    </row>
    <row r="271" spans="1:9" x14ac:dyDescent="0.25">
      <c r="A271" s="3063"/>
      <c r="B271" s="3064"/>
      <c r="C271" s="3064"/>
      <c r="D271" s="3064"/>
      <c r="E271" s="3064"/>
      <c r="F271" s="3064"/>
      <c r="G271" s="3064"/>
      <c r="H271" s="3064"/>
      <c r="I271" s="3065"/>
    </row>
    <row r="272" spans="1:9" x14ac:dyDescent="0.25">
      <c r="A272" s="3063"/>
      <c r="B272" s="3064"/>
      <c r="C272" s="3064"/>
      <c r="D272" s="3064"/>
      <c r="E272" s="3064"/>
      <c r="F272" s="3064"/>
      <c r="G272" s="3064"/>
      <c r="H272" s="3064"/>
      <c r="I272" s="3065"/>
    </row>
    <row r="273" spans="1:11" x14ac:dyDescent="0.25">
      <c r="A273" s="3063"/>
      <c r="B273" s="3064"/>
      <c r="C273" s="3064"/>
      <c r="D273" s="3064"/>
      <c r="E273" s="3064"/>
      <c r="F273" s="3064"/>
      <c r="G273" s="3064"/>
      <c r="H273" s="3064"/>
      <c r="I273" s="3065"/>
    </row>
    <row r="274" spans="1:11" x14ac:dyDescent="0.25">
      <c r="A274" s="3063"/>
      <c r="B274" s="3064"/>
      <c r="C274" s="3064"/>
      <c r="D274" s="3064"/>
      <c r="E274" s="3064"/>
      <c r="F274" s="3064"/>
      <c r="G274" s="3064"/>
      <c r="H274" s="3064"/>
      <c r="I274" s="3065"/>
    </row>
    <row r="275" spans="1:11" x14ac:dyDescent="0.25">
      <c r="A275" s="3063"/>
      <c r="B275" s="3064"/>
      <c r="C275" s="3064"/>
      <c r="D275" s="3064"/>
      <c r="E275" s="3064"/>
      <c r="F275" s="3064"/>
      <c r="G275" s="3064"/>
      <c r="H275" s="3064"/>
      <c r="I275" s="3065"/>
    </row>
    <row r="276" spans="1:11" x14ac:dyDescent="0.25">
      <c r="A276" s="3063"/>
      <c r="B276" s="3064"/>
      <c r="C276" s="3064"/>
      <c r="D276" s="3064"/>
      <c r="E276" s="3064"/>
      <c r="F276" s="3064"/>
      <c r="G276" s="3064"/>
      <c r="H276" s="3064"/>
      <c r="I276" s="3065"/>
    </row>
    <row r="277" spans="1:11" x14ac:dyDescent="0.25">
      <c r="A277" s="3066"/>
      <c r="B277" s="3067"/>
      <c r="C277" s="3067"/>
      <c r="D277" s="3067"/>
      <c r="E277" s="3067"/>
      <c r="F277" s="3067"/>
      <c r="G277" s="3067"/>
      <c r="H277" s="3067"/>
      <c r="I277" s="3068"/>
    </row>
    <row r="278" spans="1:11" x14ac:dyDescent="0.25">
      <c r="A278" s="1558" t="s">
        <v>461</v>
      </c>
      <c r="B278" s="1559"/>
      <c r="C278" s="1559"/>
      <c r="D278" s="1559"/>
      <c r="E278" s="1559"/>
      <c r="F278" s="1559"/>
      <c r="G278" s="1559"/>
      <c r="H278" s="1559"/>
      <c r="I278" s="1560"/>
    </row>
    <row r="279" spans="1:11" x14ac:dyDescent="0.25">
      <c r="A279" s="1530"/>
      <c r="B279" s="1531"/>
      <c r="C279" s="1531"/>
      <c r="D279" s="1531"/>
      <c r="E279" s="1547" t="s">
        <v>404</v>
      </c>
      <c r="F279" s="3072" t="str">
        <f>"KALKULATION Punkt "&amp;K279</f>
        <v>KALKULATION Punkt F</v>
      </c>
      <c r="G279" s="3072"/>
      <c r="H279" s="1548" t="s">
        <v>402</v>
      </c>
      <c r="I279" s="1549" t="s">
        <v>410</v>
      </c>
      <c r="K279" s="1272" t="s">
        <v>10</v>
      </c>
    </row>
    <row r="280" spans="1:11" ht="15.75" customHeight="1" x14ac:dyDescent="0.25">
      <c r="A280" s="3060" t="str">
        <f ca="1">A812&amp;A820&amp;A832&amp;A841&amp;A865&amp;A869&amp;A876</f>
        <v xml:space="preserve">Die DIREKTEN Personalnebenkosten (DPNK) sind in Hv 29,00% angegeben. (Informativer Hinweis: Dieser Wert wird regelmäßig einer Preisprüfung unterzogen, er sollte daher korrekt und erklärbar sein; ggf Kontrolle der Einzelwerte im Blatt STAMMDATEN bzw Änderungen in der QUELLDATEI [K3_Quelle.xlsx] Blatt DPNK vornehmen.) 
Die verwendeten Werte für die DPNK (Sozialversicherungsbeiträge und Nebenbeiträge) sind in der QUELLDATEI Blatt DPNK mit dem Stichtag 01.01.2026 versehen. In Bezug zum angegebenen Kalkulationsdatum liegt dieser Stichtag 120 Tage zuvor. Im Bezug zum heutigen Tag liegt der Stichtag 119 Tage zuvor.  Meist werden einzelne SV-Beiträge oder Nebenbeiträge zu Jahresbeginn vom Gesetzgeber geändert. Insbesonders in diesem Zeitraum sind die verwendeten Beitragssätze einer Kontrolle zu unterziehen. Allfällig erforderliche Änderungen sind in der QUELLDATEI Blatt DPNK vorzunehmen. 
Die UMGELEGTEN Personalnebenkosten (UPNK) sind in Höhe von 77,00% angesetzt. Der Wert ergibt sich aus dem Blatt STAMMDATEN; dort ist er mit 95,20% angegeben. Folgende Ansätze/Annahmen sind für die Anpassung von 95,20% auf 77,00% maßgebend: 
-- Der UPNK-Wert der Stammdaten ist wegen der angesetzten Mehrarbeit verändert (F2.a). 
-- Der UPNK-Wert der Stammdaten ist wegen dem kalkulierten Mehrentgelt verändert (F2.b2). Die Veränderung wegen des Mehrentgelts basiert auf der Differenz zw abgabepflichtigen Personalkosten zum KV-Entgelt (F2.b2). 
-- Das Rechenergebnis für die UPNK ist aufgerundet.
Weitere Personalnebenkosten (WPNK) sind in Hv 0,25% bzw 0,07€ (K3 Zeile 14) in Ansatz gebracht. 
Die gesamten Personalnebenkosten betragen 106,25% bzw 29,75€. Das Verhältnis von DPNK zu UPNK beträgt 1 zu 2,7. </v>
      </c>
      <c r="B280" s="3061"/>
      <c r="C280" s="3061"/>
      <c r="D280" s="3061"/>
      <c r="E280" s="3061"/>
      <c r="F280" s="3061"/>
      <c r="G280" s="3061"/>
      <c r="H280" s="3061"/>
      <c r="I280" s="3062"/>
    </row>
    <row r="281" spans="1:11" x14ac:dyDescent="0.25">
      <c r="A281" s="3063"/>
      <c r="B281" s="3064"/>
      <c r="C281" s="3064"/>
      <c r="D281" s="3064"/>
      <c r="E281" s="3064"/>
      <c r="F281" s="3064"/>
      <c r="G281" s="3064"/>
      <c r="H281" s="3064"/>
      <c r="I281" s="3065"/>
    </row>
    <row r="282" spans="1:11" x14ac:dyDescent="0.25">
      <c r="A282" s="3063"/>
      <c r="B282" s="3064"/>
      <c r="C282" s="3064"/>
      <c r="D282" s="3064"/>
      <c r="E282" s="3064"/>
      <c r="F282" s="3064"/>
      <c r="G282" s="3064"/>
      <c r="H282" s="3064"/>
      <c r="I282" s="3065"/>
    </row>
    <row r="283" spans="1:11" x14ac:dyDescent="0.25">
      <c r="A283" s="3063"/>
      <c r="B283" s="3064"/>
      <c r="C283" s="3064"/>
      <c r="D283" s="3064"/>
      <c r="E283" s="3064"/>
      <c r="F283" s="3064"/>
      <c r="G283" s="3064"/>
      <c r="H283" s="3064"/>
      <c r="I283" s="3065"/>
    </row>
    <row r="284" spans="1:11" x14ac:dyDescent="0.25">
      <c r="A284" s="3063"/>
      <c r="B284" s="3064"/>
      <c r="C284" s="3064"/>
      <c r="D284" s="3064"/>
      <c r="E284" s="3064"/>
      <c r="F284" s="3064"/>
      <c r="G284" s="3064"/>
      <c r="H284" s="3064"/>
      <c r="I284" s="3065"/>
    </row>
    <row r="285" spans="1:11" x14ac:dyDescent="0.25">
      <c r="A285" s="3063"/>
      <c r="B285" s="3064"/>
      <c r="C285" s="3064"/>
      <c r="D285" s="3064"/>
      <c r="E285" s="3064"/>
      <c r="F285" s="3064"/>
      <c r="G285" s="3064"/>
      <c r="H285" s="3064"/>
      <c r="I285" s="3065"/>
    </row>
    <row r="286" spans="1:11" x14ac:dyDescent="0.25">
      <c r="A286" s="3063"/>
      <c r="B286" s="3064"/>
      <c r="C286" s="3064"/>
      <c r="D286" s="3064"/>
      <c r="E286" s="3064"/>
      <c r="F286" s="3064"/>
      <c r="G286" s="3064"/>
      <c r="H286" s="3064"/>
      <c r="I286" s="3065"/>
    </row>
    <row r="287" spans="1:11" x14ac:dyDescent="0.25">
      <c r="A287" s="3063"/>
      <c r="B287" s="3064"/>
      <c r="C287" s="3064"/>
      <c r="D287" s="3064"/>
      <c r="E287" s="3064"/>
      <c r="F287" s="3064"/>
      <c r="G287" s="3064"/>
      <c r="H287" s="3064"/>
      <c r="I287" s="3065"/>
    </row>
    <row r="288" spans="1:11" x14ac:dyDescent="0.25">
      <c r="A288" s="3063"/>
      <c r="B288" s="3064"/>
      <c r="C288" s="3064"/>
      <c r="D288" s="3064"/>
      <c r="E288" s="3064"/>
      <c r="F288" s="3064"/>
      <c r="G288" s="3064"/>
      <c r="H288" s="3064"/>
      <c r="I288" s="3065"/>
    </row>
    <row r="289" spans="1:11" x14ac:dyDescent="0.25">
      <c r="A289" s="3063"/>
      <c r="B289" s="3064"/>
      <c r="C289" s="3064"/>
      <c r="D289" s="3064"/>
      <c r="E289" s="3064"/>
      <c r="F289" s="3064"/>
      <c r="G289" s="3064"/>
      <c r="H289" s="3064"/>
      <c r="I289" s="3065"/>
    </row>
    <row r="290" spans="1:11" x14ac:dyDescent="0.25">
      <c r="A290" s="3063"/>
      <c r="B290" s="3064"/>
      <c r="C290" s="3064"/>
      <c r="D290" s="3064"/>
      <c r="E290" s="3064"/>
      <c r="F290" s="3064"/>
      <c r="G290" s="3064"/>
      <c r="H290" s="3064"/>
      <c r="I290" s="3065"/>
    </row>
    <row r="291" spans="1:11" x14ac:dyDescent="0.25">
      <c r="A291" s="3063"/>
      <c r="B291" s="3064"/>
      <c r="C291" s="3064"/>
      <c r="D291" s="3064"/>
      <c r="E291" s="3064"/>
      <c r="F291" s="3064"/>
      <c r="G291" s="3064"/>
      <c r="H291" s="3064"/>
      <c r="I291" s="3065"/>
    </row>
    <row r="292" spans="1:11" x14ac:dyDescent="0.25">
      <c r="A292" s="3063"/>
      <c r="B292" s="3064"/>
      <c r="C292" s="3064"/>
      <c r="D292" s="3064"/>
      <c r="E292" s="3064"/>
      <c r="F292" s="3064"/>
      <c r="G292" s="3064"/>
      <c r="H292" s="3064"/>
      <c r="I292" s="3065"/>
    </row>
    <row r="293" spans="1:11" x14ac:dyDescent="0.25">
      <c r="A293" s="3063"/>
      <c r="B293" s="3064"/>
      <c r="C293" s="3064"/>
      <c r="D293" s="3064"/>
      <c r="E293" s="3064"/>
      <c r="F293" s="3064"/>
      <c r="G293" s="3064"/>
      <c r="H293" s="3064"/>
      <c r="I293" s="3065"/>
    </row>
    <row r="294" spans="1:11" x14ac:dyDescent="0.25">
      <c r="A294" s="3063"/>
      <c r="B294" s="3064"/>
      <c r="C294" s="3064"/>
      <c r="D294" s="3064"/>
      <c r="E294" s="3064"/>
      <c r="F294" s="3064"/>
      <c r="G294" s="3064"/>
      <c r="H294" s="3064"/>
      <c r="I294" s="3065"/>
    </row>
    <row r="295" spans="1:11" x14ac:dyDescent="0.25">
      <c r="A295" s="3063"/>
      <c r="B295" s="3064"/>
      <c r="C295" s="3064"/>
      <c r="D295" s="3064"/>
      <c r="E295" s="3064"/>
      <c r="F295" s="3064"/>
      <c r="G295" s="3064"/>
      <c r="H295" s="3064"/>
      <c r="I295" s="3065"/>
    </row>
    <row r="296" spans="1:11" x14ac:dyDescent="0.25">
      <c r="A296" s="3063"/>
      <c r="B296" s="3064"/>
      <c r="C296" s="3064"/>
      <c r="D296" s="3064"/>
      <c r="E296" s="3064"/>
      <c r="F296" s="3064"/>
      <c r="G296" s="3064"/>
      <c r="H296" s="3064"/>
      <c r="I296" s="3065"/>
    </row>
    <row r="297" spans="1:11" x14ac:dyDescent="0.25">
      <c r="A297" s="3063"/>
      <c r="B297" s="3064"/>
      <c r="C297" s="3064"/>
      <c r="D297" s="3064"/>
      <c r="E297" s="3064"/>
      <c r="F297" s="3064"/>
      <c r="G297" s="3064"/>
      <c r="H297" s="3064"/>
      <c r="I297" s="3065"/>
    </row>
    <row r="298" spans="1:11" x14ac:dyDescent="0.25">
      <c r="A298" s="3063"/>
      <c r="B298" s="3064"/>
      <c r="C298" s="3064"/>
      <c r="D298" s="3064"/>
      <c r="E298" s="3064"/>
      <c r="F298" s="3064"/>
      <c r="G298" s="3064"/>
      <c r="H298" s="3064"/>
      <c r="I298" s="3065"/>
    </row>
    <row r="299" spans="1:11" x14ac:dyDescent="0.25">
      <c r="A299" s="3063"/>
      <c r="B299" s="3064"/>
      <c r="C299" s="3064"/>
      <c r="D299" s="3064"/>
      <c r="E299" s="3064"/>
      <c r="F299" s="3064"/>
      <c r="G299" s="3064"/>
      <c r="H299" s="3064"/>
      <c r="I299" s="3065"/>
    </row>
    <row r="300" spans="1:11" x14ac:dyDescent="0.25">
      <c r="A300" s="3063"/>
      <c r="B300" s="3064"/>
      <c r="C300" s="3064"/>
      <c r="D300" s="3064"/>
      <c r="E300" s="3064"/>
      <c r="F300" s="3064"/>
      <c r="G300" s="3064"/>
      <c r="H300" s="3064"/>
      <c r="I300" s="3065"/>
    </row>
    <row r="301" spans="1:11" x14ac:dyDescent="0.25">
      <c r="A301" s="3063"/>
      <c r="B301" s="3064"/>
      <c r="C301" s="3064"/>
      <c r="D301" s="3064"/>
      <c r="E301" s="3064"/>
      <c r="F301" s="3064"/>
      <c r="G301" s="3064"/>
      <c r="H301" s="3064"/>
      <c r="I301" s="3065"/>
    </row>
    <row r="302" spans="1:11" x14ac:dyDescent="0.25">
      <c r="A302" s="3066"/>
      <c r="B302" s="3067"/>
      <c r="C302" s="3067"/>
      <c r="D302" s="3067"/>
      <c r="E302" s="3067"/>
      <c r="F302" s="3067"/>
      <c r="G302" s="3067"/>
      <c r="H302" s="3067"/>
      <c r="I302" s="3068"/>
    </row>
    <row r="303" spans="1:11" x14ac:dyDescent="0.25">
      <c r="A303" s="1558" t="s">
        <v>462</v>
      </c>
      <c r="B303" s="1561"/>
      <c r="C303" s="1562"/>
      <c r="D303" s="1562"/>
      <c r="E303" s="1562"/>
      <c r="F303" s="1562"/>
      <c r="G303" s="1562"/>
      <c r="H303" s="1562"/>
      <c r="I303" s="1563"/>
    </row>
    <row r="304" spans="1:11" x14ac:dyDescent="0.25">
      <c r="A304" s="1530"/>
      <c r="B304" s="1531"/>
      <c r="C304" s="1531"/>
      <c r="D304" s="1531"/>
      <c r="E304" s="1547" t="s">
        <v>404</v>
      </c>
      <c r="F304" s="3072" t="str">
        <f>"KALKULATION Punkt "&amp;K304</f>
        <v>KALKULATION Punkt G</v>
      </c>
      <c r="G304" s="3072"/>
      <c r="H304" s="1548" t="s">
        <v>402</v>
      </c>
      <c r="I304" s="1549" t="s">
        <v>411</v>
      </c>
      <c r="K304" s="1272" t="s">
        <v>11</v>
      </c>
    </row>
    <row r="305" spans="1:11" x14ac:dyDescent="0.25">
      <c r="A305" s="3060" t="str">
        <f ca="1">A890&amp;A898&amp;"
"&amp;A902&amp;A907</f>
        <v xml:space="preserve">Personalgemeinkosten sind in Hv 5,86€/Std in Ansatz gebracht. Es entfallen 3,60€ auf Werte die als % eingetragen sind, und daher variabel zu den Personalkosten sind, und 2,26€ auf Werte die als €-Betrag eingetragen sind, und daher fixe Werte darstellen (die Unterscheidung hat Auswirkungen auf den Standardübertrag zu den Regiekalkulationen). 
Besondere Umlagen von projektspezifischen Kosten sind in die PGK eingerechnet (Hilfsrechner Pkt G4). Bei öffentlichen Aufträgen (BVergG) prüfen, ob nicht eine Kalkulationsvorschrift eine Zuordnung zu eigenen Positionen im LV vorsieht. 
</v>
      </c>
      <c r="B305" s="3061"/>
      <c r="C305" s="3061"/>
      <c r="D305" s="3061"/>
      <c r="E305" s="3061"/>
      <c r="F305" s="3061"/>
      <c r="G305" s="3061"/>
      <c r="H305" s="3061"/>
      <c r="I305" s="3062"/>
    </row>
    <row r="306" spans="1:11" x14ac:dyDescent="0.25">
      <c r="A306" s="3063"/>
      <c r="B306" s="3064"/>
      <c r="C306" s="3064"/>
      <c r="D306" s="3064"/>
      <c r="E306" s="3064"/>
      <c r="F306" s="3064"/>
      <c r="G306" s="3064"/>
      <c r="H306" s="3064"/>
      <c r="I306" s="3065"/>
    </row>
    <row r="307" spans="1:11" x14ac:dyDescent="0.25">
      <c r="A307" s="3063"/>
      <c r="B307" s="3064"/>
      <c r="C307" s="3064"/>
      <c r="D307" s="3064"/>
      <c r="E307" s="3064"/>
      <c r="F307" s="3064"/>
      <c r="G307" s="3064"/>
      <c r="H307" s="3064"/>
      <c r="I307" s="3065"/>
    </row>
    <row r="308" spans="1:11" x14ac:dyDescent="0.25">
      <c r="A308" s="3063"/>
      <c r="B308" s="3064"/>
      <c r="C308" s="3064"/>
      <c r="D308" s="3064"/>
      <c r="E308" s="3064"/>
      <c r="F308" s="3064"/>
      <c r="G308" s="3064"/>
      <c r="H308" s="3064"/>
      <c r="I308" s="3065"/>
    </row>
    <row r="309" spans="1:11" x14ac:dyDescent="0.25">
      <c r="A309" s="3063"/>
      <c r="B309" s="3064"/>
      <c r="C309" s="3064"/>
      <c r="D309" s="3064"/>
      <c r="E309" s="3064"/>
      <c r="F309" s="3064"/>
      <c r="G309" s="3064"/>
      <c r="H309" s="3064"/>
      <c r="I309" s="3065"/>
    </row>
    <row r="310" spans="1:11" x14ac:dyDescent="0.25">
      <c r="A310" s="3063"/>
      <c r="B310" s="3064"/>
      <c r="C310" s="3064"/>
      <c r="D310" s="3064"/>
      <c r="E310" s="3064"/>
      <c r="F310" s="3064"/>
      <c r="G310" s="3064"/>
      <c r="H310" s="3064"/>
      <c r="I310" s="3065"/>
    </row>
    <row r="311" spans="1:11" x14ac:dyDescent="0.25">
      <c r="A311" s="3063"/>
      <c r="B311" s="3064"/>
      <c r="C311" s="3064"/>
      <c r="D311" s="3064"/>
      <c r="E311" s="3064"/>
      <c r="F311" s="3064"/>
      <c r="G311" s="3064"/>
      <c r="H311" s="3064"/>
      <c r="I311" s="3065"/>
    </row>
    <row r="312" spans="1:11" x14ac:dyDescent="0.25">
      <c r="A312" s="3063"/>
      <c r="B312" s="3064"/>
      <c r="C312" s="3064"/>
      <c r="D312" s="3064"/>
      <c r="E312" s="3064"/>
      <c r="F312" s="3064"/>
      <c r="G312" s="3064"/>
      <c r="H312" s="3064"/>
      <c r="I312" s="3065"/>
    </row>
    <row r="313" spans="1:11" x14ac:dyDescent="0.25">
      <c r="A313" s="3063"/>
      <c r="B313" s="3064"/>
      <c r="C313" s="3064"/>
      <c r="D313" s="3064"/>
      <c r="E313" s="3064"/>
      <c r="F313" s="3064"/>
      <c r="G313" s="3064"/>
      <c r="H313" s="3064"/>
      <c r="I313" s="3065"/>
    </row>
    <row r="314" spans="1:11" x14ac:dyDescent="0.25">
      <c r="A314" s="3063"/>
      <c r="B314" s="3064"/>
      <c r="C314" s="3064"/>
      <c r="D314" s="3064"/>
      <c r="E314" s="3064"/>
      <c r="F314" s="3064"/>
      <c r="G314" s="3064"/>
      <c r="H314" s="3064"/>
      <c r="I314" s="3065"/>
    </row>
    <row r="315" spans="1:11" x14ac:dyDescent="0.25">
      <c r="A315" s="3066"/>
      <c r="B315" s="3067"/>
      <c r="C315" s="3067"/>
      <c r="D315" s="3067"/>
      <c r="E315" s="3067"/>
      <c r="F315" s="3067"/>
      <c r="G315" s="3067"/>
      <c r="H315" s="3067"/>
      <c r="I315" s="3068"/>
    </row>
    <row r="316" spans="1:11" x14ac:dyDescent="0.25">
      <c r="A316" s="1558" t="s">
        <v>463</v>
      </c>
      <c r="B316" s="1559"/>
      <c r="C316" s="1559"/>
      <c r="D316" s="1559"/>
      <c r="E316" s="1559"/>
      <c r="F316" s="1559"/>
      <c r="G316" s="1559"/>
      <c r="H316" s="1559"/>
      <c r="I316" s="1560"/>
    </row>
    <row r="317" spans="1:11" x14ac:dyDescent="0.25">
      <c r="A317" s="1553"/>
      <c r="B317" s="1554"/>
      <c r="C317" s="1554"/>
      <c r="D317" s="1554"/>
      <c r="E317" s="1555" t="s">
        <v>404</v>
      </c>
      <c r="F317" s="3072" t="str">
        <f>"KALKULATION Punkt "&amp;K317</f>
        <v>KALKULATION Punkt H</v>
      </c>
      <c r="G317" s="3072"/>
      <c r="H317" s="1556" t="s">
        <v>402</v>
      </c>
      <c r="I317" s="1557" t="s">
        <v>412</v>
      </c>
      <c r="K317" s="1272" t="s">
        <v>12</v>
      </c>
    </row>
    <row r="318" spans="1:11" x14ac:dyDescent="0.25">
      <c r="A318" s="3060" t="str">
        <f ca="1">IF(' K3 PP'!M39=0,"",A915&amp;A932&amp;A936&amp;A939)</f>
        <v>Berücksichtigt ist 1 Umlage mit einem Gesamtwert von 1,02€ pro kalkulierte produktive Stunde. Inkl dem gewählten GZ auf Umlagen (29,00%, bezeichnet gem K2 mit [Alle Kostenarten]) hat die Umlage eine Auswirkung auf den gesamten Personalpreis in Höhe von 1,32€. 
Die Umlagen sind wie folgt bezeichnet (und wertmäßig angegeben): [Qualitätssicherung (1,02€)]. 
Bei öffentlichen Aufträgen (BVergG) prüfen, ob für den vorgesehenen Zweck der Umlage, nicht eigene auspreisbare Positionen bestehen (ggf. kann eine verpönte Kostenumlage vorliegen).</v>
      </c>
      <c r="B318" s="3061"/>
      <c r="C318" s="3061"/>
      <c r="D318" s="3061"/>
      <c r="E318" s="3061"/>
      <c r="F318" s="3061"/>
      <c r="G318" s="3061"/>
      <c r="H318" s="3061"/>
      <c r="I318" s="3062"/>
    </row>
    <row r="319" spans="1:11" x14ac:dyDescent="0.25">
      <c r="A319" s="3063"/>
      <c r="B319" s="3064"/>
      <c r="C319" s="3064"/>
      <c r="D319" s="3064"/>
      <c r="E319" s="3064"/>
      <c r="F319" s="3064"/>
      <c r="G319" s="3064"/>
      <c r="H319" s="3064"/>
      <c r="I319" s="3065"/>
    </row>
    <row r="320" spans="1:11" x14ac:dyDescent="0.25">
      <c r="A320" s="3063"/>
      <c r="B320" s="3064"/>
      <c r="C320" s="3064"/>
      <c r="D320" s="3064"/>
      <c r="E320" s="3064"/>
      <c r="F320" s="3064"/>
      <c r="G320" s="3064"/>
      <c r="H320" s="3064"/>
      <c r="I320" s="3065"/>
    </row>
    <row r="321" spans="1:11" x14ac:dyDescent="0.25">
      <c r="A321" s="3063"/>
      <c r="B321" s="3064"/>
      <c r="C321" s="3064"/>
      <c r="D321" s="3064"/>
      <c r="E321" s="3064"/>
      <c r="F321" s="3064"/>
      <c r="G321" s="3064"/>
      <c r="H321" s="3064"/>
      <c r="I321" s="3065"/>
    </row>
    <row r="322" spans="1:11" x14ac:dyDescent="0.25">
      <c r="A322" s="3063"/>
      <c r="B322" s="3064"/>
      <c r="C322" s="3064"/>
      <c r="D322" s="3064"/>
      <c r="E322" s="3064"/>
      <c r="F322" s="3064"/>
      <c r="G322" s="3064"/>
      <c r="H322" s="3064"/>
      <c r="I322" s="3065"/>
    </row>
    <row r="323" spans="1:11" x14ac:dyDescent="0.25">
      <c r="A323" s="3063"/>
      <c r="B323" s="3064"/>
      <c r="C323" s="3064"/>
      <c r="D323" s="3064"/>
      <c r="E323" s="3064"/>
      <c r="F323" s="3064"/>
      <c r="G323" s="3064"/>
      <c r="H323" s="3064"/>
      <c r="I323" s="3065"/>
    </row>
    <row r="324" spans="1:11" x14ac:dyDescent="0.25">
      <c r="A324" s="3063"/>
      <c r="B324" s="3064"/>
      <c r="C324" s="3064"/>
      <c r="D324" s="3064"/>
      <c r="E324" s="3064"/>
      <c r="F324" s="3064"/>
      <c r="G324" s="3064"/>
      <c r="H324" s="3064"/>
      <c r="I324" s="3065"/>
    </row>
    <row r="325" spans="1:11" x14ac:dyDescent="0.25">
      <c r="A325" s="3063"/>
      <c r="B325" s="3064"/>
      <c r="C325" s="3064"/>
      <c r="D325" s="3064"/>
      <c r="E325" s="3064"/>
      <c r="F325" s="3064"/>
      <c r="G325" s="3064"/>
      <c r="H325" s="3064"/>
      <c r="I325" s="3065"/>
    </row>
    <row r="326" spans="1:11" x14ac:dyDescent="0.25">
      <c r="A326" s="3063"/>
      <c r="B326" s="3064"/>
      <c r="C326" s="3064"/>
      <c r="D326" s="3064"/>
      <c r="E326" s="3064"/>
      <c r="F326" s="3064"/>
      <c r="G326" s="3064"/>
      <c r="H326" s="3064"/>
      <c r="I326" s="3065"/>
    </row>
    <row r="327" spans="1:11" x14ac:dyDescent="0.25">
      <c r="A327" s="3066"/>
      <c r="B327" s="3067"/>
      <c r="C327" s="3067"/>
      <c r="D327" s="3067"/>
      <c r="E327" s="3067"/>
      <c r="F327" s="3067"/>
      <c r="G327" s="3067"/>
      <c r="H327" s="3067"/>
      <c r="I327" s="3068"/>
    </row>
    <row r="328" spans="1:11" x14ac:dyDescent="0.25">
      <c r="A328" s="1564" t="s">
        <v>464</v>
      </c>
      <c r="B328" s="1333"/>
      <c r="C328" s="1565"/>
      <c r="D328" s="1565"/>
      <c r="E328" s="1565"/>
      <c r="F328" s="1565"/>
      <c r="G328" s="1565"/>
      <c r="H328" s="1565"/>
      <c r="I328" s="1566"/>
    </row>
    <row r="329" spans="1:11" x14ac:dyDescent="0.25">
      <c r="A329" s="1530"/>
      <c r="B329" s="1531"/>
      <c r="C329" s="1531"/>
      <c r="D329" s="1531"/>
      <c r="E329" s="1547" t="s">
        <v>404</v>
      </c>
      <c r="F329" s="3072" t="str">
        <f>"KALKULATION Punkt "&amp;K329</f>
        <v>KALKULATION Punkt I</v>
      </c>
      <c r="G329" s="3072"/>
      <c r="H329" s="1548" t="s">
        <v>402</v>
      </c>
      <c r="I329" s="1549" t="s">
        <v>413</v>
      </c>
      <c r="K329" s="1272" t="s">
        <v>0</v>
      </c>
    </row>
    <row r="330" spans="1:11" ht="15.75" customHeight="1" x14ac:dyDescent="0.25">
      <c r="A330" s="3060" t="str">
        <f ca="1">A947&amp;A950&amp;A955&amp;A957</f>
        <v xml:space="preserve">Der Gesamtzuschlag auf die Personalkosten (K3, Spalte B) ist mit 29,000% angegeben und ist gem K2-Blatt mit [Alle Kostenarten] bezeichnet. Der Zuschlag beträgt 19,10€. 
Auf Umlagen (K3, Spalte A) ist eine GZ in Hv 29,00% mit der Bezeichnung [Alle Kostenarten] angesetzt. Der Zuschlag beträgt 0,30€. Der GZ auf Umlagen ist gleich wie auf Personalkosten angesetzt. </v>
      </c>
      <c r="B330" s="3061"/>
      <c r="C330" s="3061"/>
      <c r="D330" s="3061"/>
      <c r="E330" s="3061"/>
      <c r="F330" s="3061"/>
      <c r="G330" s="3061"/>
      <c r="H330" s="3061"/>
      <c r="I330" s="3062"/>
    </row>
    <row r="331" spans="1:11" x14ac:dyDescent="0.25">
      <c r="A331" s="3063"/>
      <c r="B331" s="3064"/>
      <c r="C331" s="3064"/>
      <c r="D331" s="3064"/>
      <c r="E331" s="3064"/>
      <c r="F331" s="3064"/>
      <c r="G331" s="3064"/>
      <c r="H331" s="3064"/>
      <c r="I331" s="3065"/>
    </row>
    <row r="332" spans="1:11" x14ac:dyDescent="0.25">
      <c r="A332" s="3063"/>
      <c r="B332" s="3064"/>
      <c r="C332" s="3064"/>
      <c r="D332" s="3064"/>
      <c r="E332" s="3064"/>
      <c r="F332" s="3064"/>
      <c r="G332" s="3064"/>
      <c r="H332" s="3064"/>
      <c r="I332" s="3065"/>
    </row>
    <row r="333" spans="1:11" x14ac:dyDescent="0.25">
      <c r="A333" s="3063"/>
      <c r="B333" s="3064"/>
      <c r="C333" s="3064"/>
      <c r="D333" s="3064"/>
      <c r="E333" s="3064"/>
      <c r="F333" s="3064"/>
      <c r="G333" s="3064"/>
      <c r="H333" s="3064"/>
      <c r="I333" s="3065"/>
    </row>
    <row r="334" spans="1:11" x14ac:dyDescent="0.25">
      <c r="A334" s="3063"/>
      <c r="B334" s="3064"/>
      <c r="C334" s="3064"/>
      <c r="D334" s="3064"/>
      <c r="E334" s="3064"/>
      <c r="F334" s="3064"/>
      <c r="G334" s="3064"/>
      <c r="H334" s="3064"/>
      <c r="I334" s="3065"/>
    </row>
    <row r="335" spans="1:11" x14ac:dyDescent="0.25">
      <c r="A335" s="3063"/>
      <c r="B335" s="3064"/>
      <c r="C335" s="3064"/>
      <c r="D335" s="3064"/>
      <c r="E335" s="3064"/>
      <c r="F335" s="3064"/>
      <c r="G335" s="3064"/>
      <c r="H335" s="3064"/>
      <c r="I335" s="3065"/>
    </row>
    <row r="336" spans="1:11" x14ac:dyDescent="0.25">
      <c r="A336" s="3063"/>
      <c r="B336" s="3064"/>
      <c r="C336" s="3064"/>
      <c r="D336" s="3064"/>
      <c r="E336" s="3064"/>
      <c r="F336" s="3064"/>
      <c r="G336" s="3064"/>
      <c r="H336" s="3064"/>
      <c r="I336" s="3065"/>
    </row>
    <row r="337" spans="1:11" x14ac:dyDescent="0.25">
      <c r="A337" s="3063"/>
      <c r="B337" s="3064"/>
      <c r="C337" s="3064"/>
      <c r="D337" s="3064"/>
      <c r="E337" s="3064"/>
      <c r="F337" s="3064"/>
      <c r="G337" s="3064"/>
      <c r="H337" s="3064"/>
      <c r="I337" s="3065"/>
    </row>
    <row r="338" spans="1:11" x14ac:dyDescent="0.25">
      <c r="A338" s="3063"/>
      <c r="B338" s="3064"/>
      <c r="C338" s="3064"/>
      <c r="D338" s="3064"/>
      <c r="E338" s="3064"/>
      <c r="F338" s="3064"/>
      <c r="G338" s="3064"/>
      <c r="H338" s="3064"/>
      <c r="I338" s="3065"/>
    </row>
    <row r="339" spans="1:11" x14ac:dyDescent="0.25">
      <c r="A339" s="3063"/>
      <c r="B339" s="3064"/>
      <c r="C339" s="3064"/>
      <c r="D339" s="3064"/>
      <c r="E339" s="3064"/>
      <c r="F339" s="3064"/>
      <c r="G339" s="3064"/>
      <c r="H339" s="3064"/>
      <c r="I339" s="3065"/>
    </row>
    <row r="340" spans="1:11" x14ac:dyDescent="0.25">
      <c r="A340" s="3063"/>
      <c r="B340" s="3064"/>
      <c r="C340" s="3064"/>
      <c r="D340" s="3064"/>
      <c r="E340" s="3064"/>
      <c r="F340" s="3064"/>
      <c r="G340" s="3064"/>
      <c r="H340" s="3064"/>
      <c r="I340" s="3065"/>
    </row>
    <row r="341" spans="1:11" x14ac:dyDescent="0.25">
      <c r="A341" s="3066"/>
      <c r="B341" s="3067"/>
      <c r="C341" s="3067"/>
      <c r="D341" s="3067"/>
      <c r="E341" s="3067"/>
      <c r="F341" s="3067"/>
      <c r="G341" s="3067"/>
      <c r="H341" s="3067"/>
      <c r="I341" s="3068"/>
    </row>
    <row r="342" spans="1:11" x14ac:dyDescent="0.25">
      <c r="A342" s="1558" t="s">
        <v>913</v>
      </c>
      <c r="B342" s="1567"/>
      <c r="C342" s="1568"/>
      <c r="D342" s="1568"/>
      <c r="E342" s="1568"/>
      <c r="F342" s="1568"/>
      <c r="G342" s="1568"/>
      <c r="H342" s="1568"/>
      <c r="I342" s="1569"/>
    </row>
    <row r="343" spans="1:11" x14ac:dyDescent="0.25">
      <c r="A343" s="1553"/>
      <c r="B343" s="1554"/>
      <c r="C343" s="1554"/>
      <c r="D343" s="1554"/>
      <c r="E343" s="1555" t="s">
        <v>404</v>
      </c>
      <c r="F343" s="3072" t="str">
        <f>"KALKULATION Punkt "&amp;K343</f>
        <v>KALKULATION Punkt J</v>
      </c>
      <c r="G343" s="3072"/>
      <c r="H343" s="1556" t="s">
        <v>402</v>
      </c>
      <c r="I343" s="1557" t="s">
        <v>420</v>
      </c>
      <c r="K343" s="1272" t="s">
        <v>13</v>
      </c>
    </row>
    <row r="344" spans="1:11" x14ac:dyDescent="0.25">
      <c r="A344" s="3060" t="str">
        <f ca="1">A992&amp;A999&amp;A975&amp;A980&amp;A986</f>
        <v>Das Ergebnis für den PERSONALPREIS GESAMT [Mittellohnpreis] beträgt 
86,28 €/Std.
Wenn Sie die Kalkulation auf PREIS-Basis fortsetzen (K7-Blätter), ist dieses Ergebnis relevant. Der GZ ist nicht mehr zu berücksichtigen. 
Das Ergebnis für die PERSONALKOSTEN GESAMT [Mittellohnkosten] beträgt 
66,88 €/Std.
Wenn Sie die Kalkulation auf KOSTEN-Basis fortsetzen (K7-Blätter), ist dieses Ergebnis relevant. Der GZ ist bei der Kalkulation im K7-Blatt daher zu berücksichtigen. Achten Sie darauf, jenen GZ heranzuziehen, der im K3-Blatt für die Personalkosten ausgewiesen ist; beachten Sie das K2-Blatt. 
Die K3-Blätter sind gegenüber dem Muster in der ÖNORM B 2061 erweitert dargestellt (J2).</v>
      </c>
      <c r="B344" s="3061"/>
      <c r="C344" s="3061"/>
      <c r="D344" s="3061"/>
      <c r="E344" s="3061"/>
      <c r="F344" s="3061"/>
      <c r="G344" s="3061"/>
      <c r="H344" s="3061"/>
      <c r="I344" s="3062"/>
    </row>
    <row r="345" spans="1:11" x14ac:dyDescent="0.25">
      <c r="A345" s="3063"/>
      <c r="B345" s="3064"/>
      <c r="C345" s="3064"/>
      <c r="D345" s="3064"/>
      <c r="E345" s="3064"/>
      <c r="F345" s="3064"/>
      <c r="G345" s="3064"/>
      <c r="H345" s="3064"/>
      <c r="I345" s="3065"/>
    </row>
    <row r="346" spans="1:11" x14ac:dyDescent="0.25">
      <c r="A346" s="3063"/>
      <c r="B346" s="3064"/>
      <c r="C346" s="3064"/>
      <c r="D346" s="3064"/>
      <c r="E346" s="3064"/>
      <c r="F346" s="3064"/>
      <c r="G346" s="3064"/>
      <c r="H346" s="3064"/>
      <c r="I346" s="3065"/>
    </row>
    <row r="347" spans="1:11" x14ac:dyDescent="0.25">
      <c r="A347" s="3063"/>
      <c r="B347" s="3064"/>
      <c r="C347" s="3064"/>
      <c r="D347" s="3064"/>
      <c r="E347" s="3064"/>
      <c r="F347" s="3064"/>
      <c r="G347" s="3064"/>
      <c r="H347" s="3064"/>
      <c r="I347" s="3065"/>
    </row>
    <row r="348" spans="1:11" x14ac:dyDescent="0.25">
      <c r="A348" s="3063"/>
      <c r="B348" s="3064"/>
      <c r="C348" s="3064"/>
      <c r="D348" s="3064"/>
      <c r="E348" s="3064"/>
      <c r="F348" s="3064"/>
      <c r="G348" s="3064"/>
      <c r="H348" s="3064"/>
      <c r="I348" s="3065"/>
    </row>
    <row r="349" spans="1:11" x14ac:dyDescent="0.25">
      <c r="A349" s="3063"/>
      <c r="B349" s="3064"/>
      <c r="C349" s="3064"/>
      <c r="D349" s="3064"/>
      <c r="E349" s="3064"/>
      <c r="F349" s="3064"/>
      <c r="G349" s="3064"/>
      <c r="H349" s="3064"/>
      <c r="I349" s="3065"/>
    </row>
    <row r="350" spans="1:11" x14ac:dyDescent="0.25">
      <c r="A350" s="3063"/>
      <c r="B350" s="3064"/>
      <c r="C350" s="3064"/>
      <c r="D350" s="3064"/>
      <c r="E350" s="3064"/>
      <c r="F350" s="3064"/>
      <c r="G350" s="3064"/>
      <c r="H350" s="3064"/>
      <c r="I350" s="3065"/>
    </row>
    <row r="351" spans="1:11" x14ac:dyDescent="0.25">
      <c r="A351" s="3063"/>
      <c r="B351" s="3064"/>
      <c r="C351" s="3064"/>
      <c r="D351" s="3064"/>
      <c r="E351" s="3064"/>
      <c r="F351" s="3064"/>
      <c r="G351" s="3064"/>
      <c r="H351" s="3064"/>
      <c r="I351" s="3065"/>
    </row>
    <row r="352" spans="1:11" x14ac:dyDescent="0.25">
      <c r="A352" s="3063"/>
      <c r="B352" s="3064"/>
      <c r="C352" s="3064"/>
      <c r="D352" s="3064"/>
      <c r="E352" s="3064"/>
      <c r="F352" s="3064"/>
      <c r="G352" s="3064"/>
      <c r="H352" s="3064"/>
      <c r="I352" s="3065"/>
    </row>
    <row r="353" spans="1:9" x14ac:dyDescent="0.25">
      <c r="A353" s="3063"/>
      <c r="B353" s="3064"/>
      <c r="C353" s="3064"/>
      <c r="D353" s="3064"/>
      <c r="E353" s="3064"/>
      <c r="F353" s="3064"/>
      <c r="G353" s="3064"/>
      <c r="H353" s="3064"/>
      <c r="I353" s="3065"/>
    </row>
    <row r="354" spans="1:9" x14ac:dyDescent="0.25">
      <c r="A354" s="3063"/>
      <c r="B354" s="3064"/>
      <c r="C354" s="3064"/>
      <c r="D354" s="3064"/>
      <c r="E354" s="3064"/>
      <c r="F354" s="3064"/>
      <c r="G354" s="3064"/>
      <c r="H354" s="3064"/>
      <c r="I354" s="3065"/>
    </row>
    <row r="355" spans="1:9" x14ac:dyDescent="0.25">
      <c r="A355" s="3063"/>
      <c r="B355" s="3064"/>
      <c r="C355" s="3064"/>
      <c r="D355" s="3064"/>
      <c r="E355" s="3064"/>
      <c r="F355" s="3064"/>
      <c r="G355" s="3064"/>
      <c r="H355" s="3064"/>
      <c r="I355" s="3065"/>
    </row>
    <row r="356" spans="1:9" x14ac:dyDescent="0.25">
      <c r="A356" s="3063"/>
      <c r="B356" s="3064"/>
      <c r="C356" s="3064"/>
      <c r="D356" s="3064"/>
      <c r="E356" s="3064"/>
      <c r="F356" s="3064"/>
      <c r="G356" s="3064"/>
      <c r="H356" s="3064"/>
      <c r="I356" s="3065"/>
    </row>
    <row r="357" spans="1:9" x14ac:dyDescent="0.25">
      <c r="A357" s="3063"/>
      <c r="B357" s="3064"/>
      <c r="C357" s="3064"/>
      <c r="D357" s="3064"/>
      <c r="E357" s="3064"/>
      <c r="F357" s="3064"/>
      <c r="G357" s="3064"/>
      <c r="H357" s="3064"/>
      <c r="I357" s="3065"/>
    </row>
    <row r="358" spans="1:9" x14ac:dyDescent="0.25">
      <c r="A358" s="3063"/>
      <c r="B358" s="3064"/>
      <c r="C358" s="3064"/>
      <c r="D358" s="3064"/>
      <c r="E358" s="3064"/>
      <c r="F358" s="3064"/>
      <c r="G358" s="3064"/>
      <c r="H358" s="3064"/>
      <c r="I358" s="3065"/>
    </row>
    <row r="359" spans="1:9" x14ac:dyDescent="0.25">
      <c r="A359" s="3063"/>
      <c r="B359" s="3064"/>
      <c r="C359" s="3064"/>
      <c r="D359" s="3064"/>
      <c r="E359" s="3064"/>
      <c r="F359" s="3064"/>
      <c r="G359" s="3064"/>
      <c r="H359" s="3064"/>
      <c r="I359" s="3065"/>
    </row>
    <row r="360" spans="1:9" x14ac:dyDescent="0.25">
      <c r="A360" s="3063"/>
      <c r="B360" s="3064"/>
      <c r="C360" s="3064"/>
      <c r="D360" s="3064"/>
      <c r="E360" s="3064"/>
      <c r="F360" s="3064"/>
      <c r="G360" s="3064"/>
      <c r="H360" s="3064"/>
      <c r="I360" s="3065"/>
    </row>
    <row r="361" spans="1:9" x14ac:dyDescent="0.25">
      <c r="A361" s="3063"/>
      <c r="B361" s="3064"/>
      <c r="C361" s="3064"/>
      <c r="D361" s="3064"/>
      <c r="E361" s="3064"/>
      <c r="F361" s="3064"/>
      <c r="G361" s="3064"/>
      <c r="H361" s="3064"/>
      <c r="I361" s="3065"/>
    </row>
    <row r="362" spans="1:9" x14ac:dyDescent="0.25">
      <c r="A362" s="3063"/>
      <c r="B362" s="3064"/>
      <c r="C362" s="3064"/>
      <c r="D362" s="3064"/>
      <c r="E362" s="3064"/>
      <c r="F362" s="3064"/>
      <c r="G362" s="3064"/>
      <c r="H362" s="3064"/>
      <c r="I362" s="3065"/>
    </row>
    <row r="363" spans="1:9" x14ac:dyDescent="0.25">
      <c r="A363" s="3063"/>
      <c r="B363" s="3064"/>
      <c r="C363" s="3064"/>
      <c r="D363" s="3064"/>
      <c r="E363" s="3064"/>
      <c r="F363" s="3064"/>
      <c r="G363" s="3064"/>
      <c r="H363" s="3064"/>
      <c r="I363" s="3065"/>
    </row>
    <row r="364" spans="1:9" x14ac:dyDescent="0.25">
      <c r="A364" s="3063"/>
      <c r="B364" s="3064"/>
      <c r="C364" s="3064"/>
      <c r="D364" s="3064"/>
      <c r="E364" s="3064"/>
      <c r="F364" s="3064"/>
      <c r="G364" s="3064"/>
      <c r="H364" s="3064"/>
      <c r="I364" s="3065"/>
    </row>
    <row r="365" spans="1:9" x14ac:dyDescent="0.25">
      <c r="A365" s="3063"/>
      <c r="B365" s="3064"/>
      <c r="C365" s="3064"/>
      <c r="D365" s="3064"/>
      <c r="E365" s="3064"/>
      <c r="F365" s="3064"/>
      <c r="G365" s="3064"/>
      <c r="H365" s="3064"/>
      <c r="I365" s="3065"/>
    </row>
    <row r="366" spans="1:9" x14ac:dyDescent="0.25">
      <c r="A366" s="3066"/>
      <c r="B366" s="3067"/>
      <c r="C366" s="3067"/>
      <c r="D366" s="3067"/>
      <c r="E366" s="3067"/>
      <c r="F366" s="3067"/>
      <c r="G366" s="3067"/>
      <c r="H366" s="3067"/>
      <c r="I366" s="3068"/>
    </row>
    <row r="367" spans="1:9" x14ac:dyDescent="0.25">
      <c r="A367" s="1570" t="s">
        <v>465</v>
      </c>
      <c r="B367" s="1345"/>
      <c r="C367" s="1562"/>
      <c r="D367" s="1562"/>
      <c r="E367" s="1562"/>
      <c r="F367" s="1562"/>
      <c r="G367" s="1562"/>
      <c r="H367" s="1562"/>
      <c r="I367" s="1563"/>
    </row>
    <row r="368" spans="1:9" x14ac:dyDescent="0.25">
      <c r="A368" s="1530"/>
      <c r="B368" s="1531"/>
      <c r="C368" s="1531"/>
      <c r="D368" s="1531"/>
      <c r="E368" s="1547" t="s">
        <v>404</v>
      </c>
      <c r="F368" s="1548" t="s">
        <v>448</v>
      </c>
      <c r="G368" s="1547"/>
      <c r="H368" s="1548"/>
      <c r="I368" s="1549"/>
    </row>
    <row r="369" spans="1:9" x14ac:dyDescent="0.25">
      <c r="A369" s="3060" t="str">
        <f ca="1">A1029&amp;"
"&amp;A1042&amp;"
"&amp;A1060</f>
        <v>Im K2-Blatt finden sich folgende Gesamtzuschläge (Bezeichnung und GZ in %): [Alle Kostenarten (29,000%)]. Die Werte sind als gerundet ausgewiesen. 
Personalkosten sind mit dem GZ [Alle Kostenarten] beaufschlagt, dessen 29,000% Deckungsbeiträge in Hv 19,10€/Std bzw 5054€ pro Woche (bei der kalkulierten Arbeitszeit und Beschäftigtenzahl; ohne Berücksichtigung von Feiertagen - daher maximal) ergeben. Die Deckungsbeiträge erwirtschaften sich im Detail wie folgt: 
- aus dem Ansatz für GGK in Hv 11,52€/Std bzw 3050€ pro Woche
- aus dem Ansatz für Finanzierungskosten in Hv 1,55€/Std bzw 409€ pro Woche
- aus dem Ansatz für Wagnis in Hv 2,37€/Std bzw 627€ pro Woche
- aus dem Ansatz für Gewinn in Hv 3,66€/Std bzw 969€ pro Woche.
Betreffend Herleitung siehe auch www.bauwesen.at/tools (Nr 08)!
Umlagen sind mit dem GZ [Alle Kostenarten] beaufschlagt, dessen 29,000% Deckungsbeiträge in Hv 0,30€/Std bzw 79€ pro Woche (siehe Hinweis oben) ergeben. Die Deckungsbeiträge erwirtschaften sich im Detail wie folgt: 
- aus dem Ansatz für GGK in Hv 0,18€/Std bzw 48€ pro Woche
- aus dem Ansatz für Finanzierungskosten in Hv 0,02€/Std bzw 6€ pro Woche
- aus dem Ansatz für Wagnis in Hv 0,04€/Std bzw 10€ pro Woche
- aus dem Ansatz für Gewinn in Hv 0,06€/Std bzw 15€ pro Woche.</v>
      </c>
      <c r="B369" s="3061"/>
      <c r="C369" s="3061"/>
      <c r="D369" s="3061"/>
      <c r="E369" s="3061"/>
      <c r="F369" s="3061"/>
      <c r="G369" s="3061"/>
      <c r="H369" s="3061"/>
      <c r="I369" s="3062"/>
    </row>
    <row r="370" spans="1:9" x14ac:dyDescent="0.25">
      <c r="A370" s="3063"/>
      <c r="B370" s="3064"/>
      <c r="C370" s="3064"/>
      <c r="D370" s="3064"/>
      <c r="E370" s="3064"/>
      <c r="F370" s="3064"/>
      <c r="G370" s="3064"/>
      <c r="H370" s="3064"/>
      <c r="I370" s="3065"/>
    </row>
    <row r="371" spans="1:9" x14ac:dyDescent="0.25">
      <c r="A371" s="3063"/>
      <c r="B371" s="3064"/>
      <c r="C371" s="3064"/>
      <c r="D371" s="3064"/>
      <c r="E371" s="3064"/>
      <c r="F371" s="3064"/>
      <c r="G371" s="3064"/>
      <c r="H371" s="3064"/>
      <c r="I371" s="3065"/>
    </row>
    <row r="372" spans="1:9" x14ac:dyDescent="0.25">
      <c r="A372" s="3063"/>
      <c r="B372" s="3064"/>
      <c r="C372" s="3064"/>
      <c r="D372" s="3064"/>
      <c r="E372" s="3064"/>
      <c r="F372" s="3064"/>
      <c r="G372" s="3064"/>
      <c r="H372" s="3064"/>
      <c r="I372" s="3065"/>
    </row>
    <row r="373" spans="1:9" x14ac:dyDescent="0.25">
      <c r="A373" s="3063"/>
      <c r="B373" s="3064"/>
      <c r="C373" s="3064"/>
      <c r="D373" s="3064"/>
      <c r="E373" s="3064"/>
      <c r="F373" s="3064"/>
      <c r="G373" s="3064"/>
      <c r="H373" s="3064"/>
      <c r="I373" s="3065"/>
    </row>
    <row r="374" spans="1:9" x14ac:dyDescent="0.25">
      <c r="A374" s="3063"/>
      <c r="B374" s="3064"/>
      <c r="C374" s="3064"/>
      <c r="D374" s="3064"/>
      <c r="E374" s="3064"/>
      <c r="F374" s="3064"/>
      <c r="G374" s="3064"/>
      <c r="H374" s="3064"/>
      <c r="I374" s="3065"/>
    </row>
    <row r="375" spans="1:9" x14ac:dyDescent="0.25">
      <c r="A375" s="3063"/>
      <c r="B375" s="3064"/>
      <c r="C375" s="3064"/>
      <c r="D375" s="3064"/>
      <c r="E375" s="3064"/>
      <c r="F375" s="3064"/>
      <c r="G375" s="3064"/>
      <c r="H375" s="3064"/>
      <c r="I375" s="3065"/>
    </row>
    <row r="376" spans="1:9" x14ac:dyDescent="0.25">
      <c r="A376" s="3063"/>
      <c r="B376" s="3064"/>
      <c r="C376" s="3064"/>
      <c r="D376" s="3064"/>
      <c r="E376" s="3064"/>
      <c r="F376" s="3064"/>
      <c r="G376" s="3064"/>
      <c r="H376" s="3064"/>
      <c r="I376" s="3065"/>
    </row>
    <row r="377" spans="1:9" x14ac:dyDescent="0.25">
      <c r="A377" s="3063"/>
      <c r="B377" s="3064"/>
      <c r="C377" s="3064"/>
      <c r="D377" s="3064"/>
      <c r="E377" s="3064"/>
      <c r="F377" s="3064"/>
      <c r="G377" s="3064"/>
      <c r="H377" s="3064"/>
      <c r="I377" s="3065"/>
    </row>
    <row r="378" spans="1:9" x14ac:dyDescent="0.25">
      <c r="A378" s="3063"/>
      <c r="B378" s="3064"/>
      <c r="C378" s="3064"/>
      <c r="D378" s="3064"/>
      <c r="E378" s="3064"/>
      <c r="F378" s="3064"/>
      <c r="G378" s="3064"/>
      <c r="H378" s="3064"/>
      <c r="I378" s="3065"/>
    </row>
    <row r="379" spans="1:9" x14ac:dyDescent="0.25">
      <c r="A379" s="3063"/>
      <c r="B379" s="3064"/>
      <c r="C379" s="3064"/>
      <c r="D379" s="3064"/>
      <c r="E379" s="3064"/>
      <c r="F379" s="3064"/>
      <c r="G379" s="3064"/>
      <c r="H379" s="3064"/>
      <c r="I379" s="3065"/>
    </row>
    <row r="380" spans="1:9" x14ac:dyDescent="0.25">
      <c r="A380" s="3063"/>
      <c r="B380" s="3064"/>
      <c r="C380" s="3064"/>
      <c r="D380" s="3064"/>
      <c r="E380" s="3064"/>
      <c r="F380" s="3064"/>
      <c r="G380" s="3064"/>
      <c r="H380" s="3064"/>
      <c r="I380" s="3065"/>
    </row>
    <row r="381" spans="1:9" x14ac:dyDescent="0.25">
      <c r="A381" s="3063"/>
      <c r="B381" s="3064"/>
      <c r="C381" s="3064"/>
      <c r="D381" s="3064"/>
      <c r="E381" s="3064"/>
      <c r="F381" s="3064"/>
      <c r="G381" s="3064"/>
      <c r="H381" s="3064"/>
      <c r="I381" s="3065"/>
    </row>
    <row r="382" spans="1:9" x14ac:dyDescent="0.25">
      <c r="A382" s="3063"/>
      <c r="B382" s="3064"/>
      <c r="C382" s="3064"/>
      <c r="D382" s="3064"/>
      <c r="E382" s="3064"/>
      <c r="F382" s="3064"/>
      <c r="G382" s="3064"/>
      <c r="H382" s="3064"/>
      <c r="I382" s="3065"/>
    </row>
    <row r="383" spans="1:9" x14ac:dyDescent="0.25">
      <c r="A383" s="3063"/>
      <c r="B383" s="3064"/>
      <c r="C383" s="3064"/>
      <c r="D383" s="3064"/>
      <c r="E383" s="3064"/>
      <c r="F383" s="3064"/>
      <c r="G383" s="3064"/>
      <c r="H383" s="3064"/>
      <c r="I383" s="3065"/>
    </row>
    <row r="384" spans="1:9" x14ac:dyDescent="0.25">
      <c r="A384" s="3063"/>
      <c r="B384" s="3064"/>
      <c r="C384" s="3064"/>
      <c r="D384" s="3064"/>
      <c r="E384" s="3064"/>
      <c r="F384" s="3064"/>
      <c r="G384" s="3064"/>
      <c r="H384" s="3064"/>
      <c r="I384" s="3065"/>
    </row>
    <row r="385" spans="1:9" x14ac:dyDescent="0.25">
      <c r="A385" s="3063"/>
      <c r="B385" s="3064"/>
      <c r="C385" s="3064"/>
      <c r="D385" s="3064"/>
      <c r="E385" s="3064"/>
      <c r="F385" s="3064"/>
      <c r="G385" s="3064"/>
      <c r="H385" s="3064"/>
      <c r="I385" s="3065"/>
    </row>
    <row r="386" spans="1:9" x14ac:dyDescent="0.25">
      <c r="A386" s="3063"/>
      <c r="B386" s="3064"/>
      <c r="C386" s="3064"/>
      <c r="D386" s="3064"/>
      <c r="E386" s="3064"/>
      <c r="F386" s="3064"/>
      <c r="G386" s="3064"/>
      <c r="H386" s="3064"/>
      <c r="I386" s="3065"/>
    </row>
    <row r="387" spans="1:9" x14ac:dyDescent="0.25">
      <c r="A387" s="3063"/>
      <c r="B387" s="3064"/>
      <c r="C387" s="3064"/>
      <c r="D387" s="3064"/>
      <c r="E387" s="3064"/>
      <c r="F387" s="3064"/>
      <c r="G387" s="3064"/>
      <c r="H387" s="3064"/>
      <c r="I387" s="3065"/>
    </row>
    <row r="388" spans="1:9" x14ac:dyDescent="0.25">
      <c r="A388" s="3063"/>
      <c r="B388" s="3064"/>
      <c r="C388" s="3064"/>
      <c r="D388" s="3064"/>
      <c r="E388" s="3064"/>
      <c r="F388" s="3064"/>
      <c r="G388" s="3064"/>
      <c r="H388" s="3064"/>
      <c r="I388" s="3065"/>
    </row>
    <row r="389" spans="1:9" x14ac:dyDescent="0.25">
      <c r="A389" s="3063"/>
      <c r="B389" s="3064"/>
      <c r="C389" s="3064"/>
      <c r="D389" s="3064"/>
      <c r="E389" s="3064"/>
      <c r="F389" s="3064"/>
      <c r="G389" s="3064"/>
      <c r="H389" s="3064"/>
      <c r="I389" s="3065"/>
    </row>
    <row r="390" spans="1:9" x14ac:dyDescent="0.25">
      <c r="A390" s="3066"/>
      <c r="B390" s="3067"/>
      <c r="C390" s="3067"/>
      <c r="D390" s="3067"/>
      <c r="E390" s="3067"/>
      <c r="F390" s="3067"/>
      <c r="G390" s="3067"/>
      <c r="H390" s="3067"/>
      <c r="I390" s="3068"/>
    </row>
    <row r="391" spans="1:9" x14ac:dyDescent="0.25">
      <c r="A391" s="1878"/>
      <c r="B391" s="1879"/>
      <c r="C391" s="1879"/>
      <c r="D391" s="1879"/>
      <c r="E391" s="1879"/>
      <c r="F391" s="1879"/>
      <c r="G391" s="1879"/>
      <c r="H391" s="1879"/>
      <c r="I391" s="1880"/>
    </row>
    <row r="392" spans="1:9" x14ac:dyDescent="0.25">
      <c r="A392" s="1881"/>
      <c r="B392" s="1495"/>
      <c r="C392" s="1495"/>
      <c r="D392" s="1495"/>
      <c r="E392" s="1495"/>
      <c r="F392" s="1495"/>
      <c r="G392" s="1495"/>
      <c r="H392" s="1495"/>
      <c r="I392" s="1882"/>
    </row>
    <row r="393" spans="1:9" x14ac:dyDescent="0.25">
      <c r="A393" s="1571"/>
      <c r="B393" s="1518"/>
      <c r="C393" s="1518"/>
      <c r="D393" s="1518"/>
      <c r="E393" s="1518"/>
      <c r="F393" s="1518"/>
      <c r="G393" s="1518"/>
      <c r="H393" s="1518"/>
      <c r="I393" s="1518"/>
    </row>
    <row r="394" spans="1:9" x14ac:dyDescent="0.25">
      <c r="A394" s="1571"/>
      <c r="B394" s="1518"/>
      <c r="C394" s="1518"/>
      <c r="D394" s="1518"/>
      <c r="E394" s="1518"/>
      <c r="F394" s="1518"/>
      <c r="G394" s="1518"/>
      <c r="H394" s="1518"/>
      <c r="I394" s="1518"/>
    </row>
    <row r="395" spans="1:9" x14ac:dyDescent="0.25">
      <c r="A395" s="1571"/>
      <c r="B395" s="1518"/>
      <c r="C395" s="1518"/>
      <c r="D395" s="1518"/>
      <c r="E395" s="1518"/>
      <c r="F395" s="1518"/>
      <c r="G395" s="1518"/>
      <c r="H395" s="1518"/>
      <c r="I395" s="1518"/>
    </row>
    <row r="396" spans="1:9" x14ac:dyDescent="0.25">
      <c r="A396" s="1572"/>
      <c r="B396" s="1573"/>
      <c r="C396" s="1573"/>
      <c r="D396" s="1573"/>
      <c r="E396" s="1573"/>
      <c r="F396" s="1573"/>
      <c r="G396" s="1573"/>
      <c r="H396" s="1573"/>
      <c r="I396" s="1573"/>
    </row>
    <row r="397" spans="1:9" x14ac:dyDescent="0.25">
      <c r="A397" s="1572"/>
      <c r="B397" s="1573"/>
      <c r="C397" s="1573"/>
      <c r="D397" s="1573"/>
      <c r="E397" s="1573"/>
      <c r="F397" s="1573"/>
      <c r="G397" s="1573"/>
      <c r="H397" s="1573"/>
      <c r="I397" s="1573"/>
    </row>
    <row r="398" spans="1:9" x14ac:dyDescent="0.25">
      <c r="A398" s="1572"/>
      <c r="B398" s="1573"/>
      <c r="C398" s="1573"/>
      <c r="D398" s="1573"/>
      <c r="E398" s="1573"/>
      <c r="F398" s="1573"/>
      <c r="G398" s="1573"/>
      <c r="H398" s="1573"/>
      <c r="I398" s="1573"/>
    </row>
    <row r="399" spans="1:9" x14ac:dyDescent="0.25">
      <c r="A399" s="1572"/>
      <c r="B399" s="1573"/>
      <c r="C399" s="1573"/>
      <c r="D399" s="1573"/>
      <c r="E399" s="1573"/>
      <c r="F399" s="1573"/>
      <c r="G399" s="1573"/>
      <c r="H399" s="1573"/>
      <c r="I399" s="1573"/>
    </row>
    <row r="400" spans="1:9" ht="17.850000000000001" hidden="1" customHeight="1" x14ac:dyDescent="0.25">
      <c r="A400" s="1574"/>
      <c r="B400" s="1575"/>
      <c r="C400" s="1575"/>
      <c r="D400" s="1575"/>
      <c r="E400" s="1575"/>
      <c r="F400" s="1575"/>
      <c r="G400" s="1575"/>
      <c r="H400" s="1575"/>
      <c r="I400" s="1576"/>
    </row>
    <row r="401" spans="1:9" ht="17.850000000000001" hidden="1" customHeight="1" x14ac:dyDescent="0.25">
      <c r="A401" s="1577"/>
      <c r="B401" s="1578"/>
      <c r="C401" s="1578"/>
      <c r="D401" s="1578"/>
      <c r="E401" s="1578"/>
      <c r="F401" s="1578"/>
      <c r="G401" s="1578"/>
      <c r="H401" s="1578"/>
      <c r="I401" s="1579"/>
    </row>
    <row r="402" spans="1:9" ht="15.75" hidden="1" customHeight="1" x14ac:dyDescent="0.25">
      <c r="A402" s="1580" t="s">
        <v>324</v>
      </c>
      <c r="B402" s="1581"/>
      <c r="C402" s="1581"/>
      <c r="D402" s="1581"/>
      <c r="E402" s="1581"/>
      <c r="F402" s="1581"/>
      <c r="G402" s="1581"/>
      <c r="H402" s="1581"/>
      <c r="I402" s="1582"/>
    </row>
    <row r="403" spans="1:9" ht="15.75" hidden="1" customHeight="1" x14ac:dyDescent="0.25">
      <c r="A403" s="3055" t="str">
        <f>IFERROR("Die Kalkulation erfolgt für das Projekt ["&amp;' K3 PP'!G1&amp;"]. Als Geschäftszahl der Ausschreibung ist ["&amp;' K3 PP'!G4&amp;"] angegeben. Die GZ des Unternehmers ist mit ["&amp;' K3 PP'!C4&amp;"] angegeben. ",$K$6)</f>
        <v xml:space="preserve">Die Kalkulation erfolgt für das Projekt [Musterprojekt Baugewerbe ]. Als Geschäftszahl der Ausschreibung ist [Seine GZ] angegeben. Die GZ des Unternehmers ist mit [Meine GZ] angegeben. </v>
      </c>
      <c r="B403" s="3053"/>
      <c r="C403" s="3053"/>
      <c r="D403" s="3053"/>
      <c r="E403" s="3053"/>
      <c r="F403" s="3053"/>
      <c r="G403" s="3053"/>
      <c r="H403" s="3053"/>
      <c r="I403" s="3056"/>
    </row>
    <row r="404" spans="1:9" ht="15.75" hidden="1" customHeight="1" x14ac:dyDescent="0.25">
      <c r="A404" s="3092"/>
      <c r="B404" s="3054"/>
      <c r="C404" s="3054"/>
      <c r="D404" s="3054"/>
      <c r="E404" s="3054"/>
      <c r="F404" s="3054"/>
      <c r="G404" s="3054"/>
      <c r="H404" s="3054"/>
      <c r="I404" s="3093"/>
    </row>
    <row r="405" spans="1:9" ht="15.75" hidden="1" customHeight="1" x14ac:dyDescent="0.25">
      <c r="A405" s="3092"/>
      <c r="B405" s="3054"/>
      <c r="C405" s="3054"/>
      <c r="D405" s="3054"/>
      <c r="E405" s="3054"/>
      <c r="F405" s="3054"/>
      <c r="G405" s="3054"/>
      <c r="H405" s="3054"/>
      <c r="I405" s="3093"/>
    </row>
    <row r="406" spans="1:9" ht="15.75" hidden="1" customHeight="1" x14ac:dyDescent="0.25">
      <c r="A406" s="3057"/>
      <c r="B406" s="3058"/>
      <c r="C406" s="3058"/>
      <c r="D406" s="3058"/>
      <c r="E406" s="3058"/>
      <c r="F406" s="3058"/>
      <c r="G406" s="3058"/>
      <c r="H406" s="3058"/>
      <c r="I406" s="3059"/>
    </row>
    <row r="407" spans="1:9" ht="15.75" hidden="1" customHeight="1" x14ac:dyDescent="0.25">
      <c r="A407" s="1583"/>
      <c r="B407" s="1583"/>
      <c r="C407" s="1583"/>
      <c r="D407" s="1584"/>
      <c r="E407" s="1583"/>
      <c r="F407" s="1583"/>
      <c r="G407" s="1583"/>
      <c r="H407" s="1585"/>
      <c r="I407" s="1583"/>
    </row>
    <row r="408" spans="1:9" ht="15.75" hidden="1" customHeight="1" x14ac:dyDescent="0.25">
      <c r="A408" s="1583"/>
      <c r="B408" s="1583" t="s">
        <v>355</v>
      </c>
      <c r="C408" s="1583" t="s">
        <v>353</v>
      </c>
      <c r="D408" s="1584"/>
      <c r="E408" s="1583"/>
      <c r="F408" s="1583"/>
      <c r="G408" s="1583"/>
      <c r="H408" s="1585"/>
      <c r="I408" s="1583"/>
    </row>
    <row r="409" spans="1:9" ht="15.75" hidden="1" customHeight="1" x14ac:dyDescent="0.25">
      <c r="A409" s="1583"/>
      <c r="B409" s="1584">
        <f>KALKULATION!F18</f>
        <v>46143</v>
      </c>
      <c r="C409" s="1584">
        <f ca="1">TODAY()</f>
        <v>46142</v>
      </c>
      <c r="D409" s="1583">
        <f ca="1">B409-C409</f>
        <v>1</v>
      </c>
      <c r="E409" s="1583"/>
      <c r="F409" s="1583"/>
      <c r="G409" s="1583"/>
      <c r="H409" s="1585"/>
      <c r="I409" s="1583"/>
    </row>
    <row r="410" spans="1:9" ht="15.75" hidden="1" customHeight="1" x14ac:dyDescent="0.25">
      <c r="A410" s="1583"/>
      <c r="B410" s="1584"/>
      <c r="C410" s="1583" t="str">
        <f ca="1">IF(D409&gt;0,TEXT(D409,"##0")&amp;" Tage in der Zukunft. ",TEXT(ABS(D409),"##0")&amp;" Tage zuvor. ")</f>
        <v xml:space="preserve">1 Tage in der Zukunft. </v>
      </c>
      <c r="D410" s="1583"/>
      <c r="E410" s="1583"/>
      <c r="F410" s="1583"/>
      <c r="G410" s="1583"/>
      <c r="H410" s="1585"/>
      <c r="I410" s="1583"/>
    </row>
    <row r="411" spans="1:9" ht="15.75" hidden="1" customHeight="1" x14ac:dyDescent="0.25">
      <c r="A411" s="3053" t="str">
        <f ca="1">IFERROR("Das angegebene Kalkulationsdatum ist der "&amp;TEXT(B409,"TT.MM.JJJJ")&amp;". In Bezug zum heutigen Tag liegt das Kalkulationsdatum (wird als Datum der Erstellung der Kalkulation verstanden) "&amp;C410,$K$6)</f>
        <v xml:space="preserve">Das angegebene Kalkulationsdatum ist der 01.05.2026. In Bezug zum heutigen Tag liegt das Kalkulationsdatum (wird als Datum der Erstellung der Kalkulation verstanden) 1 Tage in der Zukunft. </v>
      </c>
      <c r="B411" s="3053"/>
      <c r="C411" s="3053"/>
      <c r="D411" s="3053"/>
      <c r="E411" s="3053"/>
      <c r="F411" s="3053"/>
      <c r="G411" s="3053"/>
      <c r="H411" s="3053"/>
      <c r="I411" s="3053"/>
    </row>
    <row r="412" spans="1:9" ht="15.75" hidden="1" customHeight="1" x14ac:dyDescent="0.25">
      <c r="A412" s="3054"/>
      <c r="B412" s="3054"/>
      <c r="C412" s="3054"/>
      <c r="D412" s="3054"/>
      <c r="E412" s="3054"/>
      <c r="F412" s="3054"/>
      <c r="G412" s="3054"/>
      <c r="H412" s="3054"/>
      <c r="I412" s="3054"/>
    </row>
    <row r="413" spans="1:9" ht="15.75" hidden="1" customHeight="1" x14ac:dyDescent="0.25">
      <c r="A413" s="3054"/>
      <c r="B413" s="3054"/>
      <c r="C413" s="3054"/>
      <c r="D413" s="3054"/>
      <c r="E413" s="3054"/>
      <c r="F413" s="3054"/>
      <c r="G413" s="3054"/>
      <c r="H413" s="3054"/>
      <c r="I413" s="3054"/>
    </row>
    <row r="414" spans="1:9" ht="15.75" hidden="1" customHeight="1" x14ac:dyDescent="0.25">
      <c r="A414" s="1573"/>
      <c r="B414" s="1573"/>
      <c r="C414" s="1573"/>
      <c r="D414" s="1573"/>
      <c r="E414" s="1573"/>
      <c r="F414" s="1573"/>
      <c r="G414" s="1573"/>
      <c r="H414" s="1573"/>
      <c r="I414" s="1573"/>
    </row>
    <row r="415" spans="1:9" ht="15.75" hidden="1" customHeight="1" x14ac:dyDescent="0.25">
      <c r="A415" s="3053" t="str">
        <f>IFERROR("
Der Personalpreis wird für die Personalkostenart ["&amp;KALKULATION!C28&amp;"] und für die Leistungsart ["&amp;KALKULATION!C29&amp;"] ermittelt.",$K$6)</f>
        <v xml:space="preserve">
Der Personalpreis wird für die Personalkostenart [Lohn] und für die Leistungsart [Montage] ermittelt.</v>
      </c>
      <c r="B415" s="3053"/>
      <c r="C415" s="3053"/>
      <c r="D415" s="3053"/>
      <c r="E415" s="3053"/>
      <c r="F415" s="3053"/>
      <c r="G415" s="3053"/>
      <c r="H415" s="3053"/>
      <c r="I415" s="3053"/>
    </row>
    <row r="416" spans="1:9" ht="15.75" hidden="1" customHeight="1" x14ac:dyDescent="0.25">
      <c r="A416" s="3054"/>
      <c r="B416" s="3054"/>
      <c r="C416" s="3054"/>
      <c r="D416" s="3054"/>
      <c r="E416" s="3054"/>
      <c r="F416" s="3054"/>
      <c r="G416" s="3054"/>
      <c r="H416" s="3054"/>
      <c r="I416" s="3054"/>
    </row>
    <row r="417" spans="1:9" ht="15.75" hidden="1" customHeight="1" x14ac:dyDescent="0.25">
      <c r="A417" s="3054"/>
      <c r="B417" s="3054"/>
      <c r="C417" s="3054"/>
      <c r="D417" s="3054"/>
      <c r="E417" s="3054"/>
      <c r="F417" s="3054"/>
      <c r="G417" s="3054"/>
      <c r="H417" s="3054"/>
      <c r="I417" s="3054"/>
    </row>
    <row r="418" spans="1:9" ht="15.75" hidden="1" customHeight="1" x14ac:dyDescent="0.25">
      <c r="A418" s="1573"/>
      <c r="B418" s="1573"/>
      <c r="C418" s="1573"/>
      <c r="D418" s="1573"/>
      <c r="E418" s="1573"/>
      <c r="F418" s="1573"/>
      <c r="G418" s="1573"/>
      <c r="H418" s="1573"/>
      <c r="I418" s="1573"/>
    </row>
    <row r="419" spans="1:9" ht="15.75" hidden="1" customHeight="1" x14ac:dyDescent="0.25">
      <c r="A419" s="1573"/>
      <c r="B419" s="1573"/>
      <c r="C419" s="1573"/>
      <c r="D419" s="1573"/>
      <c r="E419" s="1573"/>
      <c r="F419" s="1573"/>
      <c r="G419" s="1573"/>
      <c r="H419" s="1573"/>
      <c r="I419" s="1573"/>
    </row>
    <row r="420" spans="1:9" ht="15.75" hidden="1" customHeight="1" x14ac:dyDescent="0.25">
      <c r="A420" s="1573"/>
      <c r="B420" s="1573"/>
      <c r="C420" s="1573"/>
      <c r="D420" s="1573"/>
      <c r="E420" s="1573"/>
      <c r="F420" s="1573"/>
      <c r="G420" s="1573"/>
      <c r="H420" s="1573"/>
      <c r="I420" s="1573"/>
    </row>
    <row r="421" spans="1:9" ht="15.75" hidden="1" customHeight="1" x14ac:dyDescent="0.25">
      <c r="A421" s="1573"/>
      <c r="B421" s="1573"/>
      <c r="C421" s="1573"/>
      <c r="D421" s="1573"/>
      <c r="E421" s="1573"/>
      <c r="F421" s="1573"/>
      <c r="G421" s="1573"/>
      <c r="H421" s="1573"/>
      <c r="I421" s="1573"/>
    </row>
    <row r="422" spans="1:9" ht="15.75" hidden="1" customHeight="1" x14ac:dyDescent="0.25">
      <c r="A422" s="1518"/>
      <c r="B422" s="1518"/>
      <c r="C422" s="1518"/>
      <c r="D422" s="1518"/>
      <c r="E422" s="1518"/>
      <c r="F422" s="1518"/>
      <c r="G422" s="1518"/>
      <c r="H422" s="1518"/>
      <c r="I422" s="1518"/>
    </row>
    <row r="423" spans="1:9" ht="15.75" hidden="1" customHeight="1" x14ac:dyDescent="0.25">
      <c r="A423" s="1586" t="s">
        <v>290</v>
      </c>
      <c r="B423" s="1581"/>
      <c r="C423" s="1581"/>
      <c r="D423" s="1587"/>
      <c r="E423" s="1581"/>
      <c r="F423" s="1581"/>
      <c r="G423" s="1581"/>
      <c r="H423" s="1588"/>
      <c r="I423" s="1581"/>
    </row>
    <row r="424" spans="1:9" ht="15.75" hidden="1" customHeight="1" x14ac:dyDescent="0.25">
      <c r="A424" s="746"/>
      <c r="B424" s="746"/>
      <c r="C424" s="1589" t="s">
        <v>222</v>
      </c>
      <c r="D424" s="1590" t="s">
        <v>987</v>
      </c>
      <c r="E424" s="1589" t="s">
        <v>353</v>
      </c>
      <c r="F424" s="1589" t="s">
        <v>988</v>
      </c>
      <c r="G424" s="1589" t="s">
        <v>354</v>
      </c>
      <c r="H424" s="1591"/>
      <c r="I424" s="1589"/>
    </row>
    <row r="425" spans="1:9" ht="15.75" hidden="1" customHeight="1" x14ac:dyDescent="0.25">
      <c r="A425" s="1592"/>
      <c r="B425" s="1589"/>
      <c r="C425" s="1590">
        <f ca="1">' K3 PP'!O8</f>
        <v>46143</v>
      </c>
      <c r="D425" s="1590">
        <f>' K3 PP'!M6</f>
        <v>46143</v>
      </c>
      <c r="E425" s="1590">
        <f ca="1">TODAY()</f>
        <v>46142</v>
      </c>
      <c r="F425" s="1589">
        <f ca="1">C425-D425</f>
        <v>0</v>
      </c>
      <c r="G425" s="1589">
        <f ca="1">C425-E425</f>
        <v>1</v>
      </c>
      <c r="H425" s="1591"/>
      <c r="I425" s="1589"/>
    </row>
    <row r="426" spans="1:9" ht="15.75" hidden="1" customHeight="1" x14ac:dyDescent="0.25">
      <c r="A426" s="1592" t="str">
        <f ca="1">IF(F425&gt;0,TEXT(F425,"##0")&amp;" Tage in der Zukunft. ",TEXT(ABS(F425),"##0")&amp;" Tage zuvor. ")</f>
        <v xml:space="preserve">0 Tage zuvor. </v>
      </c>
      <c r="B426" s="1589"/>
      <c r="C426" s="1590"/>
      <c r="D426" s="1590"/>
      <c r="E426" s="1590"/>
      <c r="F426" s="746"/>
      <c r="G426" s="1592" t="str">
        <f ca="1">IF(G425&gt;0,TEXT(G425,"##0")&amp;" Tage in der Zukunft. ",TEXT(ABS(G425),"##0")&amp;" Tage zuvor. ")</f>
        <v xml:space="preserve">1 Tage in der Zukunft. </v>
      </c>
      <c r="H426" s="1591"/>
      <c r="I426" s="746"/>
    </row>
    <row r="427" spans="1:9" ht="15.75" hidden="1" customHeight="1" x14ac:dyDescent="0.25">
      <c r="A427" s="1592" t="str">
        <f ca="1">IF(OR(ABS(F425)&gt;360,ABS(G425)&gt;360)," Eine Differenz von mehr als 360 Tagen (ca 1 Jahr) wurde erkannt; bitte Aktualität prüfen!","")</f>
        <v/>
      </c>
      <c r="B427" s="1589"/>
      <c r="C427" s="1590"/>
      <c r="D427" s="1590"/>
      <c r="E427" s="1590"/>
      <c r="F427" s="746"/>
      <c r="G427" s="746"/>
      <c r="H427" s="746"/>
      <c r="I427" s="746"/>
    </row>
    <row r="428" spans="1:9" ht="15.75" hidden="1" customHeight="1" x14ac:dyDescent="0.25">
      <c r="A428" s="3053" t="str">
        <f ca="1">IFERROR("Der verwendete Kollektivvertrag (KollV) ist der ["&amp;' K3 PP'!B8&amp;"] mit dem Stichtag "&amp;TEXT(C425,"TT.MM.JJJJ")&amp;". Im Bezug zum angegebenen Kalkulationsdatum liegt der KollV-Stichtag "&amp;A426&amp;"Im Bezug zum heutigen Tag liegt der KollV-Stichtag "&amp;G426&amp;A427,$K$6)</f>
        <v xml:space="preserve">Der verwendete Kollektivvertrag (KollV) ist der [KollV f Bauindustrie und Baugewerbe (Arbeiter)] mit dem Stichtag 01.05.2026. Im Bezug zum angegebenen Kalkulationsdatum liegt der KollV-Stichtag 0 Tage zuvor. Im Bezug zum heutigen Tag liegt der KollV-Stichtag 1 Tage in der Zukunft. </v>
      </c>
      <c r="B428" s="3053"/>
      <c r="C428" s="3053"/>
      <c r="D428" s="3053"/>
      <c r="E428" s="3053"/>
      <c r="F428" s="3053"/>
      <c r="G428" s="3053"/>
      <c r="H428" s="3053"/>
      <c r="I428" s="3053"/>
    </row>
    <row r="429" spans="1:9" ht="15.75" hidden="1" customHeight="1" x14ac:dyDescent="0.25">
      <c r="A429" s="3054"/>
      <c r="B429" s="3054"/>
      <c r="C429" s="3054"/>
      <c r="D429" s="3054"/>
      <c r="E429" s="3054"/>
      <c r="F429" s="3054"/>
      <c r="G429" s="3054"/>
      <c r="H429" s="3054"/>
      <c r="I429" s="3054"/>
    </row>
    <row r="430" spans="1:9" ht="15" hidden="1" customHeight="1" x14ac:dyDescent="0.25">
      <c r="A430" s="3054"/>
      <c r="B430" s="3054"/>
      <c r="C430" s="3054"/>
      <c r="D430" s="3054"/>
      <c r="E430" s="3054"/>
      <c r="F430" s="3054"/>
      <c r="G430" s="3054"/>
      <c r="H430" s="3054"/>
      <c r="I430" s="3054"/>
    </row>
    <row r="431" spans="1:9" ht="15.75" hidden="1" customHeight="1" x14ac:dyDescent="0.25">
      <c r="A431" s="3058"/>
      <c r="B431" s="3058"/>
      <c r="C431" s="3058"/>
      <c r="D431" s="3058"/>
      <c r="E431" s="3058"/>
      <c r="F431" s="3058"/>
      <c r="G431" s="3058"/>
      <c r="H431" s="3058"/>
      <c r="I431" s="3058"/>
    </row>
    <row r="432" spans="1:9" ht="15.75" hidden="1" customHeight="1" x14ac:dyDescent="0.25">
      <c r="A432" s="1518"/>
      <c r="B432" s="1518"/>
      <c r="C432" s="1518"/>
      <c r="D432" s="1518"/>
      <c r="E432" s="1518"/>
      <c r="F432" s="1518"/>
      <c r="G432" s="1518"/>
      <c r="H432" s="1518"/>
      <c r="I432" s="1518"/>
    </row>
    <row r="433" spans="1:9" ht="15.75" hidden="1" customHeight="1" x14ac:dyDescent="0.25">
      <c r="A433" s="1518"/>
      <c r="B433" s="1518"/>
      <c r="C433" s="1518"/>
      <c r="D433" s="1518"/>
      <c r="E433" s="1518"/>
      <c r="F433" s="1518"/>
      <c r="G433" s="1518"/>
      <c r="H433" s="1518"/>
      <c r="I433" s="1518"/>
    </row>
    <row r="434" spans="1:9" ht="15.75" hidden="1" customHeight="1" x14ac:dyDescent="0.25">
      <c r="A434" s="1593" t="str">
        <f ca="1">IF(OR(KALKULATION!A36="",KALKULATION!F36=0),"",KALKULATION!A36&amp;" ("&amp;(TEXT(KALKULATION!F36,"0%")&amp;"), "))</f>
        <v xml:space="preserve">IIa.    Vorarbeiter (14%), </v>
      </c>
      <c r="B434" s="1594"/>
      <c r="C434" s="1594"/>
      <c r="D434" s="1594"/>
      <c r="E434" s="1595"/>
      <c r="F434" s="1594"/>
      <c r="G434" s="1594"/>
      <c r="H434" s="1594"/>
      <c r="I434" s="1595"/>
    </row>
    <row r="435" spans="1:9" ht="15.75" hidden="1" customHeight="1" x14ac:dyDescent="0.25">
      <c r="A435" s="1596" t="str">
        <f ca="1">IF(OR(KALKULATION!A37="",KALKULATION!F37=0),"",KALKULATION!A37&amp;" ("&amp;(TEXT(KALKULATION!F37,"0%")&amp;"), "))</f>
        <v xml:space="preserve">IIb.   Facharbeiter (43%), </v>
      </c>
      <c r="B435" s="1597"/>
      <c r="C435" s="1597"/>
      <c r="D435" s="1597"/>
      <c r="E435" s="1598"/>
      <c r="F435" s="1597"/>
      <c r="G435" s="1597"/>
      <c r="H435" s="1597"/>
      <c r="I435" s="1598"/>
    </row>
    <row r="436" spans="1:9" ht="15.75" hidden="1" customHeight="1" x14ac:dyDescent="0.25">
      <c r="A436" s="1596" t="str">
        <f ca="1">IF(OR(KALKULATION!A38="",KALKULATION!F38=0),"",KALKULATION!A38&amp;" ("&amp;(TEXT(KALKULATION!F38,"0%")&amp;"), "))</f>
        <v xml:space="preserve">IV.   Bauhilfsarbeiter (43%), </v>
      </c>
      <c r="B436" s="1597"/>
      <c r="C436" s="1597"/>
      <c r="D436" s="1597"/>
      <c r="E436" s="1598"/>
      <c r="F436" s="1597"/>
      <c r="G436" s="1597"/>
      <c r="H436" s="1597"/>
      <c r="I436" s="1598"/>
    </row>
    <row r="437" spans="1:9" ht="15.75" hidden="1" customHeight="1" x14ac:dyDescent="0.25">
      <c r="A437" s="1596" t="str">
        <f ca="1">IF(OR(KALKULATION!A39="",KALKULATION!F39=0),"",KALKULATION!A39&amp;" ("&amp;(TEXT(KALKULATION!F39,"0%")&amp;"), "))</f>
        <v/>
      </c>
      <c r="B437" s="1597"/>
      <c r="C437" s="1597"/>
      <c r="D437" s="1597"/>
      <c r="E437" s="1598"/>
      <c r="F437" s="1597"/>
      <c r="G437" s="1597"/>
      <c r="H437" s="1597"/>
      <c r="I437" s="1598"/>
    </row>
    <row r="438" spans="1:9" ht="15.75" hidden="1" customHeight="1" x14ac:dyDescent="0.25">
      <c r="A438" s="1596" t="str">
        <f ca="1">IF(OR(KALKULATION!A40="",KALKULATION!F40=0),"",KALKULATION!A40&amp;" ("&amp;(TEXT(KALKULATION!F40,"0%")&amp;"), "))</f>
        <v/>
      </c>
      <c r="B438" s="1597"/>
      <c r="C438" s="1597"/>
      <c r="D438" s="1597"/>
      <c r="E438" s="1598"/>
      <c r="F438" s="1597"/>
      <c r="G438" s="1597"/>
      <c r="H438" s="1597"/>
      <c r="I438" s="1598"/>
    </row>
    <row r="439" spans="1:9" ht="15.75" hidden="1" customHeight="1" x14ac:dyDescent="0.25">
      <c r="A439" s="1596" t="str">
        <f ca="1">IF(OR(KALKULATION!A41="",KALKULATION!F41=0),"",KALKULATION!A41&amp;" ("&amp;(TEXT(KALKULATION!F41,"0%")&amp;"), "))</f>
        <v/>
      </c>
      <c r="B439" s="1597"/>
      <c r="C439" s="1597"/>
      <c r="D439" s="1597"/>
      <c r="E439" s="1598"/>
      <c r="F439" s="1597"/>
      <c r="G439" s="1597"/>
      <c r="H439" s="1597"/>
      <c r="I439" s="1598"/>
    </row>
    <row r="440" spans="1:9" ht="15.75" hidden="1" customHeight="1" x14ac:dyDescent="0.25">
      <c r="A440" s="1596" t="str">
        <f ca="1">IF(OR(KALKULATION!A42="",KALKULATION!F42=0),"",KALKULATION!A42&amp;" ("&amp;(TEXT(KALKULATION!F42,"0%")&amp;"), "))</f>
        <v/>
      </c>
      <c r="B440" s="1597"/>
      <c r="C440" s="1597"/>
      <c r="D440" s="1597"/>
      <c r="E440" s="1598"/>
      <c r="F440" s="1597"/>
      <c r="G440" s="1597"/>
      <c r="H440" s="1597"/>
      <c r="I440" s="1598"/>
    </row>
    <row r="441" spans="1:9" ht="15.75" hidden="1" customHeight="1" x14ac:dyDescent="0.25">
      <c r="A441" s="1596" t="str">
        <f ca="1">IF(OR(KALKULATION!A43="",KALKULATION!F43=0),"",KALKULATION!A43&amp;" ("&amp;(TEXT(KALKULATION!F43,"0%")&amp;"), "))</f>
        <v/>
      </c>
      <c r="B441" s="1597"/>
      <c r="C441" s="1597"/>
      <c r="D441" s="1597"/>
      <c r="E441" s="1598"/>
      <c r="F441" s="1597"/>
      <c r="G441" s="1597"/>
      <c r="H441" s="1597"/>
      <c r="I441" s="1598"/>
    </row>
    <row r="442" spans="1:9" ht="15.75" hidden="1" customHeight="1" x14ac:dyDescent="0.25">
      <c r="A442" s="1599" t="str">
        <f ca="1">IF(OR(KALKULATION!A44="",KALKULATION!F44=0),"",KALKULATION!A44&amp;" ("&amp;(TEXT(KALKULATION!F44,"0%")&amp;"), "))</f>
        <v/>
      </c>
      <c r="B442" s="1600"/>
      <c r="C442" s="1600"/>
      <c r="D442" s="1600"/>
      <c r="E442" s="1601"/>
      <c r="F442" s="1597"/>
      <c r="G442" s="1597"/>
      <c r="H442" s="1597"/>
      <c r="I442" s="1598"/>
    </row>
    <row r="443" spans="1:9" ht="15.75" hidden="1" customHeight="1" x14ac:dyDescent="0.25">
      <c r="A443" s="1596" t="str">
        <f ca="1">A434&amp;A435&amp;A436&amp;A437&amp;A438&amp;A439&amp;A440&amp;A441&amp;A442</f>
        <v xml:space="preserve">IIa.    Vorarbeiter (14%), IIb.   Facharbeiter (43%), IV.   Bauhilfsarbeiter (43%), </v>
      </c>
      <c r="B443" s="1597"/>
      <c r="C443" s="1597"/>
      <c r="D443" s="1597"/>
      <c r="E443" s="1597"/>
      <c r="F443" s="1597"/>
      <c r="G443" s="1597"/>
      <c r="H443" s="1597"/>
      <c r="I443" s="1598"/>
    </row>
    <row r="444" spans="1:9" ht="15.75" hidden="1" customHeight="1" x14ac:dyDescent="0.25">
      <c r="A444" s="1596">
        <f ca="1">LEN(A443)</f>
        <v>84</v>
      </c>
      <c r="B444" s="1597"/>
      <c r="C444" s="1597"/>
      <c r="D444" s="1597"/>
      <c r="E444" s="1597"/>
      <c r="F444" s="1597"/>
      <c r="G444" s="1597"/>
      <c r="H444" s="1597"/>
      <c r="I444" s="1598"/>
    </row>
    <row r="445" spans="1:9" ht="15.75" hidden="1" customHeight="1" x14ac:dyDescent="0.25">
      <c r="A445" s="1602" t="str">
        <f ca="1">IF(A444&gt;0,MID(A443,1,A444-2),"")</f>
        <v>IIa.    Vorarbeiter (14%), IIb.   Facharbeiter (43%), IV.   Bauhilfsarbeiter (43%)</v>
      </c>
      <c r="B445" s="1600"/>
      <c r="C445" s="1600"/>
      <c r="D445" s="1600"/>
      <c r="E445" s="1600"/>
      <c r="F445" s="1600"/>
      <c r="G445" s="1600"/>
      <c r="H445" s="1600"/>
      <c r="I445" s="1601"/>
    </row>
    <row r="446" spans="1:9" ht="15.75" hidden="1" customHeight="1" x14ac:dyDescent="0.25">
      <c r="A446" s="1518"/>
      <c r="B446" s="1518"/>
      <c r="C446" s="1518"/>
      <c r="D446" s="1518"/>
      <c r="E446" s="1518"/>
      <c r="F446" s="1518"/>
      <c r="G446" s="1518"/>
      <c r="H446" s="1518"/>
      <c r="I446" s="1518"/>
    </row>
    <row r="447" spans="1:9" ht="15.75" hidden="1" customHeight="1" x14ac:dyDescent="0.25">
      <c r="A447" s="3055" t="str">
        <f ca="1">IFERROR("
Die durchschnittliche Arbeitsgruppe für die Mittelpersonalkosten ist mit "&amp;KALKULATION!E45&amp;" Personen angenommen (B1). Dabei sind folgende Beschäftigungsgruppen (Anteile in %) berücksichtigt: ["&amp;A445&amp;"]. ",$K$6)</f>
        <v xml:space="preserve">
Die durchschnittliche Arbeitsgruppe für die Mittelpersonalkosten ist mit 7 Personen angenommen (B1). Dabei sind folgende Beschäftigungsgruppen (Anteile in %) berücksichtigt: [IIa.    Vorarbeiter (14%), IIb.   Facharbeiter (43%), IV.   Bauhilfsarbeiter (43%)]. </v>
      </c>
      <c r="B447" s="3053"/>
      <c r="C447" s="3053"/>
      <c r="D447" s="3053"/>
      <c r="E447" s="3053"/>
      <c r="F447" s="3053"/>
      <c r="G447" s="3053"/>
      <c r="H447" s="3053"/>
      <c r="I447" s="3056"/>
    </row>
    <row r="448" spans="1:9" ht="15.75" hidden="1" customHeight="1" x14ac:dyDescent="0.25">
      <c r="A448" s="3092"/>
      <c r="B448" s="3054"/>
      <c r="C448" s="3054"/>
      <c r="D448" s="3054"/>
      <c r="E448" s="3054"/>
      <c r="F448" s="3054"/>
      <c r="G448" s="3054"/>
      <c r="H448" s="3054"/>
      <c r="I448" s="3093"/>
    </row>
    <row r="449" spans="1:9" ht="15.75" hidden="1" customHeight="1" x14ac:dyDescent="0.25">
      <c r="A449" s="3092"/>
      <c r="B449" s="3054"/>
      <c r="C449" s="3054"/>
      <c r="D449" s="3054"/>
      <c r="E449" s="3054"/>
      <c r="F449" s="3054"/>
      <c r="G449" s="3054"/>
      <c r="H449" s="3054"/>
      <c r="I449" s="3093"/>
    </row>
    <row r="450" spans="1:9" ht="15.75" hidden="1" customHeight="1" x14ac:dyDescent="0.25">
      <c r="A450" s="3092"/>
      <c r="B450" s="3054"/>
      <c r="C450" s="3054"/>
      <c r="D450" s="3054"/>
      <c r="E450" s="3054"/>
      <c r="F450" s="3054"/>
      <c r="G450" s="3054"/>
      <c r="H450" s="3054"/>
      <c r="I450" s="3093"/>
    </row>
    <row r="451" spans="1:9" ht="15.75" hidden="1" customHeight="1" x14ac:dyDescent="0.25">
      <c r="A451" s="3092"/>
      <c r="B451" s="3054"/>
      <c r="C451" s="3054"/>
      <c r="D451" s="3054"/>
      <c r="E451" s="3054"/>
      <c r="F451" s="3054"/>
      <c r="G451" s="3054"/>
      <c r="H451" s="3054"/>
      <c r="I451" s="3093"/>
    </row>
    <row r="452" spans="1:9" ht="15.75" hidden="1" customHeight="1" x14ac:dyDescent="0.25">
      <c r="A452" s="3057"/>
      <c r="B452" s="3058"/>
      <c r="C452" s="3058"/>
      <c r="D452" s="3058"/>
      <c r="E452" s="3058"/>
      <c r="F452" s="3058"/>
      <c r="G452" s="3058"/>
      <c r="H452" s="3058"/>
      <c r="I452" s="3059"/>
    </row>
    <row r="453" spans="1:9" ht="15.75" hidden="1" customHeight="1" x14ac:dyDescent="0.25">
      <c r="A453" s="1603" t="s">
        <v>372</v>
      </c>
      <c r="B453" s="1604">
        <f ca="1">MAX(KALKULATION!D36:D44)</f>
        <v>21.96</v>
      </c>
      <c r="C453" s="1605" t="s">
        <v>291</v>
      </c>
      <c r="D453" s="1606">
        <f t="array" aca="1" ref="D453" ca="1">MIN(IF(KALKULATION!D36:D44&gt;0,KALKULATION!D36:D44))</f>
        <v>17.03</v>
      </c>
      <c r="E453" s="1607" t="s">
        <v>72</v>
      </c>
      <c r="F453" s="1606">
        <f ca="1">KALKULATION!G45</f>
        <v>20</v>
      </c>
      <c r="G453" s="1605" t="s">
        <v>73</v>
      </c>
      <c r="H453" s="1606">
        <f ca="1">KALKULATION!H45</f>
        <v>2.85</v>
      </c>
      <c r="I453" s="1608">
        <f ca="1">H453/F453</f>
        <v>0.14249999999999999</v>
      </c>
    </row>
    <row r="454" spans="1:9" ht="15.75" hidden="1" customHeight="1" x14ac:dyDescent="0.25">
      <c r="A454" s="3055" t="str">
        <f ca="1">IFERROR("
Das angesetzte höchste KV-Entgelt beträgt "&amp;TEXT(B453,"##0,00")&amp;"€/Std, das niedrigste "&amp;TEXT(D453,"##0,00")&amp;"€/Std. Im gewichteten Mittel beträgt das KV-Entgelt "&amp;TEXT( F453,"##0,00")&amp;"€. Darauf ist eine durchschnittliche Überzahlung (AKV-Entgelt) in Hv "&amp;TEXT(H453,"0,00€")&amp;" bzw "&amp;TEXT(KALKULATION!H45/KALKULATION!G45,"0,0%")&amp;" aufgeschlagen. ",$K$6)</f>
        <v xml:space="preserve">
Das angesetzte höchste KV-Entgelt beträgt 21,96€/Std, das niedrigste 17,03€/Std. Im gewichteten Mittel beträgt das KV-Entgelt 20,00€. Darauf ist eine durchschnittliche Überzahlung (AKV-Entgelt) in Hv 2,85€ bzw 14,3% aufgeschlagen. </v>
      </c>
      <c r="B454" s="3053"/>
      <c r="C454" s="3053"/>
      <c r="D454" s="3053"/>
      <c r="E454" s="3053"/>
      <c r="F454" s="3053"/>
      <c r="G454" s="3053"/>
      <c r="H454" s="3053"/>
      <c r="I454" s="3056"/>
    </row>
    <row r="455" spans="1:9" ht="15.75" hidden="1" customHeight="1" x14ac:dyDescent="0.25">
      <c r="A455" s="3092"/>
      <c r="B455" s="3054"/>
      <c r="C455" s="3054"/>
      <c r="D455" s="3054"/>
      <c r="E455" s="3054"/>
      <c r="F455" s="3054"/>
      <c r="G455" s="3054"/>
      <c r="H455" s="3054"/>
      <c r="I455" s="3093"/>
    </row>
    <row r="456" spans="1:9" ht="15.75" hidden="1" customHeight="1" x14ac:dyDescent="0.25">
      <c r="A456" s="3092"/>
      <c r="B456" s="3054"/>
      <c r="C456" s="3054"/>
      <c r="D456" s="3054"/>
      <c r="E456" s="3054"/>
      <c r="F456" s="3054"/>
      <c r="G456" s="3054"/>
      <c r="H456" s="3054"/>
      <c r="I456" s="3093"/>
    </row>
    <row r="457" spans="1:9" ht="15.75" hidden="1" customHeight="1" x14ac:dyDescent="0.25">
      <c r="A457" s="3092"/>
      <c r="B457" s="3054"/>
      <c r="C457" s="3054"/>
      <c r="D457" s="3054"/>
      <c r="E457" s="3054"/>
      <c r="F457" s="3054"/>
      <c r="G457" s="3054"/>
      <c r="H457" s="3054"/>
      <c r="I457" s="3093"/>
    </row>
    <row r="458" spans="1:9" ht="15.75" hidden="1" customHeight="1" x14ac:dyDescent="0.25">
      <c r="A458" s="3057"/>
      <c r="B458" s="3058"/>
      <c r="C458" s="3058"/>
      <c r="D458" s="3058"/>
      <c r="E458" s="3058"/>
      <c r="F458" s="3058"/>
      <c r="G458" s="3058"/>
      <c r="H458" s="3058"/>
      <c r="I458" s="3059"/>
    </row>
    <row r="459" spans="1:9" ht="15.75" hidden="1" customHeight="1" x14ac:dyDescent="0.25">
      <c r="A459" s="1609"/>
      <c r="B459" s="1610"/>
      <c r="C459" s="1610"/>
      <c r="D459" s="1610"/>
      <c r="E459" s="1610"/>
      <c r="F459" s="1610"/>
      <c r="G459" s="1610"/>
      <c r="H459" s="1610"/>
      <c r="I459" s="1611"/>
    </row>
    <row r="460" spans="1:9" ht="15.75" hidden="1" customHeight="1" x14ac:dyDescent="0.25">
      <c r="A460" s="1612"/>
      <c r="B460" s="1613"/>
      <c r="C460" s="1613"/>
      <c r="D460" s="1613"/>
      <c r="E460" s="1613"/>
      <c r="F460" s="1613"/>
      <c r="G460" s="1613"/>
      <c r="H460" s="1613"/>
      <c r="I460" s="1614"/>
    </row>
    <row r="461" spans="1:9" ht="15.75" hidden="1" customHeight="1" x14ac:dyDescent="0.25">
      <c r="A461" s="3053" t="str">
        <f ca="1">IFERROR(IF(KALKULATION!E55&gt;0,"Wegen der vorgenommenen Umlage von unproduktivem Personal (B2.a) kann der zuvor angegebene AKV-Wert vom im K3-Blatt dargestellten Wert abweichen. Er liegt (gewichtet über produktivem und unproduktivem Personal) bei "&amp;TEXT(KALKULATION!H70,"0,0%")&amp;" (B3). ",""),$K$6)</f>
        <v xml:space="preserve">Wegen der vorgenommenen Umlage von unproduktivem Personal (B2.a) kann der zuvor angegebene AKV-Wert vom im K3-Blatt dargestellten Wert abweichen. Er liegt (gewichtet über produktivem und unproduktivem Personal) bei 14,3% (B3). </v>
      </c>
      <c r="B461" s="3053"/>
      <c r="C461" s="3053"/>
      <c r="D461" s="3053"/>
      <c r="E461" s="3053"/>
      <c r="F461" s="3053"/>
      <c r="G461" s="3053"/>
      <c r="H461" s="3053"/>
      <c r="I461" s="3053"/>
    </row>
    <row r="462" spans="1:9" ht="15.75" hidden="1" customHeight="1" x14ac:dyDescent="0.25">
      <c r="A462" s="3054"/>
      <c r="B462" s="3054"/>
      <c r="C462" s="3054"/>
      <c r="D462" s="3054"/>
      <c r="E462" s="3054"/>
      <c r="F462" s="3054"/>
      <c r="G462" s="3054"/>
      <c r="H462" s="3054"/>
      <c r="I462" s="3054"/>
    </row>
    <row r="463" spans="1:9" ht="15.75" hidden="1" customHeight="1" x14ac:dyDescent="0.25">
      <c r="A463" s="3054"/>
      <c r="B463" s="3054"/>
      <c r="C463" s="3054"/>
      <c r="D463" s="3054"/>
      <c r="E463" s="3054"/>
      <c r="F463" s="3054"/>
      <c r="G463" s="3054"/>
      <c r="H463" s="3054"/>
      <c r="I463" s="3054"/>
    </row>
    <row r="464" spans="1:9" ht="15.75" hidden="1" customHeight="1" x14ac:dyDescent="0.25">
      <c r="A464" s="3054"/>
      <c r="B464" s="3054"/>
      <c r="C464" s="3054"/>
      <c r="D464" s="3054"/>
      <c r="E464" s="3054"/>
      <c r="F464" s="3054"/>
      <c r="G464" s="3054"/>
      <c r="H464" s="3054"/>
      <c r="I464" s="3054"/>
    </row>
    <row r="465" spans="1:9" ht="15.75" hidden="1" customHeight="1" x14ac:dyDescent="0.25">
      <c r="A465" s="1610"/>
      <c r="B465" s="1610"/>
      <c r="C465" s="1610"/>
      <c r="D465" s="1610"/>
      <c r="E465" s="1610"/>
      <c r="F465" s="1610"/>
      <c r="G465" s="1610"/>
      <c r="H465" s="1610"/>
      <c r="I465" s="1610"/>
    </row>
    <row r="466" spans="1:9" ht="15.75" hidden="1" customHeight="1" x14ac:dyDescent="0.25">
      <c r="A466" s="3055" t="str">
        <f>IFERROR(IF(KALKULATION!H71&lt;&gt;0,"Dieses Rechenergebnis für AKV ist individuell um "&amp;TEXT(KALKULATION!H71,"0,00%")&amp;"-Punkt(e) angepasst (B3.b) und das AKV-Entgelt liegt daher  bei "&amp;TEXT(KALKULATION!H73,"0,0%")&amp;" bzw "&amp;TEXT(' K3 PP'!O24,"0,00€")&amp;". ",""),$K$6)</f>
        <v/>
      </c>
      <c r="B466" s="3053"/>
      <c r="C466" s="3053"/>
      <c r="D466" s="3053"/>
      <c r="E466" s="3053"/>
      <c r="F466" s="3053"/>
      <c r="G466" s="3053"/>
      <c r="H466" s="3053"/>
      <c r="I466" s="3056"/>
    </row>
    <row r="467" spans="1:9" ht="15.75" hidden="1" customHeight="1" x14ac:dyDescent="0.25">
      <c r="A467" s="3057"/>
      <c r="B467" s="3058"/>
      <c r="C467" s="3058"/>
      <c r="D467" s="3058"/>
      <c r="E467" s="3058"/>
      <c r="F467" s="3058"/>
      <c r="G467" s="3058"/>
      <c r="H467" s="3058"/>
      <c r="I467" s="3059"/>
    </row>
    <row r="468" spans="1:9" ht="15.75" hidden="1" customHeight="1" x14ac:dyDescent="0.25">
      <c r="A468" s="1615"/>
      <c r="B468" s="1616"/>
      <c r="C468" s="1616"/>
      <c r="D468" s="1616"/>
      <c r="E468" s="1616"/>
      <c r="F468" s="1616"/>
      <c r="G468" s="1616"/>
      <c r="H468" s="1616"/>
      <c r="I468" s="1616"/>
    </row>
    <row r="469" spans="1:9" ht="15.75" hidden="1" customHeight="1" x14ac:dyDescent="0.25">
      <c r="A469" s="1580" t="s">
        <v>325</v>
      </c>
      <c r="B469" s="1617"/>
      <c r="C469" s="1617"/>
      <c r="D469" s="1617"/>
      <c r="E469" s="1617"/>
      <c r="F469" s="1617"/>
      <c r="G469" s="1617"/>
      <c r="H469" s="1617"/>
      <c r="I469" s="1618"/>
    </row>
    <row r="470" spans="1:9" ht="15.75" hidden="1" customHeight="1" x14ac:dyDescent="0.25">
      <c r="A470" s="3055" t="str">
        <f ca="1">IFERROR(IF(KALKULATION!E55&gt;0,IF(KALKULATION!H56=0,"Eine Umlage für unproduktives Personal ist vorgenommen (B2.a) und dieses ist kalkulatorisch  dem Kreis der kalkulierten Beschäftigten entnommen (KZ=0 bei B2.a). ","Eine Umlage für unproduktives Personal ist vorgenommen (B2.a) und dafür ZUSÄTZLICHES Personal in Ansatz gebracht (zusätzlich zu der kalkulierten Beschäftigtenanzahl in B1 durch Setzen von KZ=1 in B2.a). "&amp;"Beachten Sie, dass für eine korrekte Preisbildung dieses Personal dem gleichen KollV wie das produktive Personal unterliegen muss. "&amp;"Bauleitung sollte im Wege dieser Umlage nicht erfasst werden, dafür, sofern keine eigenen Positionen im LV vorhanden sind, die Umlage in Pkt H (K3 Zeile 17) oder das K2a-Blatt verwenden. "),"Es ist kein Ansatz für unproduktive Tätigkeiten vorgenomen (B2.a)."),$K$6)</f>
        <v xml:space="preserve">Eine Umlage für unproduktives Personal ist vorgenommen (B2.a) und dieses ist kalkulatorisch  dem Kreis der kalkulierten Beschäftigten entnommen (KZ=0 bei B2.a). </v>
      </c>
      <c r="B470" s="3053"/>
      <c r="C470" s="3053"/>
      <c r="D470" s="3053"/>
      <c r="E470" s="3053"/>
      <c r="F470" s="3053"/>
      <c r="G470" s="3053"/>
      <c r="H470" s="3053"/>
      <c r="I470" s="3056"/>
    </row>
    <row r="471" spans="1:9" ht="15.75" hidden="1" customHeight="1" x14ac:dyDescent="0.25">
      <c r="A471" s="3092"/>
      <c r="B471" s="3054"/>
      <c r="C471" s="3054"/>
      <c r="D471" s="3054"/>
      <c r="E471" s="3054"/>
      <c r="F471" s="3054"/>
      <c r="G471" s="3054"/>
      <c r="H471" s="3054"/>
      <c r="I471" s="3093"/>
    </row>
    <row r="472" spans="1:9" ht="15.75" hidden="1" customHeight="1" x14ac:dyDescent="0.25">
      <c r="A472" s="3092"/>
      <c r="B472" s="3054"/>
      <c r="C472" s="3054"/>
      <c r="D472" s="3054"/>
      <c r="E472" s="3054"/>
      <c r="F472" s="3054"/>
      <c r="G472" s="3054"/>
      <c r="H472" s="3054"/>
      <c r="I472" s="3093"/>
    </row>
    <row r="473" spans="1:9" ht="15.75" hidden="1" customHeight="1" x14ac:dyDescent="0.25">
      <c r="A473" s="3092"/>
      <c r="B473" s="3054"/>
      <c r="C473" s="3054"/>
      <c r="D473" s="3054"/>
      <c r="E473" s="3054"/>
      <c r="F473" s="3054"/>
      <c r="G473" s="3054"/>
      <c r="H473" s="3054"/>
      <c r="I473" s="3093"/>
    </row>
    <row r="474" spans="1:9" ht="15.75" hidden="1" customHeight="1" x14ac:dyDescent="0.25">
      <c r="A474" s="3092"/>
      <c r="B474" s="3054"/>
      <c r="C474" s="3054"/>
      <c r="D474" s="3054"/>
      <c r="E474" s="3054"/>
      <c r="F474" s="3054"/>
      <c r="G474" s="3054"/>
      <c r="H474" s="3054"/>
      <c r="I474" s="3093"/>
    </row>
    <row r="475" spans="1:9" ht="15.75" hidden="1" customHeight="1" x14ac:dyDescent="0.25">
      <c r="A475" s="3057"/>
      <c r="B475" s="3058"/>
      <c r="C475" s="3058"/>
      <c r="D475" s="3058"/>
      <c r="E475" s="3058"/>
      <c r="F475" s="3058"/>
      <c r="G475" s="3058"/>
      <c r="H475" s="3058"/>
      <c r="I475" s="3059"/>
    </row>
    <row r="476" spans="1:9" ht="15.75" hidden="1" customHeight="1" x14ac:dyDescent="0.25">
      <c r="A476" s="1572"/>
      <c r="B476" s="1573"/>
      <c r="C476" s="1573"/>
      <c r="D476" s="1573"/>
      <c r="E476" s="1573"/>
      <c r="F476" s="1573"/>
      <c r="G476" s="1573"/>
      <c r="H476" s="1573"/>
      <c r="I476" s="1619"/>
    </row>
    <row r="477" spans="1:9" ht="15.75" hidden="1" customHeight="1" x14ac:dyDescent="0.25">
      <c r="A477" s="3069" t="str">
        <f>IFERROR(KALKULATION!J50,$K$6)</f>
        <v>Die Festlegung des unprod. Personals erfolgt gem B2.a als (Auswahl (3)) Anteil an der in B1 festgelegten Gesamtanzahl. Durch den relativen Bezug ändert sich die Anzahl des unprod. Personals bei Änderung der Anzahl in Pkt B1.</v>
      </c>
      <c r="B477" s="3070"/>
      <c r="C477" s="3070"/>
      <c r="D477" s="3070"/>
      <c r="E477" s="3070"/>
      <c r="F477" s="3070"/>
      <c r="G477" s="3070"/>
      <c r="H477" s="3070"/>
      <c r="I477" s="3071"/>
    </row>
    <row r="478" spans="1:9" ht="15.75" hidden="1" customHeight="1" x14ac:dyDescent="0.25">
      <c r="A478" s="3069"/>
      <c r="B478" s="3070"/>
      <c r="C478" s="3070"/>
      <c r="D478" s="3070"/>
      <c r="E478" s="3070"/>
      <c r="F478" s="3070"/>
      <c r="G478" s="3070"/>
      <c r="H478" s="3070"/>
      <c r="I478" s="3071"/>
    </row>
    <row r="479" spans="1:9" ht="15.75" hidden="1" customHeight="1" x14ac:dyDescent="0.25">
      <c r="A479" s="3069"/>
      <c r="B479" s="3070"/>
      <c r="C479" s="3070"/>
      <c r="D479" s="3070"/>
      <c r="E479" s="3070"/>
      <c r="F479" s="3070"/>
      <c r="G479" s="3070"/>
      <c r="H479" s="3070"/>
      <c r="I479" s="3071"/>
    </row>
    <row r="480" spans="1:9" ht="15.75" hidden="1" customHeight="1" x14ac:dyDescent="0.25">
      <c r="A480" s="1620"/>
      <c r="B480" s="1621"/>
      <c r="C480" s="1621"/>
      <c r="D480" s="1621"/>
      <c r="E480" s="1621"/>
      <c r="F480" s="1621"/>
      <c r="G480" s="1621"/>
      <c r="H480" s="1621"/>
      <c r="I480" s="1622"/>
    </row>
    <row r="481" spans="1:9" ht="15.75" hidden="1" customHeight="1" x14ac:dyDescent="0.25">
      <c r="A481" s="1620"/>
      <c r="B481" s="1621"/>
      <c r="C481" s="1621"/>
      <c r="D481" s="1621"/>
      <c r="E481" s="1621"/>
      <c r="F481" s="1621"/>
      <c r="G481" s="1621"/>
      <c r="H481" s="1621"/>
      <c r="I481" s="1622"/>
    </row>
    <row r="482" spans="1:9" ht="15.75" hidden="1" customHeight="1" x14ac:dyDescent="0.25">
      <c r="A482" s="1620"/>
      <c r="B482" s="1621"/>
      <c r="C482" s="1621"/>
      <c r="D482" s="1621"/>
      <c r="E482" s="1621"/>
      <c r="F482" s="1621"/>
      <c r="G482" s="1621"/>
      <c r="H482" s="1621"/>
      <c r="I482" s="1622"/>
    </row>
    <row r="483" spans="1:9" ht="15.75" hidden="1" customHeight="1" x14ac:dyDescent="0.25">
      <c r="A483" s="1571"/>
      <c r="B483" s="1518"/>
      <c r="C483" s="1518"/>
      <c r="D483" s="1518"/>
      <c r="E483" s="1518"/>
      <c r="F483" s="1518"/>
      <c r="G483" s="1518"/>
      <c r="H483" s="1518"/>
      <c r="I483" s="1623"/>
    </row>
    <row r="484" spans="1:9" ht="15.75" hidden="1" customHeight="1" x14ac:dyDescent="0.25">
      <c r="A484" s="1593" t="str">
        <f ca="1">IF(KALKULATION!E55&lt;&gt;0,IF(COUNTA(KALKULATION!A53:C54)=2,KALKULATION!A53&amp;", "&amp;KALKULATION!A54,KALKULATION!A53&amp;KALKULATION!A54),"")</f>
        <v>IIa.    Vorarbeiter, IIb.   Facharbeiter</v>
      </c>
      <c r="B484" s="1594"/>
      <c r="C484" s="1594"/>
      <c r="D484" s="1595"/>
      <c r="E484" s="1594"/>
      <c r="F484" s="1594"/>
      <c r="G484" s="1594"/>
      <c r="H484" s="1594"/>
      <c r="I484" s="1595"/>
    </row>
    <row r="485" spans="1:9" ht="15.75" hidden="1" customHeight="1" x14ac:dyDescent="0.25">
      <c r="A485" s="1602" t="s">
        <v>453</v>
      </c>
      <c r="B485" s="1600"/>
      <c r="C485" s="1624">
        <f ca="1">KALKULATION!H57/KALKULATION!G57</f>
        <v>0.1111</v>
      </c>
      <c r="D485" s="1600"/>
      <c r="E485" s="1600"/>
      <c r="F485" s="1600"/>
      <c r="G485" s="1600"/>
      <c r="H485" s="1600"/>
      <c r="I485" s="1601"/>
    </row>
    <row r="486" spans="1:9" ht="15.75" hidden="1" customHeight="1" x14ac:dyDescent="0.25">
      <c r="A486" s="3055" t="str">
        <f ca="1">IFERROR(IF(KALKULATION!E55&gt;0,"
Die Umlage betrifft das Ausmaß von "&amp;TEXT(KALKULATION!E55,"0,00")&amp;" Person(en) / Köpfe und setzt sich wie folgt zusammen: ["&amp;A484&amp;"]. Die 'produktiv' tätige Personenanzahl, jenes Personal das die verkaufbare Leistung erbringt, beträgt "&amp;TEXT(KALKULATION!G57,"0,00")&amp;" (Köpfe). Der Umlageprozentsatz nach 'Köpfen' beträgt "&amp;TEXT(KALKULATION!H57/KALKULATION!G57,"0,00%")&amp;" (die wertmäßige Umlage kann davon abweichen). "&amp;A492,""),$K$6)</f>
        <v xml:space="preserve">
Die Umlage betrifft das Ausmaß von 0,70 Person(en) / Köpfe und setzt sich wie folgt zusammen: [IIa.    Vorarbeiter, IIb.   Facharbeiter]. Die 'produktiv' tätige Personenanzahl, jenes Personal das die verkaufbare Leistung erbringt, beträgt 6,30 (Köpfe). Der Umlageprozentsatz nach 'Köpfen' beträgt 11,11% (die wertmäßige Umlage kann davon abweichen). </v>
      </c>
      <c r="B486" s="3053"/>
      <c r="C486" s="3053"/>
      <c r="D486" s="3053"/>
      <c r="E486" s="3053"/>
      <c r="F486" s="3053"/>
      <c r="G486" s="3053"/>
      <c r="H486" s="3053"/>
      <c r="I486" s="3056"/>
    </row>
    <row r="487" spans="1:9" ht="15.75" hidden="1" customHeight="1" x14ac:dyDescent="0.25">
      <c r="A487" s="3092"/>
      <c r="B487" s="3054"/>
      <c r="C487" s="3054"/>
      <c r="D487" s="3054"/>
      <c r="E487" s="3054"/>
      <c r="F487" s="3054"/>
      <c r="G487" s="3054"/>
      <c r="H487" s="3054"/>
      <c r="I487" s="3093"/>
    </row>
    <row r="488" spans="1:9" ht="15.75" hidden="1" customHeight="1" x14ac:dyDescent="0.25">
      <c r="A488" s="3092"/>
      <c r="B488" s="3054"/>
      <c r="C488" s="3054"/>
      <c r="D488" s="3054"/>
      <c r="E488" s="3054"/>
      <c r="F488" s="3054"/>
      <c r="G488" s="3054"/>
      <c r="H488" s="3054"/>
      <c r="I488" s="3093"/>
    </row>
    <row r="489" spans="1:9" ht="15.75" hidden="1" customHeight="1" x14ac:dyDescent="0.25">
      <c r="A489" s="3092"/>
      <c r="B489" s="3054"/>
      <c r="C489" s="3054"/>
      <c r="D489" s="3054"/>
      <c r="E489" s="3054"/>
      <c r="F489" s="3054"/>
      <c r="G489" s="3054"/>
      <c r="H489" s="3054"/>
      <c r="I489" s="3093"/>
    </row>
    <row r="490" spans="1:9" ht="15.75" hidden="1" customHeight="1" x14ac:dyDescent="0.25">
      <c r="A490" s="3057"/>
      <c r="B490" s="3058"/>
      <c r="C490" s="3058"/>
      <c r="D490" s="3058"/>
      <c r="E490" s="3058"/>
      <c r="F490" s="3058"/>
      <c r="G490" s="3058"/>
      <c r="H490" s="3058"/>
      <c r="I490" s="3059"/>
    </row>
    <row r="491" spans="1:9" ht="15.75" hidden="1" customHeight="1" x14ac:dyDescent="0.25">
      <c r="A491" s="1571"/>
      <c r="B491" s="1518"/>
      <c r="C491" s="1518"/>
      <c r="D491" s="1518"/>
      <c r="E491" s="1518"/>
      <c r="F491" s="1518"/>
      <c r="G491" s="1518"/>
      <c r="H491" s="1518"/>
      <c r="I491" s="1518"/>
    </row>
    <row r="492" spans="1:9" ht="15.75" hidden="1" customHeight="1" x14ac:dyDescent="0.25">
      <c r="A492" s="3094" t="str">
        <f ca="1">IF(OR(C485&gt;F7,C485&lt;G7),"
Hinweis zur Höhe der Umlage: "&amp;$K$4,"")</f>
        <v/>
      </c>
      <c r="B492" s="3091"/>
      <c r="C492" s="3091"/>
      <c r="D492" s="3091"/>
      <c r="E492" s="3091"/>
      <c r="F492" s="3091"/>
      <c r="G492" s="3091"/>
      <c r="H492" s="3091"/>
      <c r="I492" s="3091"/>
    </row>
    <row r="493" spans="1:9" ht="15.75" hidden="1" customHeight="1" x14ac:dyDescent="0.25">
      <c r="A493" s="3094"/>
      <c r="B493" s="3091"/>
      <c r="C493" s="3091"/>
      <c r="D493" s="3091"/>
      <c r="E493" s="3091"/>
      <c r="F493" s="3091"/>
      <c r="G493" s="3091"/>
      <c r="H493" s="3091"/>
      <c r="I493" s="3091"/>
    </row>
    <row r="494" spans="1:9" ht="15.75" hidden="1" customHeight="1" x14ac:dyDescent="0.25">
      <c r="A494" s="1571"/>
      <c r="B494" s="1518"/>
      <c r="C494" s="1518"/>
      <c r="D494" s="1518"/>
      <c r="E494" s="1518"/>
      <c r="F494" s="1518"/>
      <c r="G494" s="1518"/>
      <c r="H494" s="1518"/>
      <c r="I494" s="1518"/>
    </row>
    <row r="495" spans="1:9" ht="15.75" hidden="1" customHeight="1" x14ac:dyDescent="0.25">
      <c r="A495" s="1571"/>
      <c r="B495" s="1518"/>
      <c r="C495" s="1518"/>
      <c r="D495" s="1518"/>
      <c r="E495" s="1518"/>
      <c r="F495" s="1518"/>
      <c r="G495" s="1518"/>
      <c r="H495" s="1518"/>
      <c r="I495" s="1518"/>
    </row>
    <row r="496" spans="1:9" ht="15.75" hidden="1" customHeight="1" x14ac:dyDescent="0.25">
      <c r="A496" s="1571"/>
      <c r="B496" s="1518"/>
      <c r="C496" s="1518"/>
      <c r="D496" s="1518"/>
      <c r="E496" s="1518"/>
      <c r="F496" s="1518"/>
      <c r="G496" s="1518"/>
      <c r="H496" s="1518"/>
      <c r="I496" s="1518"/>
    </row>
    <row r="497" spans="1:9" ht="15.75" hidden="1" customHeight="1" x14ac:dyDescent="0.25">
      <c r="A497" s="1615"/>
      <c r="B497" s="1616"/>
      <c r="C497" s="1616"/>
      <c r="D497" s="1616"/>
      <c r="E497" s="1616"/>
      <c r="F497" s="1616"/>
      <c r="G497" s="1616"/>
      <c r="H497" s="1616"/>
      <c r="I497" s="1616"/>
    </row>
    <row r="498" spans="1:9" ht="15.75" hidden="1" customHeight="1" x14ac:dyDescent="0.25">
      <c r="A498" s="1625" t="str">
        <f>IF(KALKULATION!A61="","--- ohne Angaben ---",KALKULATION!A61)</f>
        <v>--- ohne Angaben ---</v>
      </c>
      <c r="B498" s="1626"/>
      <c r="C498" s="1626"/>
      <c r="D498" s="1626"/>
      <c r="E498" s="1626"/>
      <c r="F498" s="1626"/>
      <c r="G498" s="1626" t="s">
        <v>454</v>
      </c>
      <c r="H498" s="1626"/>
      <c r="I498" s="1627">
        <f>KALKULATION!G61</f>
        <v>0</v>
      </c>
    </row>
    <row r="499" spans="1:9" ht="15.75" hidden="1" customHeight="1" x14ac:dyDescent="0.25">
      <c r="A499" s="3055" t="str">
        <f>IFERROR(IF(KALKULATION!G61&gt;0,"
Es sind  sonstige unproduktive Zeiten (B2.b) wegen ["&amp;A498&amp;"] angesetzt, die zu einem Aufschlag von "&amp;TEXT(I498,"0,00%")&amp;" führen. "&amp;A506&amp;"Veranschaulicht ausgedrückt, bedeutet das "&amp;TEXT(KALKULATION!C68,"0,00")&amp;". unproduktive 'Köpfe', weshalb produktive "&amp;TEXT(KALKULATION!C67,"0,00")&amp;" 'Köpfe' verbleiben. ","
Es ist kein Ansatz für sonstige unproduktive Zeiten (B2.b) vorgenommen. "),$K$6)</f>
        <v xml:space="preserve">
Es ist kein Ansatz für sonstige unproduktive Zeiten (B2.b) vorgenommen. </v>
      </c>
      <c r="B499" s="3053"/>
      <c r="C499" s="3053"/>
      <c r="D499" s="3053"/>
      <c r="E499" s="3053"/>
      <c r="F499" s="3053"/>
      <c r="G499" s="3053"/>
      <c r="H499" s="3053"/>
      <c r="I499" s="3056"/>
    </row>
    <row r="500" spans="1:9" ht="15.75" hidden="1" customHeight="1" x14ac:dyDescent="0.25">
      <c r="A500" s="3092"/>
      <c r="B500" s="3054"/>
      <c r="C500" s="3054"/>
      <c r="D500" s="3054"/>
      <c r="E500" s="3054"/>
      <c r="F500" s="3054"/>
      <c r="G500" s="3054"/>
      <c r="H500" s="3054"/>
      <c r="I500" s="3093"/>
    </row>
    <row r="501" spans="1:9" ht="15.75" hidden="1" customHeight="1" x14ac:dyDescent="0.25">
      <c r="A501" s="3092"/>
      <c r="B501" s="3054"/>
      <c r="C501" s="3054"/>
      <c r="D501" s="3054"/>
      <c r="E501" s="3054"/>
      <c r="F501" s="3054"/>
      <c r="G501" s="3054"/>
      <c r="H501" s="3054"/>
      <c r="I501" s="3093"/>
    </row>
    <row r="502" spans="1:9" ht="15.75" hidden="1" customHeight="1" x14ac:dyDescent="0.25">
      <c r="A502" s="3092"/>
      <c r="B502" s="3054"/>
      <c r="C502" s="3054"/>
      <c r="D502" s="3054"/>
      <c r="E502" s="3054"/>
      <c r="F502" s="3054"/>
      <c r="G502" s="3054"/>
      <c r="H502" s="3054"/>
      <c r="I502" s="3093"/>
    </row>
    <row r="503" spans="1:9" ht="15.75" hidden="1" customHeight="1" x14ac:dyDescent="0.25">
      <c r="A503" s="3092"/>
      <c r="B503" s="3054"/>
      <c r="C503" s="3054"/>
      <c r="D503" s="3054"/>
      <c r="E503" s="3054"/>
      <c r="F503" s="3054"/>
      <c r="G503" s="3054"/>
      <c r="H503" s="3054"/>
      <c r="I503" s="3093"/>
    </row>
    <row r="504" spans="1:9" ht="15.75" hidden="1" customHeight="1" x14ac:dyDescent="0.25">
      <c r="A504" s="3057"/>
      <c r="B504" s="3058"/>
      <c r="C504" s="3058"/>
      <c r="D504" s="3058"/>
      <c r="E504" s="3058"/>
      <c r="F504" s="3058"/>
      <c r="G504" s="3058"/>
      <c r="H504" s="3058"/>
      <c r="I504" s="3059"/>
    </row>
    <row r="505" spans="1:9" ht="15.75" hidden="1" customHeight="1" x14ac:dyDescent="0.25">
      <c r="A505" s="1572"/>
      <c r="B505" s="1573"/>
      <c r="C505" s="1573"/>
      <c r="D505" s="1573"/>
      <c r="E505" s="1573"/>
      <c r="F505" s="1573"/>
      <c r="G505" s="1573"/>
      <c r="H505" s="1573"/>
      <c r="I505" s="1573"/>
    </row>
    <row r="506" spans="1:9" ht="15.75" hidden="1" customHeight="1" x14ac:dyDescent="0.25">
      <c r="A506" s="3094" t="str">
        <f>IF(OR(I498&gt;F8,I498&lt;G8),"Hinweis zur Höhe: "&amp;$K$4,"")</f>
        <v/>
      </c>
      <c r="B506" s="3091"/>
      <c r="C506" s="3091"/>
      <c r="D506" s="3091"/>
      <c r="E506" s="3091"/>
      <c r="F506" s="3091"/>
      <c r="G506" s="3091"/>
      <c r="H506" s="3091"/>
      <c r="I506" s="3091"/>
    </row>
    <row r="507" spans="1:9" ht="15.75" hidden="1" customHeight="1" x14ac:dyDescent="0.25">
      <c r="A507" s="3094"/>
      <c r="B507" s="3091"/>
      <c r="C507" s="3091"/>
      <c r="D507" s="3091"/>
      <c r="E507" s="3091"/>
      <c r="F507" s="3091"/>
      <c r="G507" s="3091"/>
      <c r="H507" s="3091"/>
      <c r="I507" s="3091"/>
    </row>
    <row r="508" spans="1:9" ht="15.75" hidden="1" customHeight="1" x14ac:dyDescent="0.25">
      <c r="A508" s="1577"/>
      <c r="B508" s="1578"/>
      <c r="C508" s="1578"/>
      <c r="D508" s="1578"/>
      <c r="E508" s="1578"/>
      <c r="F508" s="1578"/>
      <c r="G508" s="1578"/>
      <c r="H508" s="1578"/>
      <c r="I508" s="1578"/>
    </row>
    <row r="509" spans="1:9" ht="15.75" hidden="1" customHeight="1" x14ac:dyDescent="0.25">
      <c r="A509" s="3055" t="str">
        <f ca="1">IFERROR(IF(KALKULATION!H63&lt;&gt;0,"
Die Ansätze für unproduktives Personal (B2.a) und/oder sonstige unproduktive Zeiten (B2.b) ergeben einen Aufschlag nach 'Köpfen' von "&amp;TEXT(KALKULATION!H63/KALKULATION!F63*100,"0,00")&amp;"% bzw kalkulatorisch einen monetären Aufschlag in Höhe von "&amp;TEXT(KALKULATION!G70,"0,00%")&amp;". ",""),$K$6)</f>
        <v xml:space="preserve">
Die Ansätze für unproduktives Personal (B2.a) und/oder sonstige unproduktive Zeiten (B2.b) ergeben einen Aufschlag nach 'Köpfen' von 11,11% bzw kalkulatorisch einen monetären Aufschlag in Höhe von 11,93%. </v>
      </c>
      <c r="B509" s="3053"/>
      <c r="C509" s="3053"/>
      <c r="D509" s="3053"/>
      <c r="E509" s="3053"/>
      <c r="F509" s="3053"/>
      <c r="G509" s="3053"/>
      <c r="H509" s="3053"/>
      <c r="I509" s="3056"/>
    </row>
    <row r="510" spans="1:9" ht="15.75" hidden="1" customHeight="1" x14ac:dyDescent="0.25">
      <c r="A510" s="3092"/>
      <c r="B510" s="3054"/>
      <c r="C510" s="3054"/>
      <c r="D510" s="3054"/>
      <c r="E510" s="3054"/>
      <c r="F510" s="3054"/>
      <c r="G510" s="3054"/>
      <c r="H510" s="3054"/>
      <c r="I510" s="3093"/>
    </row>
    <row r="511" spans="1:9" ht="15.75" hidden="1" customHeight="1" x14ac:dyDescent="0.25">
      <c r="A511" s="3092"/>
      <c r="B511" s="3054"/>
      <c r="C511" s="3054"/>
      <c r="D511" s="3054"/>
      <c r="E511" s="3054"/>
      <c r="F511" s="3054"/>
      <c r="G511" s="3054"/>
      <c r="H511" s="3054"/>
      <c r="I511" s="3093"/>
    </row>
    <row r="512" spans="1:9" ht="15.75" hidden="1" customHeight="1" x14ac:dyDescent="0.25">
      <c r="A512" s="3092"/>
      <c r="B512" s="3054"/>
      <c r="C512" s="3054"/>
      <c r="D512" s="3054"/>
      <c r="E512" s="3054"/>
      <c r="F512" s="3054"/>
      <c r="G512" s="3054"/>
      <c r="H512" s="3054"/>
      <c r="I512" s="3093"/>
    </row>
    <row r="513" spans="1:9" ht="15.75" hidden="1" customHeight="1" x14ac:dyDescent="0.25">
      <c r="A513" s="3057"/>
      <c r="B513" s="3058"/>
      <c r="C513" s="3058"/>
      <c r="D513" s="3058"/>
      <c r="E513" s="3058"/>
      <c r="F513" s="3058"/>
      <c r="G513" s="3058"/>
      <c r="H513" s="3058"/>
      <c r="I513" s="3059"/>
    </row>
    <row r="514" spans="1:9" ht="15.75" hidden="1" customHeight="1" x14ac:dyDescent="0.25">
      <c r="A514" s="1578"/>
      <c r="B514" s="1578"/>
      <c r="C514" s="1578"/>
      <c r="D514" s="1578"/>
      <c r="E514" s="1578"/>
      <c r="F514" s="1578"/>
      <c r="G514" s="1578"/>
      <c r="H514" s="1578"/>
      <c r="I514" s="1578"/>
    </row>
    <row r="515" spans="1:9" ht="15.75" hidden="1" customHeight="1" x14ac:dyDescent="0.25">
      <c r="A515" s="3055" t="str">
        <f>IFERROR(IF(KALKULATION!G71&lt;&gt;0,"
Das Rechenergebnis für die gesamten unproduktiven Zeiten ist individuell um "&amp;TEXT(KALKULATION!G71*100,"0,00")&amp;"%-Punkte angepasst (B3.b); insgesamt beträgt der Zuschlag daher "&amp;TEXT(KALKULATION!G72,"0,00%")&amp;". ",""),$K$6)</f>
        <v/>
      </c>
      <c r="B515" s="3053"/>
      <c r="C515" s="3053"/>
      <c r="D515" s="3053"/>
      <c r="E515" s="3053"/>
      <c r="F515" s="3053"/>
      <c r="G515" s="3053"/>
      <c r="H515" s="3053"/>
      <c r="I515" s="3056"/>
    </row>
    <row r="516" spans="1:9" ht="15.75" hidden="1" customHeight="1" x14ac:dyDescent="0.25">
      <c r="A516" s="3092"/>
      <c r="B516" s="3054"/>
      <c r="C516" s="3054"/>
      <c r="D516" s="3054"/>
      <c r="E516" s="3054"/>
      <c r="F516" s="3054"/>
      <c r="G516" s="3054"/>
      <c r="H516" s="3054"/>
      <c r="I516" s="3093"/>
    </row>
    <row r="517" spans="1:9" ht="15.75" hidden="1" customHeight="1" x14ac:dyDescent="0.25">
      <c r="A517" s="3057"/>
      <c r="B517" s="3058"/>
      <c r="C517" s="3058"/>
      <c r="D517" s="3058"/>
      <c r="E517" s="3058"/>
      <c r="F517" s="3058"/>
      <c r="G517" s="3058"/>
      <c r="H517" s="3058"/>
      <c r="I517" s="3059"/>
    </row>
    <row r="518" spans="1:9" ht="15.75" hidden="1" customHeight="1" x14ac:dyDescent="0.25">
      <c r="A518" s="1628"/>
      <c r="B518" s="1578"/>
      <c r="C518" s="1578"/>
      <c r="D518" s="1578"/>
      <c r="E518" s="1578"/>
      <c r="F518" s="1578"/>
      <c r="G518" s="1578"/>
      <c r="H518" s="1578"/>
      <c r="I518" s="1578"/>
    </row>
    <row r="519" spans="1:9" ht="15.75" hidden="1" customHeight="1" x14ac:dyDescent="0.25">
      <c r="A519" s="3055"/>
      <c r="B519" s="3053"/>
      <c r="C519" s="3053"/>
      <c r="D519" s="3053"/>
      <c r="E519" s="3053"/>
      <c r="F519" s="3053"/>
      <c r="G519" s="3053"/>
      <c r="H519" s="3053"/>
      <c r="I519" s="3056"/>
    </row>
    <row r="520" spans="1:9" ht="15.75" hidden="1" customHeight="1" x14ac:dyDescent="0.25">
      <c r="A520" s="3092"/>
      <c r="B520" s="3054"/>
      <c r="C520" s="3054"/>
      <c r="D520" s="3054"/>
      <c r="E520" s="3054"/>
      <c r="F520" s="3054"/>
      <c r="G520" s="3054"/>
      <c r="H520" s="3054"/>
      <c r="I520" s="3093"/>
    </row>
    <row r="521" spans="1:9" ht="15.75" hidden="1" customHeight="1" x14ac:dyDescent="0.25">
      <c r="A521" s="3092"/>
      <c r="B521" s="3054"/>
      <c r="C521" s="3054"/>
      <c r="D521" s="3054"/>
      <c r="E521" s="3054"/>
      <c r="F521" s="3054"/>
      <c r="G521" s="3054"/>
      <c r="H521" s="3054"/>
      <c r="I521" s="3093"/>
    </row>
    <row r="522" spans="1:9" ht="15.75" hidden="1" customHeight="1" x14ac:dyDescent="0.25">
      <c r="A522" s="3092"/>
      <c r="B522" s="3054"/>
      <c r="C522" s="3054"/>
      <c r="D522" s="3054"/>
      <c r="E522" s="3054"/>
      <c r="F522" s="3054"/>
      <c r="G522" s="3054"/>
      <c r="H522" s="3054"/>
      <c r="I522" s="3093"/>
    </row>
    <row r="523" spans="1:9" ht="15.75" hidden="1" customHeight="1" x14ac:dyDescent="0.25">
      <c r="A523" s="3057"/>
      <c r="B523" s="3058"/>
      <c r="C523" s="3058"/>
      <c r="D523" s="3058"/>
      <c r="E523" s="3058"/>
      <c r="F523" s="3058"/>
      <c r="G523" s="3058"/>
      <c r="H523" s="3058"/>
      <c r="I523" s="3059"/>
    </row>
    <row r="524" spans="1:9" ht="15.75" hidden="1" customHeight="1" x14ac:dyDescent="0.25">
      <c r="A524" s="1629"/>
      <c r="B524" s="1578"/>
      <c r="C524" s="1578"/>
      <c r="D524" s="1578"/>
      <c r="E524" s="1578"/>
      <c r="F524" s="1578"/>
      <c r="G524" s="1578"/>
      <c r="H524" s="1578"/>
      <c r="I524" s="1578"/>
    </row>
    <row r="525" spans="1:9" hidden="1" x14ac:dyDescent="0.25">
      <c r="A525" s="1629"/>
      <c r="B525" s="1578"/>
      <c r="C525" s="1578"/>
      <c r="D525" s="1578"/>
      <c r="E525" s="1578"/>
      <c r="F525" s="1578"/>
      <c r="G525" s="1578"/>
      <c r="H525" s="1578"/>
      <c r="I525" s="1578"/>
    </row>
    <row r="526" spans="1:9" hidden="1" x14ac:dyDescent="0.25">
      <c r="A526" s="1572"/>
      <c r="B526" s="1573"/>
      <c r="C526" s="1573"/>
      <c r="D526" s="1573"/>
      <c r="E526" s="1573"/>
      <c r="F526" s="1573"/>
      <c r="G526" s="1573"/>
      <c r="H526" s="1573"/>
      <c r="I526" s="1573"/>
    </row>
    <row r="527" spans="1:9" hidden="1" x14ac:dyDescent="0.25">
      <c r="A527" s="1571"/>
      <c r="B527" s="1518"/>
      <c r="C527" s="1518"/>
      <c r="D527" s="1518"/>
      <c r="E527" s="1518"/>
      <c r="F527" s="1518"/>
      <c r="G527" s="1518"/>
      <c r="H527" s="1518"/>
      <c r="I527" s="1518"/>
    </row>
    <row r="528" spans="1:9" hidden="1" x14ac:dyDescent="0.25">
      <c r="A528" s="1630" t="s">
        <v>326</v>
      </c>
      <c r="B528" s="1333"/>
      <c r="C528" s="1333"/>
      <c r="D528" s="1333"/>
      <c r="E528" s="1333"/>
      <c r="F528" s="1333"/>
      <c r="G528" s="1333"/>
      <c r="H528" s="1333"/>
      <c r="I528" s="1333"/>
    </row>
    <row r="529" spans="1:9" hidden="1" x14ac:dyDescent="0.25">
      <c r="A529" s="3053" t="str">
        <f ca="1">IFERROR("Die Arbeitszeit ist mit "&amp;' K3 PP'!P19&amp;" Std pro Woche angesetzt (kollektivvertragliche Arbeitszeit gem Stammdaten/Quelldatei ist "&amp;' K3 PP'!P9&amp;" Std/Wo). ",$K$6)</f>
        <v xml:space="preserve">Die Arbeitszeit ist mit 42 Std pro Woche angesetzt (kollektivvertragliche Arbeitszeit gem Stammdaten/Quelldatei ist 39 Std/Wo). </v>
      </c>
      <c r="B529" s="3053"/>
      <c r="C529" s="3053"/>
      <c r="D529" s="3053"/>
      <c r="E529" s="3053"/>
      <c r="F529" s="3053"/>
      <c r="G529" s="3053"/>
      <c r="H529" s="3053"/>
      <c r="I529" s="3053"/>
    </row>
    <row r="530" spans="1:9" hidden="1" x14ac:dyDescent="0.25">
      <c r="A530" s="3054"/>
      <c r="B530" s="3054"/>
      <c r="C530" s="3054"/>
      <c r="D530" s="3054"/>
      <c r="E530" s="3054"/>
      <c r="F530" s="3054"/>
      <c r="G530" s="3054"/>
      <c r="H530" s="3054"/>
      <c r="I530" s="3054"/>
    </row>
    <row r="531" spans="1:9" hidden="1" x14ac:dyDescent="0.25"/>
    <row r="532" spans="1:9" hidden="1" x14ac:dyDescent="0.25">
      <c r="A532" s="1631" t="s">
        <v>292</v>
      </c>
      <c r="B532" s="1632"/>
      <c r="C532" s="1632"/>
      <c r="D532" s="1632"/>
      <c r="E532" s="1632"/>
      <c r="F532" s="1632"/>
      <c r="G532" s="1632"/>
      <c r="H532" s="1632"/>
      <c r="I532" s="1633"/>
    </row>
    <row r="533" spans="1:9" hidden="1" x14ac:dyDescent="0.25">
      <c r="A533" s="1634" t="s">
        <v>362</v>
      </c>
      <c r="B533" s="1635" t="s">
        <v>30</v>
      </c>
      <c r="C533" s="1635" t="s">
        <v>363</v>
      </c>
      <c r="D533" s="1635"/>
      <c r="E533" s="1635" t="s">
        <v>466</v>
      </c>
      <c r="F533" s="1635"/>
      <c r="G533" s="1635" t="s">
        <v>364</v>
      </c>
      <c r="H533" s="1635"/>
      <c r="I533" s="1636" t="s">
        <v>467</v>
      </c>
    </row>
    <row r="534" spans="1:9" hidden="1" x14ac:dyDescent="0.25">
      <c r="A534" s="1637">
        <f ca="1">' K3 PP'!P9</f>
        <v>39</v>
      </c>
      <c r="B534" s="1638">
        <v>0</v>
      </c>
      <c r="C534" s="1639">
        <f ca="1">C535*A535/A534</f>
        <v>1.51</v>
      </c>
      <c r="D534" s="1640">
        <f ca="1">D535-B535-C535+B534+C534</f>
        <v>27.17</v>
      </c>
      <c r="E534" s="1641">
        <f ca="1">E535-I540+G540</f>
        <v>1.2307999999999999</v>
      </c>
      <c r="F534" s="1642">
        <f ca="1">D534*(1+E534)</f>
        <v>60.61</v>
      </c>
      <c r="G534" s="1642">
        <f ca="1">G535*A535/A534</f>
        <v>2.0499999999999998</v>
      </c>
      <c r="H534" s="1642">
        <f ca="1">F534+G534</f>
        <v>62.66</v>
      </c>
      <c r="I534" s="1643">
        <f ca="1">H534-H535</f>
        <v>3.01</v>
      </c>
    </row>
    <row r="535" spans="1:9" hidden="1" x14ac:dyDescent="0.25">
      <c r="A535" s="1644">
        <f ca="1">' K3 PP'!P19</f>
        <v>42</v>
      </c>
      <c r="B535" s="1645">
        <f ca="1">G542</f>
        <v>0.94</v>
      </c>
      <c r="C535" s="1646">
        <f ca="1">' K3 PP'!O27</f>
        <v>1.4</v>
      </c>
      <c r="D535" s="1645">
        <f ca="1">' K3 PP'!O28</f>
        <v>28</v>
      </c>
      <c r="E535" s="1647">
        <f ca="1">SUM(' K3 PP'!K30:L32)</f>
        <v>1.0625</v>
      </c>
      <c r="F535" s="1648">
        <f ca="1">D535*(1+E535)</f>
        <v>57.75</v>
      </c>
      <c r="G535" s="1645">
        <f ca="1">' K3 PP'!O29</f>
        <v>1.9</v>
      </c>
      <c r="H535" s="1648">
        <f ca="1">F535+G535</f>
        <v>59.65</v>
      </c>
      <c r="I535" s="1649"/>
    </row>
    <row r="536" spans="1:9" hidden="1" x14ac:dyDescent="0.25">
      <c r="A536" s="1650" t="s">
        <v>476</v>
      </c>
      <c r="B536" s="1651">
        <f ca="1">KALKULATION!D256</f>
        <v>0.23699999999999999</v>
      </c>
      <c r="C536" s="1651">
        <f ca="1">KALKULATION!E256</f>
        <v>0</v>
      </c>
      <c r="D536" s="1651">
        <f ca="1">KALKULATION!F256</f>
        <v>0.14599999999999999</v>
      </c>
      <c r="E536" s="1652">
        <f ca="1">KALKULATION!G256</f>
        <v>0.56899999999999995</v>
      </c>
      <c r="F536" s="1653"/>
      <c r="G536" s="1654"/>
      <c r="H536" s="1653"/>
      <c r="I536" s="1653"/>
    </row>
    <row r="537" spans="1:9" hidden="1" x14ac:dyDescent="0.25">
      <c r="A537" s="1655"/>
      <c r="B537" s="1656">
        <f ca="1">IF(KALKULATION!G245=_Nein,1,KALKULATION!H247)</f>
        <v>1</v>
      </c>
      <c r="C537" s="1656">
        <f ca="1">B537</f>
        <v>1</v>
      </c>
      <c r="D537" s="1656">
        <f ca="1">B537</f>
        <v>1</v>
      </c>
      <c r="E537" s="1657">
        <f ca="1">B537</f>
        <v>1</v>
      </c>
      <c r="F537" s="1653"/>
      <c r="G537" s="1654"/>
      <c r="H537" s="1653"/>
      <c r="I537" s="1653"/>
    </row>
    <row r="538" spans="1:9" hidden="1" x14ac:dyDescent="0.25">
      <c r="A538" s="1655"/>
      <c r="C538" s="1656">
        <v>1</v>
      </c>
      <c r="D538" s="1656"/>
      <c r="E538" s="1657">
        <v>1</v>
      </c>
      <c r="F538" s="1658" t="s">
        <v>910</v>
      </c>
      <c r="G538" s="1659" t="s">
        <v>911</v>
      </c>
      <c r="H538" s="1653"/>
      <c r="I538" s="1653"/>
    </row>
    <row r="539" spans="1:9" hidden="1" x14ac:dyDescent="0.25">
      <c r="A539" s="1660"/>
      <c r="B539" s="1661"/>
      <c r="D539" s="1656">
        <f ca="1">I539/H539</f>
        <v>0.97040000000000004</v>
      </c>
      <c r="E539" s="1657">
        <f ca="1">D539</f>
        <v>0.97040000000000004</v>
      </c>
      <c r="F539" s="1653">
        <f ca="1">KALKULATION!H251</f>
        <v>6.18</v>
      </c>
      <c r="G539" s="1653">
        <f ca="1">F539-G542</f>
        <v>5.24</v>
      </c>
      <c r="H539" s="1653">
        <f ca="1">KALKULATION!S235</f>
        <v>28</v>
      </c>
      <c r="I539" s="1653">
        <f ca="1">H539-B535-C535+C534</f>
        <v>27.17</v>
      </c>
    </row>
    <row r="540" spans="1:9" hidden="1" x14ac:dyDescent="0.25">
      <c r="A540" s="1662" t="s">
        <v>477</v>
      </c>
      <c r="B540" s="1663">
        <f ca="1">B536*B537</f>
        <v>0.23699999999999999</v>
      </c>
      <c r="C540" s="1663">
        <f ca="1">C536*C537*C538</f>
        <v>0</v>
      </c>
      <c r="D540" s="1663">
        <f ca="1">D536*D537*D539</f>
        <v>0.14169999999999999</v>
      </c>
      <c r="E540" s="1664">
        <f ca="1">E536*E537*E538*E539</f>
        <v>0.55220000000000002</v>
      </c>
      <c r="F540" s="883" t="s">
        <v>912</v>
      </c>
      <c r="G540" s="1665">
        <f ca="1">SUM(B540:E540)</f>
        <v>0.93089999999999995</v>
      </c>
      <c r="H540" s="1666" t="s">
        <v>478</v>
      </c>
      <c r="I540" s="1664">
        <f ca="1">KALKULATION!H260</f>
        <v>0.76259999999999994</v>
      </c>
    </row>
    <row r="541" spans="1:9" hidden="1" x14ac:dyDescent="0.25">
      <c r="A541" s="1667"/>
      <c r="B541" s="1661"/>
      <c r="C541" s="1661"/>
      <c r="D541" s="1661"/>
      <c r="E541" s="1661"/>
      <c r="F541" s="1653"/>
      <c r="G541" s="1654"/>
      <c r="H541" s="1653"/>
      <c r="I541" s="1653"/>
    </row>
    <row r="542" spans="1:9" ht="17.850000000000001" hidden="1" customHeight="1" x14ac:dyDescent="0.25">
      <c r="A542" s="1662">
        <f ca="1">A535-A534</f>
        <v>3</v>
      </c>
      <c r="B542" s="1668"/>
      <c r="C542" s="1669" t="s">
        <v>295</v>
      </c>
      <c r="D542" s="1669"/>
      <c r="E542" s="1670">
        <f ca="1">KALKULATION!H95/KALKULATION!C95</f>
        <v>4.2900000000000001E-2</v>
      </c>
      <c r="F542" s="1642">
        <f ca="1">' K3 PP'!O23</f>
        <v>22</v>
      </c>
      <c r="G542" s="1671">
        <f ca="1">E542*F542</f>
        <v>0.94</v>
      </c>
      <c r="H542" s="1654"/>
      <c r="I542" s="1672"/>
    </row>
    <row r="543" spans="1:9" ht="17.850000000000001" hidden="1" customHeight="1" x14ac:dyDescent="0.25">
      <c r="A543" s="1673">
        <f>SUM(KALKULATION!C101:C103,KALKULATION!C107:C109)</f>
        <v>0</v>
      </c>
      <c r="B543" s="1674"/>
      <c r="C543" s="1674" t="s">
        <v>479</v>
      </c>
      <c r="D543" s="1675"/>
      <c r="E543" s="1676">
        <f ca="1">KALKULATION!H110/KALKULATION!C95</f>
        <v>0</v>
      </c>
      <c r="F543" s="1648">
        <f ca="1">F542</f>
        <v>22</v>
      </c>
      <c r="G543" s="1649">
        <f ca="1">E543*F543</f>
        <v>0</v>
      </c>
      <c r="H543" s="1654"/>
      <c r="I543" s="1677"/>
    </row>
    <row r="544" spans="1:9" hidden="1" x14ac:dyDescent="0.25">
      <c r="A544" s="1678" t="s">
        <v>365</v>
      </c>
      <c r="B544" s="1679"/>
      <c r="C544" s="1679"/>
      <c r="D544" s="1680"/>
      <c r="E544" s="1679"/>
      <c r="F544" s="1679"/>
      <c r="G544" s="1679"/>
      <c r="H544" s="1679"/>
      <c r="I544" s="1680"/>
    </row>
    <row r="545" spans="1:9" hidden="1" x14ac:dyDescent="0.25">
      <c r="A545" s="1681"/>
      <c r="B545" s="1682">
        <f>AVERAGE(KALKULATION!F90:F94)-1</f>
        <v>0</v>
      </c>
      <c r="C545" s="1682">
        <f ca="1">AVERAGE(KALKULATION!G90:G94)-1</f>
        <v>0.2</v>
      </c>
      <c r="D545" s="1683"/>
      <c r="E545" s="1684"/>
      <c r="F545" s="1684"/>
      <c r="G545" s="1684"/>
      <c r="H545" s="1684"/>
      <c r="I545" s="1683"/>
    </row>
    <row r="546" spans="1:9" ht="15.75" hidden="1" customHeight="1" x14ac:dyDescent="0.25">
      <c r="A546" s="3053" t="str">
        <f ca="1">IFERROR(IFERROR(IF(A542&lt;&gt;0,"
Als Differenz zur KV-Arbeitszeit bestehen "&amp;TEXT(A542,"0,00")&amp;" Std. Diese ergeben sich aus ["&amp;A563&amp;"]. Die Hinzurechnung für Mehrarbeit/Überstunden beträgt "&amp;TEXT(E542,"0,00%")&amp;" bzw "&amp;TEXT(G542,"0,00€")&amp;". Die Berechnung erfolgt auf Basis des jeweiligen Überstundenzuschlags und des KV-Entgelts  zuzüglich "&amp;TEXT(B545,"0,00%")&amp;", die sich aus Entgeltüberzahlungen und zuzüglich  "&amp;TEXT(C545,"0,00%")&amp;", die sich aus Erhöhungsfaktoren gem KollV ergeben. "&amp;A571,""),K6),$K$6)</f>
        <v xml:space="preserve">
Als Differenz zur KV-Arbeitszeit bestehen 3,00 Std. Diese ergeben sich aus [Überstunde 50% für 3,00 Std]. Die Hinzurechnung für Mehrarbeit/Überstunden beträgt 4,29% bzw 0,94€. Die Berechnung erfolgt auf Basis des jeweiligen Überstundenzuschlags und des KV-Entgelts  zuzüglich 0,00%, die sich aus Entgeltüberzahlungen und zuzüglich  20,00%, die sich aus Erhöhungsfaktoren gem KollV ergeben. </v>
      </c>
      <c r="B546" s="3053"/>
      <c r="C546" s="3053"/>
      <c r="D546" s="3053"/>
      <c r="E546" s="3053"/>
      <c r="F546" s="3053"/>
      <c r="G546" s="3053"/>
      <c r="H546" s="3053"/>
      <c r="I546" s="3053"/>
    </row>
    <row r="547" spans="1:9" hidden="1" x14ac:dyDescent="0.25">
      <c r="A547" s="3054"/>
      <c r="B547" s="3054"/>
      <c r="C547" s="3054"/>
      <c r="D547" s="3054"/>
      <c r="E547" s="3054"/>
      <c r="F547" s="3054"/>
      <c r="G547" s="3054"/>
      <c r="H547" s="3054"/>
      <c r="I547" s="3054"/>
    </row>
    <row r="548" spans="1:9" hidden="1" x14ac:dyDescent="0.25">
      <c r="A548" s="3054"/>
      <c r="B548" s="3054"/>
      <c r="C548" s="3054"/>
      <c r="D548" s="3054"/>
      <c r="E548" s="3054"/>
      <c r="F548" s="3054"/>
      <c r="G548" s="3054"/>
      <c r="H548" s="3054"/>
      <c r="I548" s="3054"/>
    </row>
    <row r="549" spans="1:9" hidden="1" x14ac:dyDescent="0.25">
      <c r="A549" s="3054"/>
      <c r="B549" s="3054"/>
      <c r="C549" s="3054"/>
      <c r="D549" s="3054"/>
      <c r="E549" s="3054"/>
      <c r="F549" s="3054"/>
      <c r="G549" s="3054"/>
      <c r="H549" s="3054"/>
      <c r="I549" s="3054"/>
    </row>
    <row r="550" spans="1:9" hidden="1" x14ac:dyDescent="0.25">
      <c r="A550" s="3054"/>
      <c r="B550" s="3054"/>
      <c r="C550" s="3054"/>
      <c r="D550" s="3054"/>
      <c r="E550" s="3054"/>
      <c r="F550" s="3054"/>
      <c r="G550" s="3054"/>
      <c r="H550" s="3054"/>
      <c r="I550" s="3054"/>
    </row>
    <row r="551" spans="1:9" hidden="1" x14ac:dyDescent="0.25">
      <c r="A551" s="3054"/>
      <c r="B551" s="3054"/>
      <c r="C551" s="3054"/>
      <c r="D551" s="3054"/>
      <c r="E551" s="3054"/>
      <c r="F551" s="3054"/>
      <c r="G551" s="3054"/>
      <c r="H551" s="3054"/>
      <c r="I551" s="3054"/>
    </row>
    <row r="552" spans="1:9" hidden="1" x14ac:dyDescent="0.25">
      <c r="A552" s="3054"/>
      <c r="B552" s="3054"/>
      <c r="C552" s="3054"/>
      <c r="D552" s="3054"/>
      <c r="E552" s="3054"/>
      <c r="F552" s="3054"/>
      <c r="G552" s="3054"/>
      <c r="H552" s="3054"/>
      <c r="I552" s="3054"/>
    </row>
    <row r="553" spans="1:9" hidden="1" x14ac:dyDescent="0.25">
      <c r="A553" s="3054"/>
      <c r="B553" s="3054"/>
      <c r="C553" s="3054"/>
      <c r="D553" s="3054"/>
      <c r="E553" s="3054"/>
      <c r="F553" s="3054"/>
      <c r="G553" s="3054"/>
      <c r="H553" s="3054"/>
      <c r="I553" s="3054"/>
    </row>
    <row r="554" spans="1:9" hidden="1" x14ac:dyDescent="0.25">
      <c r="A554" s="1573"/>
      <c r="B554" s="1573"/>
      <c r="C554" s="1573"/>
      <c r="D554" s="1573"/>
      <c r="E554" s="1573"/>
      <c r="F554" s="1573"/>
      <c r="G554" s="1573"/>
      <c r="H554" s="1573"/>
      <c r="I554" s="1573"/>
    </row>
    <row r="555" spans="1:9" hidden="1" x14ac:dyDescent="0.25">
      <c r="A555" s="1573"/>
      <c r="B555" s="1573"/>
      <c r="C555" s="1573"/>
      <c r="D555" s="1573"/>
      <c r="E555" s="1573"/>
      <c r="F555" s="1573"/>
      <c r="G555" s="1573"/>
      <c r="H555" s="1573"/>
      <c r="I555" s="1573"/>
    </row>
    <row r="556" spans="1:9" hidden="1" x14ac:dyDescent="0.25">
      <c r="A556" s="1685" t="str">
        <f>IF(OR(KALKULATION!A90="",KALKULATION!C90=0),"",KALKULATION!A90&amp;" für "&amp;TEXT(KALKULATION!C90,"0,00")&amp;" Std, ")</f>
        <v xml:space="preserve">Überstunde 50% für 3,00 Std, </v>
      </c>
      <c r="B556" s="1686"/>
      <c r="C556" s="1686"/>
      <c r="D556" s="1686"/>
      <c r="E556" s="1686"/>
      <c r="F556" s="1686"/>
      <c r="G556" s="1686"/>
      <c r="H556" s="1686"/>
      <c r="I556" s="1687"/>
    </row>
    <row r="557" spans="1:9" hidden="1" x14ac:dyDescent="0.25">
      <c r="A557" s="1678" t="str">
        <f>IF(OR(KALKULATION!A91="",KALKULATION!C91=0),"",KALKULATION!A91&amp;" für "&amp;TEXT(KALKULATION!C91,"0,00")&amp;" Std, ")</f>
        <v/>
      </c>
      <c r="B557" s="1688"/>
      <c r="C557" s="1688"/>
      <c r="D557" s="1688"/>
      <c r="E557" s="1688"/>
      <c r="F557" s="1688"/>
      <c r="G557" s="1688"/>
      <c r="H557" s="1688"/>
      <c r="I557" s="1689"/>
    </row>
    <row r="558" spans="1:9" hidden="1" x14ac:dyDescent="0.25">
      <c r="A558" s="1678" t="str">
        <f>IF(OR(KALKULATION!A92="",KALKULATION!C92=0),"",KALKULATION!A92&amp;" für "&amp;TEXT(KALKULATION!C92,"0,00")&amp;" Std, ")</f>
        <v/>
      </c>
      <c r="B558" s="1688"/>
      <c r="C558" s="1688"/>
      <c r="D558" s="1688"/>
      <c r="E558" s="1688"/>
      <c r="F558" s="1688"/>
      <c r="G558" s="1688"/>
      <c r="H558" s="1688"/>
      <c r="I558" s="1689"/>
    </row>
    <row r="559" spans="1:9" hidden="1" x14ac:dyDescent="0.25">
      <c r="A559" s="1678" t="str">
        <f>IF(OR(KALKULATION!A93="",KALKULATION!C93=0),"",KALKULATION!A93&amp;" für "&amp;TEXT(KALKULATION!C93,"0,00")&amp;" Std, ")</f>
        <v/>
      </c>
      <c r="B559" s="1688"/>
      <c r="C559" s="1688"/>
      <c r="D559" s="1688"/>
      <c r="E559" s="1688"/>
      <c r="F559" s="1688"/>
      <c r="G559" s="1688"/>
      <c r="H559" s="1688"/>
      <c r="I559" s="1689"/>
    </row>
    <row r="560" spans="1:9" hidden="1" x14ac:dyDescent="0.25">
      <c r="A560" s="1690" t="str">
        <f>IF(OR(KALKULATION!A94="",KALKULATION!C94=0),"",KALKULATION!A94&amp;" für "&amp;TEXT(KALKULATION!C94,"0,00")&amp;" Std, ")</f>
        <v/>
      </c>
      <c r="B560" s="1691"/>
      <c r="C560" s="1691"/>
      <c r="D560" s="1691"/>
      <c r="E560" s="1691"/>
      <c r="F560" s="1691"/>
      <c r="G560" s="1691"/>
      <c r="H560" s="1691"/>
      <c r="I560" s="1692"/>
    </row>
    <row r="561" spans="1:9" hidden="1" x14ac:dyDescent="0.25">
      <c r="A561" s="1678" t="str">
        <f>A556&amp;A557&amp;A558&amp;A559&amp;A560</f>
        <v xml:space="preserve">Überstunde 50% für 3,00 Std, </v>
      </c>
      <c r="B561" s="1688"/>
      <c r="C561" s="1688"/>
      <c r="D561" s="1688"/>
      <c r="E561" s="1688"/>
      <c r="F561" s="1688"/>
      <c r="G561" s="1688"/>
      <c r="H561" s="1688"/>
      <c r="I561" s="1689"/>
    </row>
    <row r="562" spans="1:9" hidden="1" x14ac:dyDescent="0.25">
      <c r="A562" s="1693">
        <f>LEN(A561)</f>
        <v>29</v>
      </c>
      <c r="B562" s="1688"/>
      <c r="C562" s="1688"/>
      <c r="D562" s="1688"/>
      <c r="E562" s="1688"/>
      <c r="F562" s="1688"/>
      <c r="G562" s="1688"/>
      <c r="H562" s="1688"/>
      <c r="I562" s="1689"/>
    </row>
    <row r="563" spans="1:9" hidden="1" x14ac:dyDescent="0.25">
      <c r="A563" s="1694" t="str">
        <f>IF(A562&gt;0,MID(A561,1,A562-2),"")</f>
        <v>Überstunde 50% für 3,00 Std</v>
      </c>
      <c r="B563" s="1691"/>
      <c r="C563" s="1691"/>
      <c r="D563" s="1691"/>
      <c r="E563" s="1691"/>
      <c r="F563" s="1691"/>
      <c r="G563" s="1691"/>
      <c r="H563" s="1691"/>
      <c r="I563" s="1692"/>
    </row>
    <row r="564" spans="1:9" hidden="1" x14ac:dyDescent="0.25">
      <c r="A564" s="1695"/>
      <c r="B564" s="1573"/>
      <c r="C564" s="1573"/>
      <c r="D564" s="1573"/>
      <c r="E564" s="1573"/>
      <c r="F564" s="1573"/>
      <c r="G564" s="1573"/>
      <c r="H564" s="1573"/>
      <c r="I564" s="1573"/>
    </row>
    <row r="565" spans="1:9" hidden="1" x14ac:dyDescent="0.25">
      <c r="A565" s="1696"/>
      <c r="B565" s="1697">
        <f>IF(KALKULATION!A90&lt;&gt;"",KALKULATION!E90,"")</f>
        <v>1</v>
      </c>
      <c r="C565" s="1686"/>
      <c r="D565" s="1686"/>
      <c r="E565" s="1687"/>
      <c r="F565" s="1573"/>
      <c r="G565" s="1573"/>
      <c r="H565" s="1573"/>
      <c r="I565" s="1573"/>
    </row>
    <row r="566" spans="1:9" hidden="1" x14ac:dyDescent="0.25">
      <c r="A566" s="1698"/>
      <c r="B566" s="1699" t="str">
        <f>IF(KALKULATION!A91&lt;&gt;"",KALKULATION!E91,"")</f>
        <v/>
      </c>
      <c r="C566" s="1688"/>
      <c r="D566" s="1688"/>
      <c r="E566" s="1689"/>
      <c r="F566" s="1573"/>
      <c r="G566" s="1573"/>
      <c r="H566" s="1573"/>
      <c r="I566" s="1573"/>
    </row>
    <row r="567" spans="1:9" hidden="1" x14ac:dyDescent="0.25">
      <c r="A567" s="1698"/>
      <c r="B567" s="1699" t="str">
        <f>IF(KALKULATION!A92&lt;&gt;"",KALKULATION!E92,"")</f>
        <v/>
      </c>
      <c r="C567" s="1688"/>
      <c r="D567" s="1688"/>
      <c r="E567" s="1689"/>
      <c r="F567" s="1573"/>
      <c r="G567" s="1573"/>
      <c r="H567" s="1573"/>
      <c r="I567" s="1573"/>
    </row>
    <row r="568" spans="1:9" hidden="1" x14ac:dyDescent="0.25">
      <c r="A568" s="1698"/>
      <c r="B568" s="1699" t="str">
        <f>IF(KALKULATION!A93&lt;&gt;"",KALKULATION!E93,"")</f>
        <v/>
      </c>
      <c r="C568" s="1688"/>
      <c r="D568" s="1688"/>
      <c r="E568" s="1689"/>
      <c r="F568" s="1573"/>
      <c r="G568" s="1573"/>
      <c r="H568" s="1573"/>
      <c r="I568" s="1573"/>
    </row>
    <row r="569" spans="1:9" hidden="1" x14ac:dyDescent="0.25">
      <c r="A569" s="1698"/>
      <c r="B569" s="1700" t="str">
        <f>IF(KALKULATION!A94&lt;&gt;"",KALKULATION!E94,"")</f>
        <v/>
      </c>
      <c r="C569" s="1688"/>
      <c r="D569" s="1688"/>
      <c r="E569" s="1689"/>
      <c r="F569" s="1573"/>
      <c r="G569" s="1573"/>
      <c r="H569" s="1573"/>
      <c r="I569" s="1573"/>
    </row>
    <row r="570" spans="1:9" hidden="1" x14ac:dyDescent="0.25">
      <c r="A570" s="1690"/>
      <c r="B570" s="1691"/>
      <c r="C570" s="1691"/>
      <c r="D570" s="1691">
        <f>MIN(B565:B569)</f>
        <v>1</v>
      </c>
      <c r="E570" s="1692">
        <f>MAX(B565:B569)</f>
        <v>1</v>
      </c>
      <c r="F570" s="1573"/>
      <c r="G570" s="1573"/>
      <c r="H570" s="1573"/>
      <c r="I570" s="1573"/>
    </row>
    <row r="571" spans="1:9" hidden="1" x14ac:dyDescent="0.25">
      <c r="A571" s="3155" t="str">
        <f>IFERROR(IF(D570&lt;&gt;E570,"(Hinweis: Es sind (in C1) jedoch unterschiedliche Kennzeichen für die Einstellung der Berechnung der Aufzahlung ausgewählt (von KZ="&amp;TEXT(D570,"0")&amp;" bis "&amp;TEXT(E570,"0")&amp;"). Prüfen Sie bitte anhand der Regelungen im KollV, ob unterschiedliche KZ tatsächlich zutreffend und korrekt sind.) ",""),$K$6)</f>
        <v/>
      </c>
      <c r="B571" s="3156"/>
      <c r="C571" s="3156"/>
      <c r="D571" s="3156"/>
      <c r="E571" s="3156"/>
      <c r="F571" s="3156"/>
      <c r="G571" s="3156"/>
      <c r="H571" s="3156"/>
      <c r="I571" s="3157"/>
    </row>
    <row r="572" spans="1:9" hidden="1" x14ac:dyDescent="0.25">
      <c r="A572" s="3158"/>
      <c r="B572" s="3159"/>
      <c r="C572" s="3159"/>
      <c r="D572" s="3159"/>
      <c r="E572" s="3159"/>
      <c r="F572" s="3159"/>
      <c r="G572" s="3159"/>
      <c r="H572" s="3159"/>
      <c r="I572" s="3160"/>
    </row>
    <row r="573" spans="1:9" hidden="1" x14ac:dyDescent="0.25">
      <c r="A573" s="1573"/>
      <c r="B573" s="1573"/>
      <c r="C573" s="1573"/>
      <c r="D573" s="1573"/>
      <c r="E573" s="1573"/>
      <c r="F573" s="1573"/>
      <c r="G573" s="1573"/>
      <c r="H573" s="1573"/>
      <c r="I573" s="1573"/>
    </row>
    <row r="574" spans="1:9" hidden="1" x14ac:dyDescent="0.25">
      <c r="A574" s="1573"/>
      <c r="B574" s="1573"/>
      <c r="C574" s="1573"/>
      <c r="D574" s="1573"/>
      <c r="E574" s="1573"/>
      <c r="F574" s="1573"/>
      <c r="G574" s="1573"/>
      <c r="H574" s="1573"/>
      <c r="I574" s="1573"/>
    </row>
    <row r="575" spans="1:9" hidden="1" x14ac:dyDescent="0.25">
      <c r="A575" s="1685" t="str">
        <f>IF(OR(KALKULATION!A101="",KALKULATION!C101=0),"",KALKULATION!A101&amp;" für "&amp;TEXT(KALKULATION!C101,"0,00")&amp;" Std, ")</f>
        <v/>
      </c>
      <c r="B575" s="1686"/>
      <c r="C575" s="1686"/>
      <c r="D575" s="1686"/>
      <c r="E575" s="1686"/>
      <c r="F575" s="1686"/>
      <c r="G575" s="1686"/>
      <c r="H575" s="1686"/>
      <c r="I575" s="1687"/>
    </row>
    <row r="576" spans="1:9" hidden="1" x14ac:dyDescent="0.25">
      <c r="A576" s="1678" t="str">
        <f>IF(OR(KALKULATION!A102="",KALKULATION!C102=0),"",KALKULATION!A102&amp;" für "&amp;TEXT(KALKULATION!C102,"0,00")&amp;" Std, ")</f>
        <v/>
      </c>
      <c r="B576" s="1688"/>
      <c r="C576" s="1688"/>
      <c r="D576" s="1688"/>
      <c r="E576" s="1688"/>
      <c r="F576" s="1688"/>
      <c r="G576" s="1688"/>
      <c r="H576" s="1688"/>
      <c r="I576" s="1689"/>
    </row>
    <row r="577" spans="1:9" hidden="1" x14ac:dyDescent="0.25">
      <c r="A577" s="1678" t="str">
        <f>IF(OR(KALKULATION!A103="",KALKULATION!C103=0),"",KALKULATION!A103&amp;" für "&amp;TEXT(KALKULATION!C103,"0,00")&amp;" Std, ")</f>
        <v/>
      </c>
      <c r="B577" s="1688"/>
      <c r="C577" s="1688"/>
      <c r="D577" s="1688"/>
      <c r="E577" s="1688"/>
      <c r="F577" s="1688"/>
      <c r="G577" s="1688"/>
      <c r="H577" s="1688"/>
      <c r="I577" s="1689"/>
    </row>
    <row r="578" spans="1:9" hidden="1" x14ac:dyDescent="0.25">
      <c r="A578" s="1678" t="str">
        <f>IF(OR(KALKULATION!A107="",KALKULATION!C107=0),"",KALKULATION!A107&amp;" für "&amp;TEXT(KALKULATION!C107,"0,00")&amp;" Std, ")</f>
        <v/>
      </c>
      <c r="B578" s="1688"/>
      <c r="C578" s="1688"/>
      <c r="D578" s="1688"/>
      <c r="E578" s="1688"/>
      <c r="F578" s="1688"/>
      <c r="G578" s="1688"/>
      <c r="H578" s="1688"/>
      <c r="I578" s="1689"/>
    </row>
    <row r="579" spans="1:9" hidden="1" x14ac:dyDescent="0.25">
      <c r="A579" s="1678" t="str">
        <f>IF(OR(KALKULATION!A108="",KALKULATION!C108=0),"",KALKULATION!A108&amp;" für "&amp;TEXT(KALKULATION!C108,"0,00")&amp;" Std, ")</f>
        <v/>
      </c>
      <c r="B579" s="1688"/>
      <c r="C579" s="1688"/>
      <c r="D579" s="1688"/>
      <c r="E579" s="1688"/>
      <c r="F579" s="1688"/>
      <c r="G579" s="1688"/>
      <c r="H579" s="1688"/>
      <c r="I579" s="1689"/>
    </row>
    <row r="580" spans="1:9" hidden="1" x14ac:dyDescent="0.25">
      <c r="A580" s="1690" t="str">
        <f>IF(OR(KALKULATION!A109="",KALKULATION!C109=0),"",KALKULATION!A109&amp;" für "&amp;TEXT(KALKULATION!C109,"0,00")&amp;" Std, ")</f>
        <v/>
      </c>
      <c r="B580" s="1691"/>
      <c r="C580" s="1691"/>
      <c r="D580" s="1691"/>
      <c r="E580" s="1691"/>
      <c r="F580" s="1691"/>
      <c r="G580" s="1691"/>
      <c r="H580" s="1691"/>
      <c r="I580" s="1692"/>
    </row>
    <row r="581" spans="1:9" hidden="1" x14ac:dyDescent="0.25">
      <c r="A581" s="1688" t="str">
        <f>A575&amp;A576&amp;A577&amp;A578&amp;A579&amp;A580</f>
        <v/>
      </c>
      <c r="B581" s="1688"/>
      <c r="C581" s="1688"/>
      <c r="D581" s="1688"/>
      <c r="E581" s="1688"/>
      <c r="F581" s="1688"/>
      <c r="G581" s="1688"/>
      <c r="H581" s="1688"/>
      <c r="I581" s="1688"/>
    </row>
    <row r="582" spans="1:9" hidden="1" x14ac:dyDescent="0.25">
      <c r="A582" s="1693">
        <f>LEN(A581)</f>
        <v>0</v>
      </c>
      <c r="B582" s="1688"/>
      <c r="C582" s="1688"/>
      <c r="D582" s="1688"/>
      <c r="E582" s="1688"/>
      <c r="F582" s="1688"/>
      <c r="G582" s="1688"/>
      <c r="H582" s="1688"/>
      <c r="I582" s="1688"/>
    </row>
    <row r="583" spans="1:9" hidden="1" x14ac:dyDescent="0.25">
      <c r="A583" s="1694" t="str">
        <f>IF(A582&gt;0,MID(A581,1,A582-2),"")</f>
        <v/>
      </c>
      <c r="B583" s="1688"/>
      <c r="C583" s="1688"/>
      <c r="D583" s="1688"/>
      <c r="E583" s="1688"/>
      <c r="F583" s="1688"/>
      <c r="G583" s="1688"/>
      <c r="H583" s="1688"/>
      <c r="I583" s="1688"/>
    </row>
    <row r="584" spans="1:9" hidden="1" x14ac:dyDescent="0.25">
      <c r="A584" s="1573"/>
      <c r="B584" s="1573"/>
      <c r="C584" s="1573"/>
      <c r="D584" s="1573"/>
      <c r="E584" s="1573"/>
      <c r="F584" s="1573"/>
      <c r="G584" s="1573"/>
      <c r="H584" s="1573"/>
      <c r="I584" s="1573"/>
    </row>
    <row r="585" spans="1:9" hidden="1" x14ac:dyDescent="0.25">
      <c r="A585" s="1573"/>
      <c r="B585" s="1573"/>
      <c r="C585" s="1573"/>
      <c r="D585" s="1573"/>
      <c r="E585" s="1573"/>
      <c r="F585" s="1573"/>
      <c r="G585" s="1573"/>
      <c r="H585" s="1573"/>
      <c r="I585" s="1573"/>
    </row>
    <row r="586" spans="1:9" hidden="1" x14ac:dyDescent="0.25">
      <c r="A586" s="3055" t="str">
        <f>IFERROR(IF(AND(A543&lt;&gt;0,KALKULATION!H110&lt;&gt;0),"
Es sind "&amp;TEXT(A543,"0,00")&amp;" Verrechnungsstunden (C2) für ["&amp;A583&amp;"] angesetzt. Die Hinzurechnung für diese Verrechnungsstunden beträgt "&amp;TEXT(E543,"0,00%")&amp;" bzw "&amp;TEXT(G543,"0,00€")&amp;". Die Aufzahlungsstunden betreffen "&amp;TEXT(SUM(KALKULATION!C101:C103,KALKULATION!C107:C109)/KALKULATION!C95,"0,9%")&amp;" der kalkulierten Arbeitszeit."&amp;A597&amp;"","Es sind keine Verrechnungsstunden (zB für Nacht- oder Schichtarbeit) angesetzt. "),$K$6)</f>
        <v xml:space="preserve">Es sind keine Verrechnungsstunden (zB für Nacht- oder Schichtarbeit) angesetzt. </v>
      </c>
      <c r="B586" s="3053"/>
      <c r="C586" s="3053"/>
      <c r="D586" s="3053"/>
      <c r="E586" s="3053"/>
      <c r="F586" s="3053"/>
      <c r="G586" s="3053"/>
      <c r="H586" s="3053"/>
      <c r="I586" s="3056"/>
    </row>
    <row r="587" spans="1:9" hidden="1" x14ac:dyDescent="0.25">
      <c r="A587" s="3092"/>
      <c r="B587" s="3054"/>
      <c r="C587" s="3054"/>
      <c r="D587" s="3054"/>
      <c r="E587" s="3054"/>
      <c r="F587" s="3054"/>
      <c r="G587" s="3054"/>
      <c r="H587" s="3054"/>
      <c r="I587" s="3093"/>
    </row>
    <row r="588" spans="1:9" hidden="1" x14ac:dyDescent="0.25">
      <c r="A588" s="3092"/>
      <c r="B588" s="3054"/>
      <c r="C588" s="3054"/>
      <c r="D588" s="3054"/>
      <c r="E588" s="3054"/>
      <c r="F588" s="3054"/>
      <c r="G588" s="3054"/>
      <c r="H588" s="3054"/>
      <c r="I588" s="3093"/>
    </row>
    <row r="589" spans="1:9" hidden="1" x14ac:dyDescent="0.25">
      <c r="A589" s="3092"/>
      <c r="B589" s="3054"/>
      <c r="C589" s="3054"/>
      <c r="D589" s="3054"/>
      <c r="E589" s="3054"/>
      <c r="F589" s="3054"/>
      <c r="G589" s="3054"/>
      <c r="H589" s="3054"/>
      <c r="I589" s="3093"/>
    </row>
    <row r="590" spans="1:9" hidden="1" x14ac:dyDescent="0.25">
      <c r="A590" s="3092"/>
      <c r="B590" s="3054"/>
      <c r="C590" s="3054"/>
      <c r="D590" s="3054"/>
      <c r="E590" s="3054"/>
      <c r="F590" s="3054"/>
      <c r="G590" s="3054"/>
      <c r="H590" s="3054"/>
      <c r="I590" s="3093"/>
    </row>
    <row r="591" spans="1:9" hidden="1" x14ac:dyDescent="0.25">
      <c r="A591" s="3057"/>
      <c r="B591" s="3058"/>
      <c r="C591" s="3058"/>
      <c r="D591" s="3058"/>
      <c r="E591" s="3058"/>
      <c r="F591" s="3058"/>
      <c r="G591" s="3058"/>
      <c r="H591" s="3058"/>
      <c r="I591" s="3059"/>
    </row>
    <row r="592" spans="1:9" hidden="1" x14ac:dyDescent="0.25">
      <c r="A592" s="1573"/>
      <c r="B592" s="1573"/>
      <c r="C592" s="1573"/>
      <c r="D592" s="1573"/>
      <c r="E592" s="1573"/>
      <c r="F592" s="1573"/>
      <c r="G592" s="1573"/>
      <c r="H592" s="1573"/>
      <c r="I592" s="1573"/>
    </row>
    <row r="593" spans="1:9" hidden="1" x14ac:dyDescent="0.25">
      <c r="A593" s="1696"/>
      <c r="B593" s="1697" t="str">
        <f>IF(KALKULATION!A101&lt;&gt;"",KALKULATION!E101,"")</f>
        <v/>
      </c>
      <c r="C593" s="1686"/>
      <c r="D593" s="1686"/>
      <c r="E593" s="1687"/>
      <c r="F593" s="1573"/>
      <c r="G593" s="1573"/>
      <c r="H593" s="1573"/>
      <c r="I593" s="1573"/>
    </row>
    <row r="594" spans="1:9" hidden="1" x14ac:dyDescent="0.25">
      <c r="A594" s="1698"/>
      <c r="B594" s="1697" t="str">
        <f>IF(KALKULATION!A102&lt;&gt;"",KALKULATION!E102,"")</f>
        <v/>
      </c>
      <c r="C594" s="1688"/>
      <c r="D594" s="1688"/>
      <c r="E594" s="1689"/>
      <c r="F594" s="1573"/>
      <c r="G594" s="1573"/>
      <c r="H594" s="1573"/>
      <c r="I594" s="1573"/>
    </row>
    <row r="595" spans="1:9" hidden="1" x14ac:dyDescent="0.25">
      <c r="A595" s="1698"/>
      <c r="B595" s="1697" t="str">
        <f>IF(KALKULATION!A103&lt;&gt;"",KALKULATION!E103,"")</f>
        <v/>
      </c>
      <c r="C595" s="1688"/>
      <c r="D595" s="1688"/>
      <c r="E595" s="1689"/>
      <c r="F595" s="1573"/>
      <c r="G595" s="1573"/>
      <c r="H595" s="1573"/>
      <c r="I595" s="1573"/>
    </row>
    <row r="596" spans="1:9" hidden="1" x14ac:dyDescent="0.25">
      <c r="A596" s="1690"/>
      <c r="B596" s="1691"/>
      <c r="C596" s="1691"/>
      <c r="D596" s="1691">
        <f>MIN(B593:B595)</f>
        <v>0</v>
      </c>
      <c r="E596" s="1692">
        <f>MAX(B593:B595)</f>
        <v>0</v>
      </c>
      <c r="F596" s="1573"/>
      <c r="G596" s="1573"/>
      <c r="H596" s="1573"/>
      <c r="I596" s="1573"/>
    </row>
    <row r="597" spans="1:9" hidden="1" x14ac:dyDescent="0.25">
      <c r="A597" s="3155" t="str">
        <f>IFERROR(IF(D596&lt;&gt;E596," (Hinweis: Es sind in C2.a unterschiedliche Kennzeichen für die Einstellung der Berechnung der Aufzahlung ausgewählt (von KZ="&amp;TEXT(D596,"0")&amp;" bis "&amp;TEXT(E596,"0")&amp;"). Prüfen Sie bitte, ob unterschiedliche KZ zutreffend und korrekt sind.) ",""),$K$6)</f>
        <v/>
      </c>
      <c r="B597" s="3156"/>
      <c r="C597" s="3156"/>
      <c r="D597" s="3156"/>
      <c r="E597" s="3156"/>
      <c r="F597" s="3156"/>
      <c r="G597" s="3156"/>
      <c r="H597" s="3156"/>
      <c r="I597" s="3157"/>
    </row>
    <row r="598" spans="1:9" hidden="1" x14ac:dyDescent="0.25">
      <c r="A598" s="3158"/>
      <c r="B598" s="3159"/>
      <c r="C598" s="3159"/>
      <c r="D598" s="3159"/>
      <c r="E598" s="3159"/>
      <c r="F598" s="3159"/>
      <c r="G598" s="3159"/>
      <c r="H598" s="3159"/>
      <c r="I598" s="3160"/>
    </row>
    <row r="599" spans="1:9" hidden="1" x14ac:dyDescent="0.25">
      <c r="F599" s="1573"/>
      <c r="G599" s="1573"/>
      <c r="H599" s="1573"/>
      <c r="I599" s="1573"/>
    </row>
    <row r="600" spans="1:9" hidden="1" x14ac:dyDescent="0.25">
      <c r="F600" s="1573"/>
      <c r="G600" s="1573"/>
      <c r="H600" s="1573"/>
      <c r="I600" s="1573"/>
    </row>
    <row r="601" spans="1:9" hidden="1" x14ac:dyDescent="0.25">
      <c r="A601" s="3055" t="str">
        <f ca="1">IFERROR(IF(A542&lt;&gt;0,"
Insgesamt (C1 und C2) ergibt sich eine Hinzurechnung in Hv "&amp;TEXT(KALKULATION!H115,"0,00%")&amp;" bzw ein Betrag für Arbeitszeitzuschläge in Hv "&amp;' K3 PP'!O26&amp;"€/Std (K3 Zeile 8). "&amp;A609,""),$K$6)</f>
        <v xml:space="preserve">
Insgesamt (C1 und C2) ergibt sich eine Hinzurechnung in Hv 4,30% bzw ein Betrag für Arbeitszeitzuschläge in Hv 0,95€/Std (K3 Zeile 8). </v>
      </c>
      <c r="B601" s="3053"/>
      <c r="C601" s="3053"/>
      <c r="D601" s="3053"/>
      <c r="E601" s="3053"/>
      <c r="F601" s="3053"/>
      <c r="G601" s="3053"/>
      <c r="H601" s="3053"/>
      <c r="I601" s="3056"/>
    </row>
    <row r="602" spans="1:9" hidden="1" x14ac:dyDescent="0.25">
      <c r="A602" s="3092"/>
      <c r="B602" s="3054"/>
      <c r="C602" s="3054"/>
      <c r="D602" s="3054"/>
      <c r="E602" s="3054"/>
      <c r="F602" s="3054"/>
      <c r="G602" s="3054"/>
      <c r="H602" s="3054"/>
      <c r="I602" s="3093"/>
    </row>
    <row r="603" spans="1:9" hidden="1" x14ac:dyDescent="0.25">
      <c r="A603" s="3092"/>
      <c r="B603" s="3054"/>
      <c r="C603" s="3054"/>
      <c r="D603" s="3054"/>
      <c r="E603" s="3054"/>
      <c r="F603" s="3054"/>
      <c r="G603" s="3054"/>
      <c r="H603" s="3054"/>
      <c r="I603" s="3093"/>
    </row>
    <row r="604" spans="1:9" hidden="1" x14ac:dyDescent="0.25">
      <c r="A604" s="3092"/>
      <c r="B604" s="3054"/>
      <c r="C604" s="3054"/>
      <c r="D604" s="3054"/>
      <c r="E604" s="3054"/>
      <c r="F604" s="3054"/>
      <c r="G604" s="3054"/>
      <c r="H604" s="3054"/>
      <c r="I604" s="3093"/>
    </row>
    <row r="605" spans="1:9" hidden="1" x14ac:dyDescent="0.25">
      <c r="A605" s="3092"/>
      <c r="B605" s="3054"/>
      <c r="C605" s="3054"/>
      <c r="D605" s="3054"/>
      <c r="E605" s="3054"/>
      <c r="F605" s="3054"/>
      <c r="G605" s="3054"/>
      <c r="H605" s="3054"/>
      <c r="I605" s="3093"/>
    </row>
    <row r="606" spans="1:9" hidden="1" x14ac:dyDescent="0.25">
      <c r="A606" s="3092"/>
      <c r="B606" s="3054"/>
      <c r="C606" s="3054"/>
      <c r="D606" s="3054"/>
      <c r="E606" s="3054"/>
      <c r="F606" s="3054"/>
      <c r="G606" s="3054"/>
      <c r="H606" s="3054"/>
      <c r="I606" s="3093"/>
    </row>
    <row r="607" spans="1:9" hidden="1" x14ac:dyDescent="0.25">
      <c r="A607" s="3057"/>
      <c r="B607" s="3058"/>
      <c r="C607" s="3058"/>
      <c r="D607" s="3058"/>
      <c r="E607" s="3058"/>
      <c r="F607" s="3058"/>
      <c r="G607" s="3058"/>
      <c r="H607" s="3058"/>
      <c r="I607" s="3059"/>
    </row>
    <row r="608" spans="1:9" hidden="1" x14ac:dyDescent="0.25">
      <c r="A608" s="1573"/>
      <c r="B608" s="1573"/>
      <c r="C608" s="1573"/>
      <c r="D608" s="1573"/>
      <c r="E608" s="1573"/>
      <c r="F608" s="1573"/>
      <c r="G608" s="1573"/>
      <c r="H608" s="1573"/>
      <c r="I608" s="1573"/>
    </row>
    <row r="609" spans="1:9" hidden="1" x14ac:dyDescent="0.25">
      <c r="A609" s="3091"/>
      <c r="B609" s="3091"/>
      <c r="C609" s="3091"/>
      <c r="D609" s="3091"/>
      <c r="E609" s="3091"/>
      <c r="F609" s="3091"/>
      <c r="G609" s="3091"/>
      <c r="H609" s="3091"/>
      <c r="I609" s="3091"/>
    </row>
    <row r="610" spans="1:9" hidden="1" x14ac:dyDescent="0.25">
      <c r="A610" s="3091"/>
      <c r="B610" s="3091"/>
      <c r="C610" s="3091"/>
      <c r="D610" s="3091"/>
      <c r="E610" s="3091"/>
      <c r="F610" s="3091"/>
      <c r="G610" s="3091"/>
      <c r="H610" s="3091"/>
      <c r="I610" s="3091"/>
    </row>
    <row r="611" spans="1:9" hidden="1" x14ac:dyDescent="0.25">
      <c r="A611" s="3091"/>
      <c r="B611" s="3091"/>
      <c r="C611" s="3091"/>
      <c r="D611" s="3091"/>
      <c r="E611" s="3091"/>
      <c r="F611" s="3091"/>
      <c r="G611" s="3091"/>
      <c r="H611" s="3091"/>
      <c r="I611" s="3091"/>
    </row>
    <row r="612" spans="1:9" hidden="1" x14ac:dyDescent="0.25">
      <c r="A612" s="3091"/>
      <c r="B612" s="3091"/>
      <c r="C612" s="3091"/>
      <c r="D612" s="3091"/>
      <c r="E612" s="3091"/>
      <c r="F612" s="3091"/>
      <c r="G612" s="3091"/>
      <c r="H612" s="3091"/>
      <c r="I612" s="3091"/>
    </row>
    <row r="613" spans="1:9" hidden="1" x14ac:dyDescent="0.25">
      <c r="A613" s="3091"/>
      <c r="B613" s="3091"/>
      <c r="C613" s="3091"/>
      <c r="D613" s="3091"/>
      <c r="E613" s="3091"/>
      <c r="F613" s="3091"/>
      <c r="G613" s="3091"/>
      <c r="H613" s="3091"/>
      <c r="I613" s="3091"/>
    </row>
    <row r="614" spans="1:9" hidden="1" x14ac:dyDescent="0.25">
      <c r="A614" s="3091"/>
      <c r="B614" s="3091"/>
      <c r="C614" s="3091"/>
      <c r="D614" s="3091"/>
      <c r="E614" s="3091"/>
      <c r="F614" s="3091"/>
      <c r="G614" s="3091"/>
      <c r="H614" s="3091"/>
      <c r="I614" s="3091"/>
    </row>
    <row r="615" spans="1:9" hidden="1" x14ac:dyDescent="0.25">
      <c r="A615" s="3091"/>
      <c r="B615" s="3091"/>
      <c r="C615" s="3091"/>
      <c r="D615" s="3091"/>
      <c r="E615" s="3091"/>
      <c r="F615" s="3091"/>
      <c r="G615" s="3091"/>
      <c r="H615" s="3091"/>
      <c r="I615" s="3091"/>
    </row>
    <row r="616" spans="1:9" hidden="1" x14ac:dyDescent="0.25">
      <c r="A616" s="1573"/>
      <c r="B616" s="1573"/>
      <c r="C616" s="1573"/>
      <c r="D616" s="1573"/>
      <c r="E616" s="1573"/>
      <c r="F616" s="1573"/>
      <c r="G616" s="1573"/>
      <c r="H616" s="1573"/>
      <c r="I616" s="1573"/>
    </row>
    <row r="617" spans="1:9" hidden="1" x14ac:dyDescent="0.25">
      <c r="A617" s="1573"/>
      <c r="B617" s="1573"/>
      <c r="C617" s="1573"/>
      <c r="D617" s="1573"/>
      <c r="E617" s="1573"/>
      <c r="F617" s="1573"/>
      <c r="G617" s="1573"/>
      <c r="H617" s="1573"/>
      <c r="I617" s="1573"/>
    </row>
    <row r="618" spans="1:9" hidden="1" x14ac:dyDescent="0.25">
      <c r="A618" s="3188" t="str">
        <f>IFERROR(IF(KALKULATION!H114&lt;&gt;0,"
Das Rechenergebnis für die Arbeitszeitzuschläge ist individuell angepasst (um "&amp;TEXT(KALKULATION!H114,"0,00%")&amp;"; C3.a)! ",""),$K$6)</f>
        <v/>
      </c>
      <c r="B618" s="3189"/>
      <c r="C618" s="3189"/>
      <c r="D618" s="3189"/>
      <c r="E618" s="3189"/>
      <c r="F618" s="3189"/>
      <c r="G618" s="3189"/>
      <c r="H618" s="3189"/>
      <c r="I618" s="3190"/>
    </row>
    <row r="619" spans="1:9" hidden="1" x14ac:dyDescent="0.25">
      <c r="A619" s="1573"/>
      <c r="B619" s="1573"/>
      <c r="C619" s="1573"/>
      <c r="D619" s="1573"/>
      <c r="E619" s="1573"/>
      <c r="F619" s="1573"/>
      <c r="G619" s="1573"/>
      <c r="H619" s="1573"/>
      <c r="I619" s="1573"/>
    </row>
    <row r="620" spans="1:9" hidden="1" x14ac:dyDescent="0.25">
      <c r="A620" s="1573"/>
      <c r="B620" s="1573"/>
      <c r="C620" s="1573"/>
      <c r="D620" s="1573"/>
      <c r="E620" s="1573"/>
      <c r="F620" s="1573"/>
      <c r="G620" s="1573"/>
      <c r="H620" s="1573"/>
      <c r="I620" s="1573"/>
    </row>
    <row r="621" spans="1:9" hidden="1" x14ac:dyDescent="0.25">
      <c r="A621" s="1570" t="s">
        <v>136</v>
      </c>
      <c r="B621" s="1562"/>
      <c r="C621" s="1562"/>
      <c r="D621" s="1562"/>
      <c r="E621" s="1562"/>
      <c r="F621" s="1562"/>
      <c r="G621" s="1562"/>
      <c r="H621" s="1562"/>
      <c r="I621" s="1563"/>
    </row>
    <row r="622" spans="1:9" hidden="1" x14ac:dyDescent="0.25">
      <c r="A622" s="1701" t="s">
        <v>468</v>
      </c>
      <c r="B622" s="1573"/>
      <c r="C622" s="1573"/>
      <c r="D622" s="1573"/>
      <c r="E622" s="1573"/>
      <c r="F622" s="1573"/>
      <c r="G622" s="1573"/>
      <c r="H622" s="1573"/>
      <c r="I622" s="1573"/>
    </row>
    <row r="623" spans="1:9" hidden="1" x14ac:dyDescent="0.25">
      <c r="A623" s="1702" t="str">
        <f>IF(OR(KALKULATION!A123="",KALKULATION!C123=0,KALKULATION!D123=0),"",KALKULATION!A123&amp;" ("&amp;(TEXT(KALKULATION!C123*KALKULATION!D123,"0,0%")&amp;"), "))</f>
        <v xml:space="preserve">Abbrucharb. / Staubentwicklung (15,0%), </v>
      </c>
      <c r="B623" s="1703"/>
      <c r="C623" s="1703"/>
      <c r="D623" s="1703"/>
      <c r="E623" s="1703"/>
      <c r="F623" s="1703"/>
      <c r="G623" s="1703"/>
      <c r="H623" s="1703"/>
      <c r="I623" s="1704"/>
    </row>
    <row r="624" spans="1:9" hidden="1" x14ac:dyDescent="0.25">
      <c r="A624" s="1705" t="str">
        <f>IF(OR(KALKULATION!A124="",KALKULATION!C124=0,KALKULATION!D124=0),"",KALKULATION!A124&amp;" ("&amp;(TEXT(KALKULATION!C124*KALKULATION!D124,"0,0%")&amp;"), "))</f>
        <v/>
      </c>
      <c r="B624" s="1706"/>
      <c r="C624" s="1706"/>
      <c r="D624" s="1706"/>
      <c r="E624" s="1706"/>
      <c r="F624" s="1706"/>
      <c r="G624" s="1706"/>
      <c r="H624" s="1706"/>
      <c r="I624" s="1707"/>
    </row>
    <row r="625" spans="1:9" hidden="1" x14ac:dyDescent="0.25">
      <c r="A625" s="1705" t="str">
        <f>IF(OR(KALKULATION!A125="",KALKULATION!C125=0,KALKULATION!D125=0),"",KALKULATION!A125&amp;" ("&amp;(TEXT(KALKULATION!C125*KALKULATION!D125,"0,0%")&amp;"), "))</f>
        <v/>
      </c>
      <c r="B625" s="1706"/>
      <c r="C625" s="1706"/>
      <c r="D625" s="1706"/>
      <c r="E625" s="1706"/>
      <c r="F625" s="1706"/>
      <c r="G625" s="1706"/>
      <c r="H625" s="1706"/>
      <c r="I625" s="1707"/>
    </row>
    <row r="626" spans="1:9" hidden="1" x14ac:dyDescent="0.25">
      <c r="A626" s="1705" t="str">
        <f>IF(OR(KALKULATION!A126="",KALKULATION!C126=0,KALKULATION!D126=0),"",KALKULATION!A126&amp;" ("&amp;(TEXT(KALKULATION!C126*KALKULATION!D126,"0,0%")&amp;"), "))</f>
        <v/>
      </c>
      <c r="B626" s="1706"/>
      <c r="C626" s="1706"/>
      <c r="D626" s="1706"/>
      <c r="E626" s="1706"/>
      <c r="F626" s="1706"/>
      <c r="G626" s="1706"/>
      <c r="H626" s="1706"/>
      <c r="I626" s="1707"/>
    </row>
    <row r="627" spans="1:9" hidden="1" x14ac:dyDescent="0.25">
      <c r="A627" s="1705" t="str">
        <f>IF(OR(KALKULATION!A127="",KALKULATION!C127=0,KALKULATION!D127=0),"",KALKULATION!A127&amp;" ("&amp;(TEXT(KALKULATION!C127*KALKULATION!D127,"0,0%")&amp;"), "))</f>
        <v/>
      </c>
      <c r="B627" s="1706"/>
      <c r="C627" s="1706"/>
      <c r="D627" s="1706"/>
      <c r="E627" s="1706"/>
      <c r="F627" s="1706"/>
      <c r="G627" s="1706"/>
      <c r="H627" s="1706"/>
      <c r="I627" s="1707"/>
    </row>
    <row r="628" spans="1:9" hidden="1" x14ac:dyDescent="0.25">
      <c r="A628" s="1705" t="str">
        <f>IF(OR(KALKULATION!A128="",KALKULATION!C128=0,KALKULATION!D128=0),"",KALKULATION!A128&amp;" ("&amp;(TEXT(KALKULATION!C128*KALKULATION!D128,"0,0%")&amp;"), "))</f>
        <v/>
      </c>
      <c r="B628" s="1706"/>
      <c r="C628" s="1706"/>
      <c r="D628" s="1706"/>
      <c r="E628" s="1706"/>
      <c r="F628" s="1706"/>
      <c r="G628" s="1706"/>
      <c r="H628" s="1706"/>
      <c r="I628" s="1707"/>
    </row>
    <row r="629" spans="1:9" hidden="1" x14ac:dyDescent="0.25">
      <c r="A629" s="1708" t="str">
        <f>IF(OR(KALKULATION!A129="",KALKULATION!C129=0,KALKULATION!D129=0),"",KALKULATION!A129&amp;" ("&amp;(TEXT(KALKULATION!C129*KALKULATION!D129,"0,0%")&amp;"), "))</f>
        <v/>
      </c>
      <c r="B629" s="1709"/>
      <c r="C629" s="1709"/>
      <c r="D629" s="1709"/>
      <c r="E629" s="1709"/>
      <c r="F629" s="1709"/>
      <c r="G629" s="1709"/>
      <c r="H629" s="1709"/>
      <c r="I629" s="1710"/>
    </row>
    <row r="630" spans="1:9" hidden="1" x14ac:dyDescent="0.25">
      <c r="A630" s="1708" t="str">
        <f>IF(OR(KALKULATION!A137="",KALKULATION!C137=0,KALKULATION!D137=0,KALKULATION!F138=0),"","Teil der ansonst abgabefreien Zulage "&amp;KALKULATION!A137&amp;", ")</f>
        <v xml:space="preserve">Teil der ansonst abgabefreien Zulage Schmutzzulage Altlasten, </v>
      </c>
      <c r="B630" s="1706"/>
      <c r="C630" s="1706"/>
      <c r="D630" s="1706"/>
      <c r="E630" s="1706"/>
      <c r="F630" s="1706"/>
      <c r="G630" s="1706"/>
      <c r="H630" s="1706"/>
      <c r="I630" s="1707"/>
    </row>
    <row r="631" spans="1:9" hidden="1" x14ac:dyDescent="0.25">
      <c r="A631" s="1705" t="str">
        <f>A623&amp;A624&amp;A625&amp;A626&amp;A627&amp;A628&amp;A629&amp;A630</f>
        <v xml:space="preserve">Abbrucharb. / Staubentwicklung (15,0%), Teil der ansonst abgabefreien Zulage Schmutzzulage Altlasten, </v>
      </c>
      <c r="B631" s="1706"/>
      <c r="C631" s="1706"/>
      <c r="D631" s="1706"/>
      <c r="E631" s="1706"/>
      <c r="F631" s="1706"/>
      <c r="G631" s="1706"/>
      <c r="H631" s="1706"/>
      <c r="I631" s="1707"/>
    </row>
    <row r="632" spans="1:9" hidden="1" x14ac:dyDescent="0.25">
      <c r="A632" s="1705">
        <f>LEN(A631)</f>
        <v>102</v>
      </c>
      <c r="B632" s="1706"/>
      <c r="C632" s="1706"/>
      <c r="D632" s="1706"/>
      <c r="E632" s="1706"/>
      <c r="F632" s="1706"/>
      <c r="G632" s="1706"/>
      <c r="H632" s="1706"/>
      <c r="I632" s="1707"/>
    </row>
    <row r="633" spans="1:9" hidden="1" x14ac:dyDescent="0.25">
      <c r="A633" s="1711" t="str">
        <f>IF(A632&gt;0,MID(A631,1,A632-2),"")</f>
        <v>Abbrucharb. / Staubentwicklung (15,0%), Teil der ansonst abgabefreien Zulage Schmutzzulage Altlasten</v>
      </c>
      <c r="B633" s="1709"/>
      <c r="C633" s="1709"/>
      <c r="D633" s="1709"/>
      <c r="E633" s="1709"/>
      <c r="F633" s="1709"/>
      <c r="G633" s="1709"/>
      <c r="H633" s="1709"/>
      <c r="I633" s="1710"/>
    </row>
    <row r="634" spans="1:9" hidden="1" x14ac:dyDescent="0.25">
      <c r="A634" s="1701"/>
      <c r="B634" s="1573"/>
      <c r="C634" s="1573"/>
      <c r="D634" s="1573"/>
      <c r="E634" s="1573"/>
      <c r="F634" s="1573"/>
      <c r="G634" s="1573"/>
      <c r="H634" s="1573"/>
      <c r="I634" s="1573"/>
    </row>
    <row r="635" spans="1:9" ht="15.75" hidden="1" customHeight="1" x14ac:dyDescent="0.25">
      <c r="A635" s="3053" t="str">
        <f ca="1">IFERROR(IF(KALKULATION!H134=0,"Für das PRODUKTIVE PERSONAL sind keine Zulagen in Ansatz gebracht. ","(Erschwernis-)Zulagen sind für das PRODUKTIVE PERSONAL bzw für den produktiven (erlösbringenden) Teil des Personals gem B1 in Vm B2 gewichtet in Hv "&amp;TEXT(KALKULATION!H134,"0,00%")&amp;" für folgende Zulagen erfasst; in Klammer der Anteil der davon betroffenen gesamten Leistungsstunden: ["&amp;A633&amp;"]. "&amp;A645&amp;A648&amp;A652),$K$6)</f>
        <v xml:space="preserve">(Erschwernis-)Zulagen sind für das PRODUKTIVE PERSONAL bzw für den produktiven (erlösbringenden) Teil des Personals gem B1 in Vm B2 gewichtet in Hv 3,00% für folgende Zulagen erfasst; in Klammer der Anteil der davon betroffenen gesamten Leistungsstunden: [Abbrucharb. / Staubentwicklung (15,0%), Teil der ansonst abgabefreien Zulage Schmutzzulage Altlasten]. 
Als Basis für Zulagen in % ist gem Auswahl in D1.a1 [KV-Entgelt] herangezogen. Das kalkulatorische Rechenergebnis der Berücksichtigung der Zulagen für das produktive Personal beträgt 2,68%. </v>
      </c>
      <c r="B635" s="3053"/>
      <c r="C635" s="3053"/>
      <c r="D635" s="3053"/>
      <c r="E635" s="3053"/>
      <c r="F635" s="3053"/>
      <c r="G635" s="3053"/>
      <c r="H635" s="3053"/>
      <c r="I635" s="3053"/>
    </row>
    <row r="636" spans="1:9" ht="15.75" hidden="1" customHeight="1" x14ac:dyDescent="0.25">
      <c r="A636" s="3054"/>
      <c r="B636" s="3054"/>
      <c r="C636" s="3054"/>
      <c r="D636" s="3054"/>
      <c r="E636" s="3054"/>
      <c r="F636" s="3054"/>
      <c r="G636" s="3054"/>
      <c r="H636" s="3054"/>
      <c r="I636" s="3054"/>
    </row>
    <row r="637" spans="1:9" ht="15.75" hidden="1" customHeight="1" x14ac:dyDescent="0.25">
      <c r="A637" s="3054"/>
      <c r="B637" s="3054"/>
      <c r="C637" s="3054"/>
      <c r="D637" s="3054"/>
      <c r="E637" s="3054"/>
      <c r="F637" s="3054"/>
      <c r="G637" s="3054"/>
      <c r="H637" s="3054"/>
      <c r="I637" s="3054"/>
    </row>
    <row r="638" spans="1:9" hidden="1" x14ac:dyDescent="0.25">
      <c r="A638" s="3054"/>
      <c r="B638" s="3054"/>
      <c r="C638" s="3054"/>
      <c r="D638" s="3054"/>
      <c r="E638" s="3054"/>
      <c r="F638" s="3054"/>
      <c r="G638" s="3054"/>
      <c r="H638" s="3054"/>
      <c r="I638" s="3054"/>
    </row>
    <row r="639" spans="1:9" hidden="1" x14ac:dyDescent="0.25">
      <c r="A639" s="3054"/>
      <c r="B639" s="3054"/>
      <c r="C639" s="3054"/>
      <c r="D639" s="3054"/>
      <c r="E639" s="3054"/>
      <c r="F639" s="3054"/>
      <c r="G639" s="3054"/>
      <c r="H639" s="3054"/>
      <c r="I639" s="3054"/>
    </row>
    <row r="640" spans="1:9" hidden="1" x14ac:dyDescent="0.25">
      <c r="A640" s="3054"/>
      <c r="B640" s="3054"/>
      <c r="C640" s="3054"/>
      <c r="D640" s="3054"/>
      <c r="E640" s="3054"/>
      <c r="F640" s="3054"/>
      <c r="G640" s="3054"/>
      <c r="H640" s="3054"/>
      <c r="I640" s="3054"/>
    </row>
    <row r="641" spans="1:9" hidden="1" x14ac:dyDescent="0.25">
      <c r="A641" s="3054"/>
      <c r="B641" s="3054"/>
      <c r="C641" s="3054"/>
      <c r="D641" s="3054"/>
      <c r="E641" s="3054"/>
      <c r="F641" s="3054"/>
      <c r="G641" s="3054"/>
      <c r="H641" s="3054"/>
      <c r="I641" s="3054"/>
    </row>
    <row r="642" spans="1:9" hidden="1" x14ac:dyDescent="0.25">
      <c r="A642" s="3054"/>
      <c r="B642" s="3054"/>
      <c r="C642" s="3054"/>
      <c r="D642" s="3054"/>
      <c r="E642" s="3054"/>
      <c r="F642" s="3054"/>
      <c r="G642" s="3054"/>
      <c r="H642" s="3054"/>
      <c r="I642" s="3054"/>
    </row>
    <row r="643" spans="1:9" hidden="1" x14ac:dyDescent="0.25">
      <c r="A643" s="1518"/>
      <c r="B643" s="1518"/>
      <c r="C643" s="1518"/>
      <c r="D643" s="1518"/>
      <c r="E643" s="1518"/>
      <c r="F643" s="1518"/>
      <c r="G643" s="1518"/>
      <c r="H643" s="1518"/>
      <c r="I643" s="1518"/>
    </row>
    <row r="644" spans="1:9" hidden="1" x14ac:dyDescent="0.25">
      <c r="A644" s="1573"/>
      <c r="B644" s="1573"/>
      <c r="C644" s="1573"/>
      <c r="D644" s="1573"/>
      <c r="E644" s="1573"/>
      <c r="F644" s="1573"/>
      <c r="G644" s="1573"/>
      <c r="H644" s="1573"/>
      <c r="I644" s="1573"/>
    </row>
    <row r="645" spans="1:9" hidden="1" x14ac:dyDescent="0.25">
      <c r="A645" s="3173" t="str">
        <f ca="1">IFERROR(IF(KALKULATION!H130&lt;&gt;0,"
Als Basis für Zulagen in % ist gem Auswahl in D1.a1 ["&amp;KALKULATION!F131&amp;"] herangezogen. ",""),$K$6)</f>
        <v xml:space="preserve">
Als Basis für Zulagen in % ist gem Auswahl in D1.a1 [KV-Entgelt] herangezogen. </v>
      </c>
      <c r="B645" s="3174"/>
      <c r="C645" s="3174"/>
      <c r="D645" s="3174"/>
      <c r="E645" s="3174"/>
      <c r="F645" s="3174"/>
      <c r="G645" s="3174"/>
      <c r="H645" s="3174"/>
      <c r="I645" s="3175"/>
    </row>
    <row r="646" spans="1:9" hidden="1" x14ac:dyDescent="0.25">
      <c r="A646" s="3176"/>
      <c r="B646" s="3177"/>
      <c r="C646" s="3177"/>
      <c r="D646" s="3177"/>
      <c r="E646" s="3177"/>
      <c r="F646" s="3177"/>
      <c r="G646" s="3177"/>
      <c r="H646" s="3177"/>
      <c r="I646" s="3178"/>
    </row>
    <row r="647" spans="1:9" hidden="1" x14ac:dyDescent="0.25">
      <c r="A647" s="1573"/>
      <c r="B647" s="1573"/>
      <c r="C647" s="1573"/>
      <c r="D647" s="1573"/>
      <c r="E647" s="1573"/>
      <c r="F647" s="1573"/>
      <c r="G647" s="1573"/>
      <c r="H647" s="1573"/>
      <c r="I647" s="1573"/>
    </row>
    <row r="648" spans="1:9" hidden="1" x14ac:dyDescent="0.25">
      <c r="A648" s="3172" t="str">
        <f ca="1">IFERROR("Das kalkulatorische Rechenergebnis der Berücksichtigung der Zulagen für das produktive Personal beträgt "&amp;TEXT(KALKULATION!H165*KALKULATION!H161/KALKULATION!H164,"0,00%")&amp;". ",$K$6)</f>
        <v xml:space="preserve">Das kalkulatorische Rechenergebnis der Berücksichtigung der Zulagen für das produktive Personal beträgt 2,68%. </v>
      </c>
      <c r="B648" s="3172"/>
      <c r="C648" s="3172"/>
      <c r="D648" s="3172"/>
      <c r="E648" s="3172"/>
      <c r="F648" s="3172"/>
      <c r="G648" s="3172"/>
      <c r="H648" s="3172"/>
      <c r="I648" s="3172"/>
    </row>
    <row r="649" spans="1:9" hidden="1" x14ac:dyDescent="0.25">
      <c r="A649" s="3172"/>
      <c r="B649" s="3172"/>
      <c r="C649" s="3172"/>
      <c r="D649" s="3172"/>
      <c r="E649" s="3172"/>
      <c r="F649" s="3172"/>
      <c r="G649" s="3172"/>
      <c r="H649" s="3172"/>
      <c r="I649" s="3172"/>
    </row>
    <row r="650" spans="1:9" hidden="1" x14ac:dyDescent="0.25">
      <c r="A650" s="1573"/>
      <c r="B650" s="1573"/>
      <c r="C650" s="1573"/>
      <c r="D650" s="1573"/>
      <c r="E650" s="1573"/>
      <c r="F650" s="1573"/>
      <c r="G650" s="1573"/>
      <c r="H650" s="1573"/>
      <c r="I650" s="1573"/>
    </row>
    <row r="651" spans="1:9" hidden="1" x14ac:dyDescent="0.25">
      <c r="A651" s="1573"/>
      <c r="B651" s="1573"/>
      <c r="C651" s="1573"/>
      <c r="D651" s="1573"/>
      <c r="E651" s="1573"/>
      <c r="F651" s="1573"/>
      <c r="G651" s="1573"/>
      <c r="H651" s="1573"/>
      <c r="I651" s="1573"/>
    </row>
    <row r="652" spans="1:9" hidden="1" x14ac:dyDescent="0.25">
      <c r="A652" s="3166" t="str">
        <f ca="1">IFERROR(IF(KALKULATION!H162&lt;&gt;0,"
Das kalkulatorische Rechenergebnis zur Berücksichtigung der Zulagen für SONSTIGE UNPRODUKTIVE ZEITEN (gem B2.b) des produktiven Personals beträgt "&amp;TEXT(KALKULATION!H165*KALKULATION!H162/KALKULATION!H164,"0,00%")&amp;". ",""),$K$6)</f>
        <v/>
      </c>
      <c r="B652" s="3167"/>
      <c r="C652" s="3167"/>
      <c r="D652" s="3167"/>
      <c r="E652" s="3167"/>
      <c r="F652" s="3167"/>
      <c r="G652" s="3167"/>
      <c r="H652" s="3167"/>
      <c r="I652" s="3168"/>
    </row>
    <row r="653" spans="1:9" hidden="1" x14ac:dyDescent="0.25">
      <c r="A653" s="3169"/>
      <c r="B653" s="3170"/>
      <c r="C653" s="3170"/>
      <c r="D653" s="3170"/>
      <c r="E653" s="3170"/>
      <c r="F653" s="3170"/>
      <c r="G653" s="3170"/>
      <c r="H653" s="3170"/>
      <c r="I653" s="3171"/>
    </row>
    <row r="654" spans="1:9" hidden="1" x14ac:dyDescent="0.25">
      <c r="A654" s="1573"/>
      <c r="B654" s="1573"/>
      <c r="C654" s="1573"/>
      <c r="D654" s="1573"/>
      <c r="E654" s="1573"/>
      <c r="F654" s="1573"/>
      <c r="G654" s="1573"/>
      <c r="H654" s="1573"/>
      <c r="I654" s="1573"/>
    </row>
    <row r="655" spans="1:9" hidden="1" x14ac:dyDescent="0.25">
      <c r="A655" s="1573"/>
      <c r="B655" s="1573"/>
      <c r="C655" s="1573"/>
      <c r="D655" s="1573"/>
      <c r="E655" s="1573"/>
      <c r="F655" s="1573"/>
      <c r="G655" s="1573"/>
      <c r="H655" s="1573"/>
      <c r="I655" s="1573"/>
    </row>
    <row r="656" spans="1:9" hidden="1" x14ac:dyDescent="0.25">
      <c r="A656" s="3054" t="str">
        <f ca="1">IFERROR(IF(SUM(KALKULATION!F139,KALKULATION!G139)&lt;&gt;0,"
Es ist eine ABGABEFREIE Zulage ["&amp;KALKULATION!A137&amp;"] gewichtet für "&amp;TEXT((KALKULATION!C137*KALKULATION!D137),"0%")&amp;" der gesamten Leistungsstunden berücksichtigt (bei Zulagen in %, ist die gleiche Basis, wie unter D1 ausgewählt, herangezogen). Ein abgabefreier Betrag in Hv "&amp;TEXT(SUM(KALKULATION!F139,KALKULATION!G139),"0,00€")&amp;" ist nach Pkt E1 übertragen und wird daher der Zeile 11 des K3-Blattes zugewiesen. ",""),$K$6)</f>
        <v xml:space="preserve">
Es ist eine ABGABEFREIE Zulage [Schmutzzulage Altlasten] gewichtet für 5% der gesamten Leistungsstunden berücksichtigt (bei Zulagen in %, ist die gleiche Basis, wie unter D1 ausgewählt, herangezogen). Ein abgabefreier Betrag in Hv 0,06€ ist nach Pkt E1 übertragen und wird daher der Zeile 11 des K3-Blattes zugewiesen. </v>
      </c>
      <c r="B656" s="3054"/>
      <c r="C656" s="3054"/>
      <c r="D656" s="3054"/>
      <c r="E656" s="3054"/>
      <c r="F656" s="3054"/>
      <c r="G656" s="3054"/>
      <c r="H656" s="3054"/>
      <c r="I656" s="3054"/>
    </row>
    <row r="657" spans="1:9" hidden="1" x14ac:dyDescent="0.25">
      <c r="A657" s="3054"/>
      <c r="B657" s="3054"/>
      <c r="C657" s="3054"/>
      <c r="D657" s="3054"/>
      <c r="E657" s="3054"/>
      <c r="F657" s="3054"/>
      <c r="G657" s="3054"/>
      <c r="H657" s="3054"/>
      <c r="I657" s="3054"/>
    </row>
    <row r="658" spans="1:9" hidden="1" x14ac:dyDescent="0.25">
      <c r="A658" s="3054"/>
      <c r="B658" s="3054"/>
      <c r="C658" s="3054"/>
      <c r="D658" s="3054"/>
      <c r="E658" s="3054"/>
      <c r="F658" s="3054"/>
      <c r="G658" s="3054"/>
      <c r="H658" s="3054"/>
      <c r="I658" s="3054"/>
    </row>
    <row r="659" spans="1:9" hidden="1" x14ac:dyDescent="0.25">
      <c r="A659" s="1573"/>
      <c r="B659" s="1573"/>
      <c r="C659" s="1573"/>
      <c r="D659" s="1573"/>
      <c r="E659" s="1573"/>
      <c r="F659" s="1573"/>
      <c r="G659" s="1573"/>
      <c r="H659" s="1573"/>
      <c r="I659" s="1573"/>
    </row>
    <row r="660" spans="1:9" hidden="1" x14ac:dyDescent="0.25">
      <c r="A660" s="1701" t="s">
        <v>469</v>
      </c>
      <c r="B660" s="1573"/>
      <c r="C660" s="1573"/>
      <c r="D660" s="1573"/>
      <c r="E660" s="1573"/>
      <c r="F660" s="1573"/>
      <c r="G660" s="1573"/>
      <c r="H660" s="1573"/>
      <c r="I660" s="1573"/>
    </row>
    <row r="661" spans="1:9" hidden="1" x14ac:dyDescent="0.25">
      <c r="A661" s="1702" t="str">
        <f>IF(OR(KALKULATION!A147="",KALKULATION!C147=0,KALKULATION!D147=0),"",KALKULATION!A147&amp;" ("&amp;(TEXT(KALKULATION!C147*KALKULATION!D147,"0,0%")&amp;"), "))</f>
        <v/>
      </c>
      <c r="B661" s="1703"/>
      <c r="C661" s="1703"/>
      <c r="D661" s="1703"/>
      <c r="E661" s="1703"/>
      <c r="F661" s="1703"/>
      <c r="G661" s="1703"/>
      <c r="H661" s="1703"/>
      <c r="I661" s="1704"/>
    </row>
    <row r="662" spans="1:9" hidden="1" x14ac:dyDescent="0.25">
      <c r="A662" s="1705" t="str">
        <f>IF(OR(KALKULATION!A148="",KALKULATION!C148=0,KALKULATION!D148=0),"",KALKULATION!A148&amp;" ("&amp;(TEXT(KALKULATION!C148*KALKULATION!D148,"0,0%")&amp;"), "))</f>
        <v/>
      </c>
      <c r="B662" s="1706"/>
      <c r="C662" s="1706"/>
      <c r="D662" s="1706"/>
      <c r="E662" s="1706"/>
      <c r="F662" s="1706"/>
      <c r="G662" s="1706"/>
      <c r="H662" s="1706"/>
      <c r="I662" s="1707"/>
    </row>
    <row r="663" spans="1:9" hidden="1" x14ac:dyDescent="0.25">
      <c r="A663" s="1708" t="str">
        <f>IF(OR(KALKULATION!A149="",KALKULATION!C149=0,KALKULATION!D149=0),"",KALKULATION!A149&amp;" ("&amp;(TEXT(KALKULATION!C149*KALKULATION!D149,"0,0%")&amp;"), "))</f>
        <v/>
      </c>
      <c r="B663" s="1709"/>
      <c r="C663" s="1709"/>
      <c r="D663" s="1709"/>
      <c r="E663" s="1709"/>
      <c r="F663" s="1709"/>
      <c r="G663" s="1709"/>
      <c r="H663" s="1709"/>
      <c r="I663" s="1710"/>
    </row>
    <row r="664" spans="1:9" hidden="1" x14ac:dyDescent="0.25">
      <c r="A664" s="1705" t="str">
        <f>A661&amp;A662&amp;A663</f>
        <v/>
      </c>
      <c r="B664" s="1706"/>
      <c r="C664" s="1706"/>
      <c r="D664" s="1706"/>
      <c r="E664" s="1706"/>
      <c r="F664" s="1706"/>
      <c r="G664" s="1706"/>
      <c r="H664" s="1706"/>
      <c r="I664" s="1707"/>
    </row>
    <row r="665" spans="1:9" hidden="1" x14ac:dyDescent="0.25">
      <c r="A665" s="1705">
        <f>LEN(A664)</f>
        <v>0</v>
      </c>
      <c r="B665" s="1706"/>
      <c r="C665" s="1706"/>
      <c r="D665" s="1706"/>
      <c r="E665" s="1706"/>
      <c r="F665" s="1706"/>
      <c r="G665" s="1706"/>
      <c r="H665" s="1706"/>
      <c r="I665" s="1707"/>
    </row>
    <row r="666" spans="1:9" hidden="1" x14ac:dyDescent="0.25">
      <c r="A666" s="1711" t="str">
        <f>IF(A665&gt;0,MID(A664,1,A665-2),"")</f>
        <v/>
      </c>
      <c r="B666" s="1709"/>
      <c r="C666" s="1709"/>
      <c r="D666" s="1709"/>
      <c r="E666" s="1709"/>
      <c r="F666" s="1709"/>
      <c r="G666" s="1709"/>
      <c r="H666" s="1709"/>
      <c r="I666" s="1710"/>
    </row>
    <row r="667" spans="1:9" hidden="1" x14ac:dyDescent="0.25">
      <c r="A667" s="1573"/>
      <c r="B667" s="1573"/>
      <c r="C667" s="1573"/>
      <c r="D667" s="1573"/>
      <c r="E667" s="1573"/>
      <c r="F667" s="1573"/>
      <c r="G667" s="1573"/>
      <c r="H667" s="1573"/>
      <c r="I667" s="1573"/>
    </row>
    <row r="668" spans="1:9" hidden="1" x14ac:dyDescent="0.25">
      <c r="A668" s="1573"/>
      <c r="B668" s="1573"/>
      <c r="C668" s="1573"/>
      <c r="D668" s="1573"/>
      <c r="E668" s="1573"/>
      <c r="F668" s="1573"/>
      <c r="G668" s="1573"/>
      <c r="H668" s="1573"/>
      <c r="I668" s="1573"/>
    </row>
    <row r="669" spans="1:9" hidden="1" x14ac:dyDescent="0.25">
      <c r="A669" s="3188" t="str">
        <f ca="1">IFERROR(IF(AND(KALKULATION!E55&lt;&gt;0,KALKULATION!H142=KALKULATION!M151),"
Für das kalkulierte unproduktive Personal B2.a) sind keine Zulagen (zB für Erschwernisse) in Ansatz gebracht (D2)! ",""),$K$6)</f>
        <v/>
      </c>
      <c r="B669" s="3189"/>
      <c r="C669" s="3189"/>
      <c r="D669" s="3189"/>
      <c r="E669" s="3189"/>
      <c r="F669" s="3189"/>
      <c r="G669" s="3189"/>
      <c r="H669" s="3189"/>
      <c r="I669" s="3190"/>
    </row>
    <row r="670" spans="1:9" hidden="1" x14ac:dyDescent="0.25">
      <c r="A670" s="3055" t="str">
        <f ca="1">IFERROR(IF(AND(KALKULATION!E55&lt;&gt;0,KALKULATION!H154&lt;&gt;0),"
Für das UNPRODUKTIVE PERSONAL (gem B2.a) sind Zulagen im Gesamtausmaß von "&amp;TEXT(KALKULATION!H154,"0,00%")&amp;" in Ansatz gebracht. "&amp;IF(KALKULATION!H142=KALKULATION!M149,"Dieser Ansatz entspricht jenem des produktiven Personals. "&amp;A675,"Dieser Ansatz entspringt einer individuellen Kalkulation die folgende Zulagen, in Klammer Anteil der unproduktiven Gesamtstunden, berücksichtigt: ["&amp;A666&amp;"]. "&amp;A675),""),$K$6)</f>
        <v xml:space="preserve">
Für das UNPRODUKTIVE PERSONAL (gem B2.a) sind Zulagen im Gesamtausmaß von 3,00% in Ansatz gebracht. Dieser Ansatz entspricht jenem des produktiven Personals. Das kalkulatorische Rechenergebnis zur Berücksichtigung der Zulagen für das unproduktive Personal beträgt 0,32%. </v>
      </c>
      <c r="B670" s="3053"/>
      <c r="C670" s="3053"/>
      <c r="D670" s="3053"/>
      <c r="E670" s="3053"/>
      <c r="F670" s="3053"/>
      <c r="G670" s="3053"/>
      <c r="H670" s="3053"/>
      <c r="I670" s="3056"/>
    </row>
    <row r="671" spans="1:9" hidden="1" x14ac:dyDescent="0.25">
      <c r="A671" s="3092"/>
      <c r="B671" s="3054"/>
      <c r="C671" s="3054"/>
      <c r="D671" s="3054"/>
      <c r="E671" s="3054"/>
      <c r="F671" s="3054"/>
      <c r="G671" s="3054"/>
      <c r="H671" s="3054"/>
      <c r="I671" s="3093"/>
    </row>
    <row r="672" spans="1:9" hidden="1" x14ac:dyDescent="0.25">
      <c r="A672" s="3092"/>
      <c r="B672" s="3054"/>
      <c r="C672" s="3054"/>
      <c r="D672" s="3054"/>
      <c r="E672" s="3054"/>
      <c r="F672" s="3054"/>
      <c r="G672" s="3054"/>
      <c r="H672" s="3054"/>
      <c r="I672" s="3093"/>
    </row>
    <row r="673" spans="1:9" hidden="1" x14ac:dyDescent="0.25">
      <c r="A673" s="3057"/>
      <c r="B673" s="3058"/>
      <c r="C673" s="3058"/>
      <c r="D673" s="3058"/>
      <c r="E673" s="3058"/>
      <c r="F673" s="3058"/>
      <c r="G673" s="3058"/>
      <c r="H673" s="3058"/>
      <c r="I673" s="3059"/>
    </row>
    <row r="674" spans="1:9" hidden="1" x14ac:dyDescent="0.25">
      <c r="A674" s="1573"/>
      <c r="B674" s="1573"/>
      <c r="C674" s="1573"/>
      <c r="D674" s="1573"/>
      <c r="E674" s="1573"/>
      <c r="F674" s="1573"/>
      <c r="G674" s="1573"/>
      <c r="H674" s="1573"/>
      <c r="I674" s="1573"/>
    </row>
    <row r="675" spans="1:9" hidden="1" x14ac:dyDescent="0.25">
      <c r="A675" s="3161" t="str">
        <f ca="1">"Das kalkulatorische Rechenergebnis zur Berücksichtigung der Zulagen für das unproduktive Personal beträgt "&amp;TEXT(KALKULATION!H165*KALKULATION!H163/KALKULATION!H164,"0,00%")&amp;". "</f>
        <v xml:space="preserve">Das kalkulatorische Rechenergebnis zur Berücksichtigung der Zulagen für das unproduktive Personal beträgt 0,32%. </v>
      </c>
      <c r="B675" s="3161"/>
      <c r="C675" s="3161"/>
      <c r="D675" s="3161"/>
      <c r="E675" s="3161"/>
      <c r="F675" s="3161"/>
      <c r="G675" s="3161"/>
      <c r="H675" s="3161"/>
      <c r="I675" s="3161"/>
    </row>
    <row r="676" spans="1:9" hidden="1" x14ac:dyDescent="0.25">
      <c r="A676" s="3161"/>
      <c r="B676" s="3161"/>
      <c r="C676" s="3161"/>
      <c r="D676" s="3161"/>
      <c r="E676" s="3161"/>
      <c r="F676" s="3161"/>
      <c r="G676" s="3161"/>
      <c r="H676" s="3161"/>
      <c r="I676" s="3161"/>
    </row>
    <row r="677" spans="1:9" hidden="1" x14ac:dyDescent="0.25">
      <c r="A677" s="1573"/>
      <c r="B677" s="1573"/>
      <c r="C677" s="1573"/>
      <c r="D677" s="1573"/>
      <c r="E677" s="1573"/>
      <c r="F677" s="1573"/>
      <c r="G677" s="1573"/>
      <c r="H677" s="1573"/>
      <c r="I677" s="1573"/>
    </row>
    <row r="678" spans="1:9" hidden="1" x14ac:dyDescent="0.25">
      <c r="A678" s="1573"/>
      <c r="B678" s="1573"/>
      <c r="C678" s="1573"/>
      <c r="D678" s="1573"/>
      <c r="E678" s="1573"/>
      <c r="F678" s="1573"/>
      <c r="G678" s="1573"/>
      <c r="H678" s="1573"/>
      <c r="I678" s="1573"/>
    </row>
    <row r="679" spans="1:9" hidden="1" x14ac:dyDescent="0.25">
      <c r="A679" s="1573"/>
      <c r="B679" s="1573"/>
      <c r="C679" s="1573"/>
      <c r="D679" s="1573"/>
      <c r="E679" s="1573"/>
      <c r="F679" s="1573"/>
      <c r="G679" s="1573"/>
      <c r="H679" s="1573"/>
      <c r="I679" s="1573"/>
    </row>
    <row r="680" spans="1:9" hidden="1" x14ac:dyDescent="0.25">
      <c r="A680" s="3055" t="str">
        <f>IFERROR(IF(KALKULATION!H166&lt;&gt;0,"
Das Rechenergebnis für Zulagen ist individuell um "&amp;TEXT(KALKULATION!H166,"0,00%")&amp;"-Punkte abgeändert (D4.b). ",""),$K$6)</f>
        <v/>
      </c>
      <c r="B680" s="3053"/>
      <c r="C680" s="3053"/>
      <c r="D680" s="3053"/>
      <c r="E680" s="3053"/>
      <c r="F680" s="3053"/>
      <c r="G680" s="3053"/>
      <c r="H680" s="3053"/>
      <c r="I680" s="3056"/>
    </row>
    <row r="681" spans="1:9" hidden="1" x14ac:dyDescent="0.25">
      <c r="A681" s="3092"/>
      <c r="B681" s="3054"/>
      <c r="C681" s="3054"/>
      <c r="D681" s="3054"/>
      <c r="E681" s="3054"/>
      <c r="F681" s="3054"/>
      <c r="G681" s="3054"/>
      <c r="H681" s="3054"/>
      <c r="I681" s="3093"/>
    </row>
    <row r="682" spans="1:9" hidden="1" x14ac:dyDescent="0.25">
      <c r="A682" s="3092"/>
      <c r="B682" s="3054"/>
      <c r="C682" s="3054"/>
      <c r="D682" s="3054"/>
      <c r="E682" s="3054"/>
      <c r="F682" s="3054"/>
      <c r="G682" s="3054"/>
      <c r="H682" s="3054"/>
      <c r="I682" s="3093"/>
    </row>
    <row r="683" spans="1:9" hidden="1" x14ac:dyDescent="0.25">
      <c r="A683" s="3057"/>
      <c r="B683" s="3058"/>
      <c r="C683" s="3058"/>
      <c r="D683" s="3058"/>
      <c r="E683" s="3058"/>
      <c r="F683" s="3058"/>
      <c r="G683" s="3058"/>
      <c r="H683" s="3058"/>
      <c r="I683" s="3059"/>
    </row>
    <row r="684" spans="1:9" hidden="1" x14ac:dyDescent="0.25">
      <c r="A684" s="1573"/>
      <c r="B684" s="1573"/>
      <c r="C684" s="1573"/>
      <c r="D684" s="1573"/>
      <c r="E684" s="1573"/>
      <c r="F684" s="1573"/>
      <c r="G684" s="1573"/>
      <c r="H684" s="1573"/>
      <c r="I684" s="1573"/>
    </row>
    <row r="685" spans="1:9" hidden="1" x14ac:dyDescent="0.25">
      <c r="A685" s="3054" t="str">
        <f ca="1">IFERROR(IF(KALKULATION!H167&lt;&gt;0,"
Insgesamt sind Zulagen mit einer Auswirkung in Hv "&amp;TEXT(' K3 PP'!O25,"0,00€")&amp;" (K3 Zeile 7) in die Kalkulation eingeflossen ("&amp;TEXT(KALKULATION!H167,"0,00%")&amp;"). ",""),"")</f>
        <v xml:space="preserve">
Insgesamt sind Zulagen mit einer Auswirkung in Hv 0,66€ (K3 Zeile 7) in die Kalkulation eingeflossen (3,00%). </v>
      </c>
      <c r="B685" s="3054"/>
      <c r="C685" s="3054"/>
      <c r="D685" s="3054"/>
      <c r="E685" s="3054"/>
      <c r="F685" s="3054"/>
      <c r="G685" s="3054"/>
      <c r="H685" s="3054"/>
      <c r="I685" s="3054"/>
    </row>
    <row r="686" spans="1:9" hidden="1" x14ac:dyDescent="0.25">
      <c r="A686" s="3054"/>
      <c r="B686" s="3054"/>
      <c r="C686" s="3054"/>
      <c r="D686" s="3054"/>
      <c r="E686" s="3054"/>
      <c r="F686" s="3054"/>
      <c r="G686" s="3054"/>
      <c r="H686" s="3054"/>
      <c r="I686" s="3054"/>
    </row>
    <row r="687" spans="1:9" hidden="1" x14ac:dyDescent="0.25">
      <c r="A687" s="3054"/>
      <c r="B687" s="3054"/>
      <c r="C687" s="3054"/>
      <c r="D687" s="3054"/>
      <c r="E687" s="3054"/>
      <c r="F687" s="3054"/>
      <c r="G687" s="3054"/>
      <c r="H687" s="3054"/>
      <c r="I687" s="3054"/>
    </row>
    <row r="688" spans="1:9" hidden="1" x14ac:dyDescent="0.25">
      <c r="A688" s="3054"/>
      <c r="B688" s="3054"/>
      <c r="C688" s="3054"/>
      <c r="D688" s="3054"/>
      <c r="E688" s="3054"/>
      <c r="F688" s="3054"/>
      <c r="G688" s="3054"/>
      <c r="H688" s="3054"/>
      <c r="I688" s="3054"/>
    </row>
    <row r="689" spans="1:18" hidden="1" x14ac:dyDescent="0.25">
      <c r="A689" s="3054"/>
      <c r="B689" s="3054"/>
      <c r="C689" s="3054"/>
      <c r="D689" s="3054"/>
      <c r="E689" s="3054"/>
      <c r="F689" s="3054"/>
      <c r="G689" s="3054"/>
      <c r="H689" s="3054"/>
      <c r="I689" s="3054"/>
    </row>
    <row r="690" spans="1:18" s="1712" customFormat="1" hidden="1" x14ac:dyDescent="0.25">
      <c r="A690" s="1573"/>
      <c r="B690" s="1573"/>
      <c r="C690" s="1518"/>
      <c r="D690" s="1518"/>
      <c r="E690" s="1518"/>
      <c r="F690" s="1518"/>
      <c r="G690" s="1518"/>
      <c r="H690" s="1518"/>
      <c r="I690" s="1518"/>
      <c r="K690" s="2113"/>
      <c r="L690" s="2113"/>
      <c r="M690" s="2113"/>
      <c r="N690" s="2113"/>
      <c r="O690" s="2113"/>
      <c r="P690" s="2113"/>
      <c r="Q690" s="2113"/>
      <c r="R690" s="2113"/>
    </row>
    <row r="691" spans="1:18" s="1712" customFormat="1" hidden="1" x14ac:dyDescent="0.25">
      <c r="A691" s="1713" t="s">
        <v>470</v>
      </c>
      <c r="B691" s="1686"/>
      <c r="C691" s="1714">
        <f ca="1">' K3 PP'!O25</f>
        <v>0.66</v>
      </c>
      <c r="D691" s="1714"/>
      <c r="E691" s="1714"/>
      <c r="F691" s="1714"/>
      <c r="G691" s="1714"/>
      <c r="H691" s="1714"/>
      <c r="I691" s="1715"/>
      <c r="K691" s="2113"/>
      <c r="L691" s="2113"/>
      <c r="M691" s="2113"/>
      <c r="N691" s="2113"/>
      <c r="O691" s="2113"/>
      <c r="P691" s="2113"/>
      <c r="Q691" s="2113"/>
      <c r="R691" s="2113"/>
    </row>
    <row r="692" spans="1:18" s="1712" customFormat="1" hidden="1" x14ac:dyDescent="0.25">
      <c r="A692" s="1716"/>
      <c r="B692" s="1688"/>
      <c r="C692" s="1679"/>
      <c r="D692" s="1717">
        <f ca="1">' K3 PP'!O28</f>
        <v>28</v>
      </c>
      <c r="E692" s="1679"/>
      <c r="F692" s="1679"/>
      <c r="G692" s="1679"/>
      <c r="H692" s="1679"/>
      <c r="I692" s="1680"/>
      <c r="K692" s="2113"/>
      <c r="L692" s="2113"/>
      <c r="M692" s="2113"/>
      <c r="N692" s="2113"/>
      <c r="O692" s="2113"/>
      <c r="P692" s="2113"/>
      <c r="Q692" s="2113"/>
      <c r="R692" s="2113"/>
    </row>
    <row r="693" spans="1:18" s="1712" customFormat="1" hidden="1" x14ac:dyDescent="0.25">
      <c r="A693" s="1716"/>
      <c r="B693" s="1688"/>
      <c r="C693" s="1679"/>
      <c r="D693" s="1717">
        <f ca="1">' K3 PP'!O39</f>
        <v>65.86</v>
      </c>
      <c r="E693" s="1718">
        <f ca="1">D693/D692</f>
        <v>2.35</v>
      </c>
      <c r="F693" s="1679" t="s">
        <v>471</v>
      </c>
      <c r="G693" s="1717">
        <f ca="1">C691*E693</f>
        <v>1.55</v>
      </c>
      <c r="H693" s="1679"/>
      <c r="I693" s="1680"/>
      <c r="K693" s="2113"/>
      <c r="L693" s="2113"/>
      <c r="M693" s="2113"/>
      <c r="N693" s="2113"/>
      <c r="O693" s="2113"/>
      <c r="P693" s="2113"/>
      <c r="Q693" s="2113"/>
      <c r="R693" s="2113"/>
    </row>
    <row r="694" spans="1:18" hidden="1" x14ac:dyDescent="0.25">
      <c r="A694" s="1719"/>
      <c r="B694" s="1720"/>
      <c r="C694" s="1720"/>
      <c r="D694" s="1721">
        <f ca="1">' K3 PP'!O44</f>
        <v>84.96</v>
      </c>
      <c r="E694" s="1722">
        <f ca="1">D694/D692</f>
        <v>3.03</v>
      </c>
      <c r="F694" s="1720" t="s">
        <v>472</v>
      </c>
      <c r="G694" s="1721">
        <f ca="1">C691*E694</f>
        <v>2</v>
      </c>
      <c r="H694" s="1720"/>
      <c r="I694" s="1723"/>
    </row>
    <row r="695" spans="1:18" hidden="1" x14ac:dyDescent="0.25">
      <c r="A695" s="1724" t="s">
        <v>299</v>
      </c>
      <c r="B695" s="1725"/>
      <c r="C695" s="1725"/>
      <c r="D695" s="1725"/>
      <c r="E695" s="1725"/>
      <c r="F695" s="1725"/>
      <c r="G695" s="1725"/>
      <c r="H695" s="1725"/>
      <c r="I695" s="1725"/>
    </row>
    <row r="696" spans="1:18" hidden="1" x14ac:dyDescent="0.25">
      <c r="A696" s="1726" t="s">
        <v>293</v>
      </c>
      <c r="B696" s="1727">
        <f ca="1">' K3 PP'!O27</f>
        <v>1.4</v>
      </c>
      <c r="C696" s="1728">
        <f ca="1">B696/F696</f>
        <v>0.43209999999999998</v>
      </c>
      <c r="D696" s="1727">
        <f ca="1">H696-KALKULATION!E177-KALKULATION!G214/KALKULATION!C95</f>
        <v>1.84</v>
      </c>
      <c r="E696" s="1729">
        <f ca="1">D696/F696</f>
        <v>0.56789999999999996</v>
      </c>
      <c r="F696" s="1730">
        <f ca="1">B696+D696</f>
        <v>3.24</v>
      </c>
      <c r="G696" s="1731"/>
      <c r="H696" s="1732">
        <f ca="1">' K3 PP'!O29</f>
        <v>1.9</v>
      </c>
      <c r="I696" s="1733"/>
    </row>
    <row r="697" spans="1:18" hidden="1" x14ac:dyDescent="0.25">
      <c r="A697" s="1734" t="s">
        <v>294</v>
      </c>
      <c r="B697" s="1735">
        <f ca="1">Stammdaten!B99</f>
        <v>30</v>
      </c>
      <c r="C697" s="1736">
        <f ca="1">' K3 PP'!P19</f>
        <v>42</v>
      </c>
      <c r="D697" s="1737">
        <v>5</v>
      </c>
      <c r="E697" s="1738">
        <f ca="1">B697/(C697/5)</f>
        <v>3.57</v>
      </c>
      <c r="F697" s="1737">
        <v>4</v>
      </c>
      <c r="G697" s="1738">
        <f ca="1">B697/(C697/F697)</f>
        <v>2.86</v>
      </c>
      <c r="H697" s="1737"/>
      <c r="I697" s="1739"/>
    </row>
    <row r="698" spans="1:18" hidden="1" x14ac:dyDescent="0.25">
      <c r="A698" s="1740" t="s">
        <v>473</v>
      </c>
      <c r="B698" s="1741"/>
      <c r="C698" s="1742">
        <f ca="1">KALKULATION!G189/ROUNDDOWN(AVERAGE(KALKULATION!F184:F188),0)</f>
        <v>12.85</v>
      </c>
      <c r="D698" s="1741"/>
      <c r="E698" s="1743"/>
      <c r="F698" s="1744"/>
      <c r="G698" s="1745"/>
      <c r="H698" s="1746"/>
      <c r="I698" s="1747"/>
    </row>
    <row r="699" spans="1:18" hidden="1" x14ac:dyDescent="0.25"/>
    <row r="700" spans="1:18" ht="15.75" hidden="1" customHeight="1" x14ac:dyDescent="0.25">
      <c r="A700" s="3055" t="str">
        <f ca="1">IFERROR(IF((' K3 PP'!O27+' K3 PP'!O29)=0,"Es sind keine Kosten für Aufwandsentschädigungen oder nicht abgabepflichtige Personalkosten angesetzt (Taggeld, Wegzeitvergütung, Trennung, Heimfahrten udgl.)"&amp;"Das kann grundsätzlich nur dann zutreffend sein, wenn die Bau- oder Montagestelle nahe dem Betriebsstandort liegt oder Arbeitskräfte direkt auf der Baustelle aufgenommen werden oder wenn es sich um Vorfertigung in der Werkstätte handelt. ","Für abgabepflichtige sonstige Entgelte und Entschädigungen sind Kosten in Hv "&amp;TEXT(B696,"0,00€")&amp;"/Std und für nicht abgabepflichtige (abgabefreie) Entschädigungen sind Kosten in Hv "&amp;TEXT(H696,"0,00€")&amp;"/Std in Ansatz gebracht (K3 Zeile 9 bzw 11). "&amp;A708),$K$6)</f>
        <v xml:space="preserve">Für abgabepflichtige sonstige Entgelte und Entschädigungen sind Kosten in Hv 1,40€/Std und für nicht abgabepflichtige (abgabefreie) Entschädigungen sind Kosten in Hv 1,90€/Std in Ansatz gebracht (K3 Zeile 9 bzw 11). </v>
      </c>
      <c r="B700" s="3053"/>
      <c r="C700" s="3053"/>
      <c r="D700" s="3053"/>
      <c r="E700" s="3053"/>
      <c r="F700" s="3053"/>
      <c r="G700" s="3053"/>
      <c r="H700" s="3053"/>
      <c r="I700" s="3056"/>
    </row>
    <row r="701" spans="1:18" hidden="1" x14ac:dyDescent="0.25">
      <c r="A701" s="3092"/>
      <c r="B701" s="3054"/>
      <c r="C701" s="3054"/>
      <c r="D701" s="3054"/>
      <c r="E701" s="3054"/>
      <c r="F701" s="3054"/>
      <c r="G701" s="3054"/>
      <c r="H701" s="3054"/>
      <c r="I701" s="3093"/>
    </row>
    <row r="702" spans="1:18" hidden="1" x14ac:dyDescent="0.25">
      <c r="A702" s="3092"/>
      <c r="B702" s="3054"/>
      <c r="C702" s="3054"/>
      <c r="D702" s="3054"/>
      <c r="E702" s="3054"/>
      <c r="F702" s="3054"/>
      <c r="G702" s="3054"/>
      <c r="H702" s="3054"/>
      <c r="I702" s="3093"/>
    </row>
    <row r="703" spans="1:18" hidden="1" x14ac:dyDescent="0.25">
      <c r="A703" s="3092"/>
      <c r="B703" s="3054"/>
      <c r="C703" s="3054"/>
      <c r="D703" s="3054"/>
      <c r="E703" s="3054"/>
      <c r="F703" s="3054"/>
      <c r="G703" s="3054"/>
      <c r="H703" s="3054"/>
      <c r="I703" s="3093"/>
    </row>
    <row r="704" spans="1:18" hidden="1" x14ac:dyDescent="0.25">
      <c r="A704" s="3092"/>
      <c r="B704" s="3054"/>
      <c r="C704" s="3054"/>
      <c r="D704" s="3054"/>
      <c r="E704" s="3054"/>
      <c r="F704" s="3054"/>
      <c r="G704" s="3054"/>
      <c r="H704" s="3054"/>
      <c r="I704" s="3093"/>
    </row>
    <row r="705" spans="1:9" hidden="1" x14ac:dyDescent="0.25">
      <c r="A705" s="3092"/>
      <c r="B705" s="3054"/>
      <c r="C705" s="3054"/>
      <c r="D705" s="3054"/>
      <c r="E705" s="3054"/>
      <c r="F705" s="3054"/>
      <c r="G705" s="3054"/>
      <c r="H705" s="3054"/>
      <c r="I705" s="3093"/>
    </row>
    <row r="706" spans="1:9" hidden="1" x14ac:dyDescent="0.25">
      <c r="A706" s="3057"/>
      <c r="B706" s="3058"/>
      <c r="C706" s="3058"/>
      <c r="D706" s="3058"/>
      <c r="E706" s="3058"/>
      <c r="F706" s="3058"/>
      <c r="G706" s="3058"/>
      <c r="H706" s="3058"/>
      <c r="I706" s="3059"/>
    </row>
    <row r="707" spans="1:9" hidden="1" x14ac:dyDescent="0.25">
      <c r="A707" s="1518"/>
      <c r="B707" s="1518"/>
      <c r="C707" s="1518"/>
      <c r="D707" s="1518"/>
      <c r="E707" s="1518"/>
      <c r="F707" s="1518"/>
      <c r="G707" s="1518"/>
      <c r="H707" s="1518"/>
      <c r="I707" s="1623"/>
    </row>
    <row r="708" spans="1:9" hidden="1" x14ac:dyDescent="0.25">
      <c r="A708" s="3161" t="str">
        <f ca="1">IF(C698&gt;0.95*B697,"(Hinweis: Aus den Ansätzen in C2 können abgabefreie Entschädigung von ca "&amp;TEXT(C698,"0€")&amp;"/Tag abgeleitet werden. In den Quelldaten ist der abgabefreie Höchstbetrag für Taggelder mit "&amp;TEXT(B697,"0,00€")&amp;"/Tag angegeben. Der zuvor genannte Betrag liegt nahe bei diesem Grenzwert oder überschreitet ihn (der Ansatz abgabefreier Nächtigungsgelder könnte eine Erklärung sein). "&amp;" Die gewählten Ansätze sollten daher kontrolliert werden um bei allfälligen Nachfragen im Rahmen einer Angebotsprüfung nach dem BVergG eine abgabe- und sozialversicherungsrechtlich konforme Kalkulation belegen zu können!)","")</f>
        <v/>
      </c>
      <c r="B708" s="3161"/>
      <c r="C708" s="3161"/>
      <c r="D708" s="3161"/>
      <c r="E708" s="3161"/>
      <c r="F708" s="3161"/>
      <c r="G708" s="3161"/>
      <c r="H708" s="3161"/>
      <c r="I708" s="3162"/>
    </row>
    <row r="709" spans="1:9" hidden="1" x14ac:dyDescent="0.25">
      <c r="A709" s="3161"/>
      <c r="B709" s="3161"/>
      <c r="C709" s="3161"/>
      <c r="D709" s="3161"/>
      <c r="E709" s="3161"/>
      <c r="F709" s="3161"/>
      <c r="G709" s="3161"/>
      <c r="H709" s="3161"/>
      <c r="I709" s="3162"/>
    </row>
    <row r="710" spans="1:9" hidden="1" x14ac:dyDescent="0.25">
      <c r="A710" s="3161"/>
      <c r="B710" s="3161"/>
      <c r="C710" s="3161"/>
      <c r="D710" s="3161"/>
      <c r="E710" s="3161"/>
      <c r="F710" s="3161"/>
      <c r="G710" s="3161"/>
      <c r="H710" s="3161"/>
      <c r="I710" s="3162"/>
    </row>
    <row r="711" spans="1:9" hidden="1" x14ac:dyDescent="0.25">
      <c r="A711" s="3161"/>
      <c r="B711" s="3161"/>
      <c r="C711" s="3161"/>
      <c r="D711" s="3161"/>
      <c r="E711" s="3161"/>
      <c r="F711" s="3161"/>
      <c r="G711" s="3161"/>
      <c r="H711" s="3161"/>
      <c r="I711" s="3162"/>
    </row>
    <row r="712" spans="1:9" hidden="1" x14ac:dyDescent="0.25">
      <c r="A712" s="3161"/>
      <c r="B712" s="3161"/>
      <c r="C712" s="3161"/>
      <c r="D712" s="3161"/>
      <c r="E712" s="3161"/>
      <c r="F712" s="3161"/>
      <c r="G712" s="3161"/>
      <c r="H712" s="3161"/>
      <c r="I712" s="3162"/>
    </row>
    <row r="713" spans="1:9" hidden="1" x14ac:dyDescent="0.25">
      <c r="A713" s="1573"/>
      <c r="B713" s="1573"/>
      <c r="C713" s="1573"/>
      <c r="D713" s="1573"/>
      <c r="E713" s="1573"/>
      <c r="F713" s="1573"/>
      <c r="G713" s="1573"/>
      <c r="H713" s="1573"/>
      <c r="I713" s="1619"/>
    </row>
    <row r="714" spans="1:9" hidden="1" x14ac:dyDescent="0.25">
      <c r="A714" s="1573"/>
      <c r="B714" s="1573"/>
      <c r="C714" s="1573"/>
      <c r="D714" s="1573"/>
      <c r="E714" s="1573"/>
      <c r="F714" s="1573"/>
      <c r="G714" s="1573"/>
      <c r="H714" s="1573"/>
      <c r="I714" s="1619"/>
    </row>
    <row r="715" spans="1:9" hidden="1" x14ac:dyDescent="0.25">
      <c r="A715" s="1518"/>
      <c r="B715" s="1518"/>
      <c r="C715" s="1518"/>
      <c r="D715" s="1518"/>
      <c r="E715" s="1518"/>
      <c r="F715" s="1518"/>
      <c r="G715" s="1518"/>
      <c r="H715" s="1518"/>
      <c r="I715" s="1623"/>
    </row>
    <row r="716" spans="1:9" hidden="1" x14ac:dyDescent="0.25">
      <c r="A716" s="3054" t="str">
        <f ca="1">IFERROR(IF(SUM(KALKULATION!F139,KALKULATION!G139)&lt;&gt;0,"
Unter dem abgabefreien Betrag in K3 Zeile 11 ist eine abgabefreie Zulage aus C1.a in Hv "&amp;TEXT(KALKULATION!E177,"0,00€")&amp;"/Std für ["&amp;KALKULATION!A137&amp;"] enthalten. ",""),$K$6)</f>
        <v xml:space="preserve">
Unter dem abgabefreien Betrag in K3 Zeile 11 ist eine abgabefreie Zulage aus C1.a in Hv 0,06€/Std für [Schmutzzulage Altlasten] enthalten. </v>
      </c>
      <c r="B716" s="3054"/>
      <c r="C716" s="3054"/>
      <c r="D716" s="3054"/>
      <c r="E716" s="3054"/>
      <c r="F716" s="3054"/>
      <c r="G716" s="3054"/>
      <c r="H716" s="3054"/>
      <c r="I716" s="3093"/>
    </row>
    <row r="717" spans="1:9" hidden="1" x14ac:dyDescent="0.25">
      <c r="A717" s="3054"/>
      <c r="B717" s="3054"/>
      <c r="C717" s="3054"/>
      <c r="D717" s="3054"/>
      <c r="E717" s="3054"/>
      <c r="F717" s="3054"/>
      <c r="G717" s="3054"/>
      <c r="H717" s="3054"/>
      <c r="I717" s="3093"/>
    </row>
    <row r="718" spans="1:9" hidden="1" x14ac:dyDescent="0.25">
      <c r="A718" s="3054"/>
      <c r="B718" s="3054"/>
      <c r="C718" s="3054"/>
      <c r="D718" s="3054"/>
      <c r="E718" s="3054"/>
      <c r="F718" s="3054"/>
      <c r="G718" s="3054"/>
      <c r="H718" s="3054"/>
      <c r="I718" s="3093"/>
    </row>
    <row r="719" spans="1:9" hidden="1" x14ac:dyDescent="0.25">
      <c r="A719" s="1573"/>
      <c r="B719" s="1573"/>
      <c r="C719" s="1573"/>
      <c r="D719" s="1573"/>
      <c r="E719" s="1573"/>
      <c r="F719" s="1573"/>
      <c r="G719" s="1573"/>
      <c r="H719" s="1573"/>
      <c r="I719" s="1619"/>
    </row>
    <row r="720" spans="1:9" hidden="1" x14ac:dyDescent="0.25">
      <c r="A720" s="1748" t="s">
        <v>367</v>
      </c>
      <c r="B720" s="1749"/>
      <c r="C720" s="1749"/>
      <c r="D720" s="1749"/>
      <c r="E720" s="1749"/>
      <c r="F720" s="1749"/>
      <c r="G720" s="1749"/>
      <c r="H720" s="1749"/>
      <c r="I720" s="1750"/>
    </row>
    <row r="721" spans="1:9" hidden="1" x14ac:dyDescent="0.25">
      <c r="A721" s="1693" t="str">
        <f>IF(KALKULATION!A174="","",KALKULATION!A174&amp;" ("&amp;TEXT(KALKULATION!D174,"0%")&amp;"), ")</f>
        <v/>
      </c>
      <c r="B721" s="1751"/>
      <c r="C721" s="1751"/>
      <c r="D721" s="1752"/>
      <c r="E721" s="1751"/>
      <c r="F721" s="1751"/>
      <c r="G721" s="1751"/>
      <c r="H721" s="1751"/>
      <c r="I721" s="1753"/>
    </row>
    <row r="722" spans="1:9" hidden="1" x14ac:dyDescent="0.25">
      <c r="A722" s="1693" t="str">
        <f>IF(KALKULATION!A175="","",KALKULATION!A175&amp;" ("&amp;TEXT(KALKULATION!D175,"0%")&amp;"), ")</f>
        <v/>
      </c>
      <c r="B722" s="1751"/>
      <c r="C722" s="1751"/>
      <c r="D722" s="1751"/>
      <c r="E722" s="1751"/>
      <c r="F722" s="1751"/>
      <c r="G722" s="1751"/>
      <c r="H722" s="1751"/>
      <c r="I722" s="1753"/>
    </row>
    <row r="723" spans="1:9" hidden="1" x14ac:dyDescent="0.25">
      <c r="A723" s="1693" t="str">
        <f>IF(KALKULATION!A176="","",KALKULATION!A176&amp;" ("&amp;TEXT(KALKULATION!D176,"0%")&amp;"), ")</f>
        <v/>
      </c>
      <c r="B723" s="1751"/>
      <c r="C723" s="1751"/>
      <c r="D723" s="1751"/>
      <c r="E723" s="1751"/>
      <c r="F723" s="1751"/>
      <c r="G723" s="1751"/>
      <c r="H723" s="1751"/>
      <c r="I723" s="1753"/>
    </row>
    <row r="724" spans="1:9" hidden="1" x14ac:dyDescent="0.25">
      <c r="A724" s="1693" t="str">
        <f>A721&amp;A722&amp;A723</f>
        <v/>
      </c>
      <c r="B724" s="1751"/>
      <c r="C724" s="1751"/>
      <c r="D724" s="1751"/>
      <c r="E724" s="1751"/>
      <c r="F724" s="1751"/>
      <c r="G724" s="1751"/>
      <c r="H724" s="1751"/>
      <c r="I724" s="1753"/>
    </row>
    <row r="725" spans="1:9" hidden="1" x14ac:dyDescent="0.25">
      <c r="A725" s="1693">
        <f>LEN(A724)</f>
        <v>0</v>
      </c>
      <c r="B725" s="1751"/>
      <c r="C725" s="1751"/>
      <c r="D725" s="1751"/>
      <c r="E725" s="1751"/>
      <c r="F725" s="1751"/>
      <c r="G725" s="1751"/>
      <c r="H725" s="1751"/>
      <c r="I725" s="1753"/>
    </row>
    <row r="726" spans="1:9" hidden="1" x14ac:dyDescent="0.25">
      <c r="A726" s="1754" t="str">
        <f>IF(A725&gt;0,MID(A724,1,A725-2),"")</f>
        <v/>
      </c>
      <c r="B726" s="1751"/>
      <c r="C726" s="1751"/>
      <c r="D726" s="1751"/>
      <c r="E726" s="1751"/>
      <c r="F726" s="1751"/>
      <c r="G726" s="1751"/>
      <c r="H726" s="1751"/>
      <c r="I726" s="1753"/>
    </row>
    <row r="727" spans="1:9" hidden="1" x14ac:dyDescent="0.25">
      <c r="A727" s="1693" t="s">
        <v>369</v>
      </c>
      <c r="B727" s="1751"/>
      <c r="C727" s="1688"/>
      <c r="D727" s="1755">
        <f ca="1">KALKULATION!G178</f>
        <v>2.65</v>
      </c>
      <c r="E727" s="1755">
        <f ca="1">KALKULATION!H178</f>
        <v>0</v>
      </c>
      <c r="F727" s="1751"/>
      <c r="G727" s="1751"/>
      <c r="H727" s="1751"/>
      <c r="I727" s="1753"/>
    </row>
    <row r="728" spans="1:9" ht="15.75" hidden="1" customHeight="1" x14ac:dyDescent="0.25">
      <c r="A728" s="3095" t="str">
        <f>IFERROR(IF(A726&lt;&gt;"","
-- An Entschädigungen mit ANSPRUCH PRO STUNDE ist/sind ["&amp;A726&amp;"] berücksichtigt (E1). Daraus ergeben sich Kosten pro Woche in Hv "&amp;TEXT(E727,"0,00€")&amp;" (abgabepflichtig) bzw "&amp;TEXT(D727,"0,00€")&amp;" (abgabefrei). ",""),$K$6)</f>
        <v/>
      </c>
      <c r="B728" s="3096"/>
      <c r="C728" s="3096"/>
      <c r="D728" s="3096"/>
      <c r="E728" s="3096"/>
      <c r="F728" s="3096"/>
      <c r="G728" s="3096"/>
      <c r="H728" s="3096"/>
      <c r="I728" s="3097"/>
    </row>
    <row r="729" spans="1:9" hidden="1" x14ac:dyDescent="0.25">
      <c r="A729" s="3095"/>
      <c r="B729" s="3096"/>
      <c r="C729" s="3096"/>
      <c r="D729" s="3096"/>
      <c r="E729" s="3096"/>
      <c r="F729" s="3096"/>
      <c r="G729" s="3096"/>
      <c r="H729" s="3096"/>
      <c r="I729" s="3097"/>
    </row>
    <row r="730" spans="1:9" hidden="1" x14ac:dyDescent="0.25">
      <c r="A730" s="3095"/>
      <c r="B730" s="3096"/>
      <c r="C730" s="3096"/>
      <c r="D730" s="3096"/>
      <c r="E730" s="3096"/>
      <c r="F730" s="3096"/>
      <c r="G730" s="3096"/>
      <c r="H730" s="3096"/>
      <c r="I730" s="3097"/>
    </row>
    <row r="731" spans="1:9" hidden="1" x14ac:dyDescent="0.25">
      <c r="A731" s="1693"/>
      <c r="B731" s="1751"/>
      <c r="C731" s="1688"/>
      <c r="D731" s="1755"/>
      <c r="E731" s="1755"/>
      <c r="F731" s="1751"/>
      <c r="G731" s="1751"/>
      <c r="H731" s="1751"/>
      <c r="I731" s="1753"/>
    </row>
    <row r="732" spans="1:9" hidden="1" x14ac:dyDescent="0.25">
      <c r="A732" s="1756" t="s">
        <v>366</v>
      </c>
      <c r="B732" s="1757"/>
      <c r="C732" s="1757"/>
      <c r="D732" s="1757"/>
      <c r="E732" s="1757"/>
      <c r="F732" s="1757"/>
      <c r="G732" s="1757"/>
      <c r="H732" s="1757"/>
      <c r="I732" s="1758"/>
    </row>
    <row r="733" spans="1:9" hidden="1" x14ac:dyDescent="0.25">
      <c r="A733" s="1759" t="str">
        <f>IF(KALKULATION!A184="","",KALKULATION!A184&amp;" ("&amp;TEXT(KALKULATION!D184,"0%")&amp;"), ")</f>
        <v xml:space="preserve">Taggeld; 3 - 9 Std (§ 9, Z 4, lit a) (100%), </v>
      </c>
      <c r="B733" s="1760"/>
      <c r="C733" s="1760"/>
      <c r="D733" s="1760"/>
      <c r="E733" s="1760"/>
      <c r="F733" s="1760"/>
      <c r="G733" s="1760"/>
      <c r="H733" s="1760"/>
      <c r="I733" s="1761"/>
    </row>
    <row r="734" spans="1:9" hidden="1" x14ac:dyDescent="0.25">
      <c r="A734" s="1759" t="str">
        <f>IF(KALKULATION!A185="","",KALKULATION!A185&amp;" ("&amp;TEXT(KALKULATION!D185,"0%")&amp;"), ")</f>
        <v/>
      </c>
      <c r="B734" s="1760"/>
      <c r="C734" s="1760"/>
      <c r="D734" s="1760"/>
      <c r="E734" s="1760"/>
      <c r="F734" s="1760"/>
      <c r="G734" s="1760"/>
      <c r="H734" s="1760"/>
      <c r="I734" s="1761"/>
    </row>
    <row r="735" spans="1:9" hidden="1" x14ac:dyDescent="0.25">
      <c r="A735" s="1759" t="str">
        <f>IF(KALKULATION!A186="","",KALKULATION!A186&amp;" ("&amp;TEXT(KALKULATION!D186,"0%")&amp;"), ")</f>
        <v/>
      </c>
      <c r="B735" s="1760"/>
      <c r="C735" s="1760"/>
      <c r="D735" s="1760"/>
      <c r="E735" s="1760"/>
      <c r="F735" s="1760"/>
      <c r="G735" s="1760"/>
      <c r="H735" s="1760"/>
      <c r="I735" s="1761"/>
    </row>
    <row r="736" spans="1:9" hidden="1" x14ac:dyDescent="0.25">
      <c r="A736" s="1759" t="str">
        <f>IF(KALKULATION!A187="","",KALKULATION!A187&amp;" ("&amp;TEXT(KALKULATION!D187,"0%")&amp;"), ")</f>
        <v/>
      </c>
      <c r="B736" s="1760"/>
      <c r="C736" s="1760"/>
      <c r="D736" s="1760"/>
      <c r="E736" s="1760"/>
      <c r="F736" s="1760"/>
      <c r="G736" s="1760"/>
      <c r="H736" s="1760"/>
      <c r="I736" s="1761"/>
    </row>
    <row r="737" spans="1:9" hidden="1" x14ac:dyDescent="0.25">
      <c r="A737" s="1759" t="str">
        <f>IF(KALKULATION!A188="","",KALKULATION!A188&amp;" ("&amp;TEXT(KALKULATION!D188,"0%")&amp;"), ")</f>
        <v/>
      </c>
      <c r="B737" s="1760"/>
      <c r="C737" s="1760"/>
      <c r="D737" s="1760"/>
      <c r="E737" s="1760"/>
      <c r="F737" s="1760"/>
      <c r="G737" s="1760"/>
      <c r="H737" s="1760"/>
      <c r="I737" s="1761"/>
    </row>
    <row r="738" spans="1:9" hidden="1" x14ac:dyDescent="0.25">
      <c r="A738" s="1759" t="str">
        <f>A733&amp;A734&amp;A735&amp;A736&amp;A737</f>
        <v xml:space="preserve">Taggeld; 3 - 9 Std (§ 9, Z 4, lit a) (100%), </v>
      </c>
      <c r="B738" s="1760"/>
      <c r="C738" s="1760"/>
      <c r="D738" s="1760"/>
      <c r="E738" s="1760"/>
      <c r="F738" s="1760"/>
      <c r="G738" s="1760"/>
      <c r="H738" s="1760"/>
      <c r="I738" s="1761"/>
    </row>
    <row r="739" spans="1:9" hidden="1" x14ac:dyDescent="0.25">
      <c r="A739" s="1759">
        <f>LEN(A738)</f>
        <v>45</v>
      </c>
      <c r="B739" s="1760"/>
      <c r="C739" s="1760"/>
      <c r="D739" s="1760"/>
      <c r="E739" s="1760"/>
      <c r="F739" s="1760"/>
      <c r="G739" s="1760"/>
      <c r="H739" s="1760"/>
      <c r="I739" s="1761"/>
    </row>
    <row r="740" spans="1:9" hidden="1" x14ac:dyDescent="0.25">
      <c r="A740" s="1762" t="str">
        <f>IF(A739&gt;0,MID(A738,1,A739-2),"")</f>
        <v>Taggeld; 3 - 9 Std (§ 9, Z 4, lit a) (100%)</v>
      </c>
      <c r="B740" s="1760"/>
      <c r="C740" s="1760"/>
      <c r="D740" s="1760"/>
      <c r="E740" s="1760"/>
      <c r="F740" s="1760"/>
      <c r="G740" s="1760"/>
      <c r="H740" s="1760"/>
      <c r="I740" s="1761"/>
    </row>
    <row r="741" spans="1:9" hidden="1" x14ac:dyDescent="0.25">
      <c r="A741" s="1759" t="s">
        <v>369</v>
      </c>
      <c r="B741" s="1760"/>
      <c r="C741" s="1763"/>
      <c r="D741" s="1764">
        <f ca="1">KALKULATION!G189</f>
        <v>64.25</v>
      </c>
      <c r="E741" s="1764">
        <f ca="1">KALKULATION!H189</f>
        <v>0</v>
      </c>
      <c r="F741" s="1760"/>
      <c r="G741" s="1760"/>
      <c r="H741" s="1760"/>
      <c r="I741" s="1761"/>
    </row>
    <row r="742" spans="1:9" hidden="1" x14ac:dyDescent="0.25">
      <c r="A742" s="3095" t="str">
        <f ca="1">IFERROR(IF(A740&lt;&gt;"","
-- An Entschädigungen mit ANSPRUCH PRO TAG ist/sind ["&amp;A740&amp;"] berücksichtigt (E2). Daraus ergeben sich Kosten pro Woche in Hv "&amp;TEXT(E741,"0,00€")&amp;" (abgabepflichtig) bzw "&amp;TEXT(D741,"0,00€")&amp;" (abgabefrei). ",""),$K$6)</f>
        <v xml:space="preserve">
-- An Entschädigungen mit ANSPRUCH PRO TAG ist/sind [Taggeld; 3 - 9 Std (§ 9, Z 4, lit a) (100%)] berücksichtigt (E2). Daraus ergeben sich Kosten pro Woche in Hv 0,00€ (abgabepflichtig) bzw 64,25€ (abgabefrei). </v>
      </c>
      <c r="B742" s="3096"/>
      <c r="C742" s="3096"/>
      <c r="D742" s="3096"/>
      <c r="E742" s="3096"/>
      <c r="F742" s="3096"/>
      <c r="G742" s="3096"/>
      <c r="H742" s="3096"/>
      <c r="I742" s="3097"/>
    </row>
    <row r="743" spans="1:9" hidden="1" x14ac:dyDescent="0.25">
      <c r="A743" s="3095"/>
      <c r="B743" s="3096"/>
      <c r="C743" s="3096"/>
      <c r="D743" s="3096"/>
      <c r="E743" s="3096"/>
      <c r="F743" s="3096"/>
      <c r="G743" s="3096"/>
      <c r="H743" s="3096"/>
      <c r="I743" s="3097"/>
    </row>
    <row r="744" spans="1:9" hidden="1" x14ac:dyDescent="0.25">
      <c r="A744" s="3095"/>
      <c r="B744" s="3096"/>
      <c r="C744" s="3096"/>
      <c r="D744" s="3096"/>
      <c r="E744" s="3096"/>
      <c r="F744" s="3096"/>
      <c r="G744" s="3096"/>
      <c r="H744" s="3096"/>
      <c r="I744" s="3097"/>
    </row>
    <row r="745" spans="1:9" hidden="1" x14ac:dyDescent="0.25">
      <c r="A745" s="1759"/>
      <c r="B745" s="1760"/>
      <c r="C745" s="1763"/>
      <c r="D745" s="1764"/>
      <c r="E745" s="1764"/>
      <c r="F745" s="1760"/>
      <c r="G745" s="1760"/>
      <c r="H745" s="1760"/>
      <c r="I745" s="1761"/>
    </row>
    <row r="746" spans="1:9" hidden="1" x14ac:dyDescent="0.25">
      <c r="A746" s="1765" t="s">
        <v>368</v>
      </c>
      <c r="B746" s="1766"/>
      <c r="C746" s="1766"/>
      <c r="D746" s="1766"/>
      <c r="E746" s="1766"/>
      <c r="F746" s="1766"/>
      <c r="G746" s="1766"/>
      <c r="H746" s="1766"/>
      <c r="I746" s="1767"/>
    </row>
    <row r="747" spans="1:9" hidden="1" x14ac:dyDescent="0.25">
      <c r="A747" s="1768" t="str">
        <f>IF(KALKULATION!A195="","",KALKULATION!A195&amp;" ("&amp;TEXT(KALKULATION!D195,"0%")&amp;"), ")</f>
        <v/>
      </c>
      <c r="B747" s="1769"/>
      <c r="C747" s="1769"/>
      <c r="D747" s="1769"/>
      <c r="E747" s="1769"/>
      <c r="F747" s="1769"/>
      <c r="G747" s="1769"/>
      <c r="H747" s="1769"/>
      <c r="I747" s="1770"/>
    </row>
    <row r="748" spans="1:9" hidden="1" x14ac:dyDescent="0.25">
      <c r="A748" s="1768" t="str">
        <f>IF(KALKULATION!A196="","",KALKULATION!A196&amp;" ("&amp;TEXT(KALKULATION!D196,"0%")&amp;"), ")</f>
        <v/>
      </c>
      <c r="B748" s="1769"/>
      <c r="C748" s="1769"/>
      <c r="D748" s="1769"/>
      <c r="E748" s="1769"/>
      <c r="F748" s="1769"/>
      <c r="G748" s="1769"/>
      <c r="H748" s="1769"/>
      <c r="I748" s="1770"/>
    </row>
    <row r="749" spans="1:9" hidden="1" x14ac:dyDescent="0.25">
      <c r="A749" s="1768" t="str">
        <f>IF(KALKULATION!A197="","",KALKULATION!A197&amp;" ("&amp;TEXT(KALKULATION!D197,"0%")&amp;"), ")</f>
        <v/>
      </c>
      <c r="B749" s="1769"/>
      <c r="C749" s="1769"/>
      <c r="D749" s="1769"/>
      <c r="E749" s="1769"/>
      <c r="F749" s="1769"/>
      <c r="G749" s="1769"/>
      <c r="H749" s="1769"/>
      <c r="I749" s="1770"/>
    </row>
    <row r="750" spans="1:9" hidden="1" x14ac:dyDescent="0.25">
      <c r="A750" s="1768" t="str">
        <f>IF(KALKULATION!A198="","",KALKULATION!A198&amp;" ("&amp;TEXT(KALKULATION!D198,"0%")&amp;"), ")</f>
        <v/>
      </c>
      <c r="B750" s="1769"/>
      <c r="C750" s="1769"/>
      <c r="D750" s="1769"/>
      <c r="E750" s="1769"/>
      <c r="F750" s="1769"/>
      <c r="G750" s="1769"/>
      <c r="H750" s="1769"/>
      <c r="I750" s="1770"/>
    </row>
    <row r="751" spans="1:9" hidden="1" x14ac:dyDescent="0.25">
      <c r="A751" s="1768" t="str">
        <f>IF(KALKULATION!A199="","",KALKULATION!A199&amp;" ("&amp;TEXT(KALKULATION!D199,"0%")&amp;"), ")</f>
        <v/>
      </c>
      <c r="B751" s="1769"/>
      <c r="C751" s="1769"/>
      <c r="D751" s="1769"/>
      <c r="E751" s="1769"/>
      <c r="F751" s="1769"/>
      <c r="G751" s="1769"/>
      <c r="H751" s="1769"/>
      <c r="I751" s="1770"/>
    </row>
    <row r="752" spans="1:9" hidden="1" x14ac:dyDescent="0.25">
      <c r="A752" s="1768" t="str">
        <f>A747&amp;A748&amp;A749&amp;A750&amp;A751</f>
        <v/>
      </c>
      <c r="B752" s="1769"/>
      <c r="C752" s="1769"/>
      <c r="D752" s="1769"/>
      <c r="E752" s="1769"/>
      <c r="F752" s="1769"/>
      <c r="G752" s="1769"/>
      <c r="H752" s="1769"/>
      <c r="I752" s="1770"/>
    </row>
    <row r="753" spans="1:9" hidden="1" x14ac:dyDescent="0.25">
      <c r="A753" s="1768">
        <f>LEN(A752)</f>
        <v>0</v>
      </c>
      <c r="B753" s="1769"/>
      <c r="C753" s="1769"/>
      <c r="D753" s="1769"/>
      <c r="E753" s="1769"/>
      <c r="F753" s="1769"/>
      <c r="G753" s="1769"/>
      <c r="H753" s="1769"/>
      <c r="I753" s="1770"/>
    </row>
    <row r="754" spans="1:9" hidden="1" x14ac:dyDescent="0.25">
      <c r="A754" s="1762" t="str">
        <f>IF(A753&gt;0,MID(A752,1,A753-2),"")</f>
        <v/>
      </c>
      <c r="B754" s="1769"/>
      <c r="C754" s="1769"/>
      <c r="D754" s="1769"/>
      <c r="E754" s="1769"/>
      <c r="F754" s="1769"/>
      <c r="G754" s="1769"/>
      <c r="H754" s="1769"/>
      <c r="I754" s="1770"/>
    </row>
    <row r="755" spans="1:9" hidden="1" x14ac:dyDescent="0.25">
      <c r="A755" s="1771" t="s">
        <v>369</v>
      </c>
      <c r="B755" s="1772"/>
      <c r="C755" s="1773"/>
      <c r="D755" s="1774">
        <f ca="1">KALKULATION!G200</f>
        <v>0</v>
      </c>
      <c r="E755" s="1774">
        <f ca="1">KALKULATION!H200</f>
        <v>0</v>
      </c>
      <c r="F755" s="1772"/>
      <c r="G755" s="1772"/>
      <c r="H755" s="1772"/>
      <c r="I755" s="1775"/>
    </row>
    <row r="756" spans="1:9" hidden="1" x14ac:dyDescent="0.25">
      <c r="A756" s="3095" t="str">
        <f>IFERROR(IF(A754&lt;&gt;"","
-- An Entschädigungen mit ANSPRUCH PRO WOCHE (Hinweis: bei längerer Anwartschaft muss auf den Betrag pro Woche rückgerechnet sein) ist/sind ["&amp;A754&amp;"] berücksichtigt (E3). Daraus ergeben sich Kosten pro Woche in Hv "&amp;TEXT(E755,"0,00€")&amp;" (abgabepflichtig) bzw "&amp;TEXT(D755,"0,00€")&amp;" (abgabefrei). ",""),$K$6)</f>
        <v/>
      </c>
      <c r="B756" s="3096"/>
      <c r="C756" s="3096"/>
      <c r="D756" s="3096"/>
      <c r="E756" s="3096"/>
      <c r="F756" s="3096"/>
      <c r="G756" s="3096"/>
      <c r="H756" s="3096"/>
      <c r="I756" s="3097"/>
    </row>
    <row r="757" spans="1:9" hidden="1" x14ac:dyDescent="0.25">
      <c r="A757" s="3095"/>
      <c r="B757" s="3096"/>
      <c r="C757" s="3096"/>
      <c r="D757" s="3096"/>
      <c r="E757" s="3096"/>
      <c r="F757" s="3096"/>
      <c r="G757" s="3096"/>
      <c r="H757" s="3096"/>
      <c r="I757" s="3097"/>
    </row>
    <row r="758" spans="1:9" hidden="1" x14ac:dyDescent="0.25">
      <c r="A758" s="3095"/>
      <c r="B758" s="3096"/>
      <c r="C758" s="3096"/>
      <c r="D758" s="3096"/>
      <c r="E758" s="3096"/>
      <c r="F758" s="3096"/>
      <c r="G758" s="3096"/>
      <c r="H758" s="3096"/>
      <c r="I758" s="3097"/>
    </row>
    <row r="759" spans="1:9" hidden="1" x14ac:dyDescent="0.25">
      <c r="A759" s="3095"/>
      <c r="B759" s="3096"/>
      <c r="C759" s="3096"/>
      <c r="D759" s="3096"/>
      <c r="E759" s="3096"/>
      <c r="F759" s="3096"/>
      <c r="G759" s="3096"/>
      <c r="H759" s="3096"/>
      <c r="I759" s="3097"/>
    </row>
    <row r="760" spans="1:9" hidden="1" x14ac:dyDescent="0.25">
      <c r="A760" s="1771"/>
      <c r="B760" s="1769"/>
      <c r="C760" s="1776"/>
      <c r="D760" s="1777"/>
      <c r="E760" s="1777"/>
      <c r="F760" s="1769"/>
      <c r="G760" s="1769"/>
      <c r="H760" s="1769"/>
      <c r="I760" s="1770"/>
    </row>
    <row r="761" spans="1:9" hidden="1" x14ac:dyDescent="0.25">
      <c r="A761" s="1778" t="s">
        <v>370</v>
      </c>
      <c r="B761" s="1760"/>
      <c r="C761" s="1760"/>
      <c r="D761" s="1760"/>
      <c r="E761" s="1760"/>
      <c r="F761" s="1760"/>
      <c r="G761" s="1760"/>
      <c r="H761" s="1760"/>
      <c r="I761" s="1761"/>
    </row>
    <row r="762" spans="1:9" hidden="1" x14ac:dyDescent="0.25">
      <c r="A762" s="1759" t="str">
        <f>IF(KALKULATION!A208="","",TEXT(KALKULATION!A208,"0,00")&amp;" Verrechnungsstunde(n) pro Tag ("&amp;TEXT(KALKULATION!C208,"0%")&amp;") ")</f>
        <v/>
      </c>
      <c r="B762" s="1760"/>
      <c r="C762" s="1760"/>
      <c r="D762" s="1760"/>
      <c r="E762" s="1760"/>
      <c r="F762" s="1760"/>
      <c r="G762" s="1760"/>
      <c r="H762" s="1760"/>
      <c r="I762" s="1761"/>
    </row>
    <row r="763" spans="1:9" hidden="1" x14ac:dyDescent="0.25">
      <c r="A763" s="1759" t="s">
        <v>369</v>
      </c>
      <c r="B763" s="1760"/>
      <c r="C763" s="1763"/>
      <c r="D763" s="1779" t="str">
        <f>KALKULATION!G209</f>
        <v/>
      </c>
      <c r="E763" s="1780">
        <f ca="1">KALKULATION!H209</f>
        <v>0</v>
      </c>
      <c r="F763" s="1781" t="str">
        <f>KALKULATION!G207</f>
        <v>abgabepflichtig</v>
      </c>
      <c r="G763" s="1760"/>
      <c r="H763" s="1760"/>
      <c r="I763" s="1761"/>
    </row>
    <row r="764" spans="1:9" hidden="1" x14ac:dyDescent="0.25">
      <c r="A764" s="3095" t="str">
        <f ca="1">IFERROR(IF(SUM(D763:E763)&lt;&gt;0,"
-- An zusätzlichen VERRECHNUNGSSTUNDEN ist/sind ["&amp;TEXT(A762,"0,00")&amp;"] berücksichtigt (E4). Daraus ergeben sich Kosten pro Woche in Hv "&amp;TEXT(SUM(E763,D763),"0,00€")&amp;" ("&amp;F763&amp;"). ",""),$K$6)</f>
        <v/>
      </c>
      <c r="B764" s="3096"/>
      <c r="C764" s="3096"/>
      <c r="D764" s="3096"/>
      <c r="E764" s="3096"/>
      <c r="F764" s="3096"/>
      <c r="G764" s="3096"/>
      <c r="H764" s="3096"/>
      <c r="I764" s="3097"/>
    </row>
    <row r="765" spans="1:9" hidden="1" x14ac:dyDescent="0.25">
      <c r="A765" s="3095"/>
      <c r="B765" s="3096"/>
      <c r="C765" s="3096"/>
      <c r="D765" s="3096"/>
      <c r="E765" s="3096"/>
      <c r="F765" s="3096"/>
      <c r="G765" s="3096"/>
      <c r="H765" s="3096"/>
      <c r="I765" s="3097"/>
    </row>
    <row r="766" spans="1:9" hidden="1" x14ac:dyDescent="0.25">
      <c r="A766" s="3095"/>
      <c r="B766" s="3096"/>
      <c r="C766" s="3096"/>
      <c r="D766" s="3096"/>
      <c r="E766" s="3096"/>
      <c r="F766" s="3096"/>
      <c r="G766" s="3096"/>
      <c r="H766" s="3096"/>
      <c r="I766" s="3097"/>
    </row>
    <row r="767" spans="1:9" hidden="1" x14ac:dyDescent="0.25">
      <c r="A767" s="1782"/>
      <c r="B767" s="1782"/>
      <c r="C767" s="1782"/>
      <c r="D767" s="1782"/>
      <c r="E767" s="1782"/>
      <c r="F767" s="1782"/>
      <c r="G767" s="1782"/>
      <c r="H767" s="1782"/>
      <c r="I767" s="1783"/>
    </row>
    <row r="768" spans="1:9" hidden="1" x14ac:dyDescent="0.25">
      <c r="A768" s="1784" t="s">
        <v>371</v>
      </c>
      <c r="B768" s="1785"/>
      <c r="C768" s="1785"/>
      <c r="D768" s="1785"/>
      <c r="E768" s="1785"/>
      <c r="F768" s="1785"/>
      <c r="G768" s="1785"/>
      <c r="H768" s="1785"/>
      <c r="I768" s="1786"/>
    </row>
    <row r="769" spans="1:9" hidden="1" x14ac:dyDescent="0.25">
      <c r="A769" s="3095" t="str">
        <f>IFERROR(IF(SUM(KALKULATION!G214:H214)&lt;&gt;0,"
-- An SONSTIGEM ENTGELT sind für ["&amp;KALKULATION!A214&amp;"] Kosten pro Woche in Hv "&amp;TEXT(KALKULATION!H214,"0,00€")&amp;" (abgabepflichtig)  bzw "&amp;TEXT(KALKULATION!G214,"0,00€")&amp;" (abgabefrei) berücksichtigt (C4.b). ",""),$K$6)</f>
        <v xml:space="preserve">
-- An SONSTIGEM ENTGELT sind für [# Beispiek: Leistungsprämie Termin] Kosten pro Woche in Hv 50,00€ (abgabepflichtig)  bzw 0,00€ (abgabefrei) berücksichtigt (C4.b). </v>
      </c>
      <c r="B769" s="3096"/>
      <c r="C769" s="3096"/>
      <c r="D769" s="3096"/>
      <c r="E769" s="3096"/>
      <c r="F769" s="3096"/>
      <c r="G769" s="3096"/>
      <c r="H769" s="3096"/>
      <c r="I769" s="3097"/>
    </row>
    <row r="770" spans="1:9" hidden="1" x14ac:dyDescent="0.25">
      <c r="A770" s="3095"/>
      <c r="B770" s="3096"/>
      <c r="C770" s="3096"/>
      <c r="D770" s="3096"/>
      <c r="E770" s="3096"/>
      <c r="F770" s="3096"/>
      <c r="G770" s="3096"/>
      <c r="H770" s="3096"/>
      <c r="I770" s="3097"/>
    </row>
    <row r="771" spans="1:9" hidden="1" x14ac:dyDescent="0.25">
      <c r="A771" s="3095"/>
      <c r="B771" s="3096"/>
      <c r="C771" s="3096"/>
      <c r="D771" s="3096"/>
      <c r="E771" s="3096"/>
      <c r="F771" s="3096"/>
      <c r="G771" s="3096"/>
      <c r="H771" s="3096"/>
      <c r="I771" s="3097"/>
    </row>
    <row r="772" spans="1:9" hidden="1" x14ac:dyDescent="0.25">
      <c r="A772" s="1785"/>
      <c r="B772" s="1785"/>
      <c r="C772" s="1785"/>
      <c r="D772" s="1785"/>
      <c r="E772" s="1785"/>
      <c r="F772" s="1785"/>
      <c r="G772" s="1785"/>
      <c r="H772" s="1785"/>
      <c r="I772" s="1786"/>
    </row>
    <row r="773" spans="1:9" hidden="1" x14ac:dyDescent="0.25">
      <c r="A773" s="1787"/>
      <c r="B773" s="1573"/>
      <c r="C773" s="1573"/>
      <c r="D773" s="1573"/>
      <c r="E773" s="1573"/>
      <c r="F773" s="1573"/>
      <c r="G773" s="1573"/>
      <c r="H773" s="1573"/>
      <c r="I773" s="1619"/>
    </row>
    <row r="774" spans="1:9" hidden="1" x14ac:dyDescent="0.25">
      <c r="A774" s="1573"/>
      <c r="B774" s="1573"/>
      <c r="C774" s="1573"/>
      <c r="D774" s="1573"/>
      <c r="E774" s="1573"/>
      <c r="F774" s="1573"/>
      <c r="G774" s="1573"/>
      <c r="H774" s="1573"/>
      <c r="I774" s="1619"/>
    </row>
    <row r="775" spans="1:9" ht="15.75" hidden="1" customHeight="1" x14ac:dyDescent="0.25">
      <c r="A775" s="3085" t="str">
        <f ca="1">IFERROR(IF(SUM(KALKULATION!G220,KALKULATION!H220)=0,"","
Es finden sich folgende Entschädigungen bzw Entgeltbestandteile (Prozent der Anspruchsberechtigten jeweils in Klammer) in der Kalkulation: ")&amp;A728&amp;A742&amp;A756&amp;A764&amp;A769,$K$6)</f>
        <v xml:space="preserve">
Es finden sich folgende Entschädigungen bzw Entgeltbestandteile (Prozent der Anspruchsberechtigten jeweils in Klammer) in der Kalkulation: 
-- An Entschädigungen mit ANSPRUCH PRO TAG ist/sind [Taggeld; 3 - 9 Std (§ 9, Z 4, lit a) (100%)] berücksichtigt (E2). Daraus ergeben sich Kosten pro Woche in Hv 0,00€ (abgabepflichtig) bzw 64,25€ (abgabefrei). 
-- An SONSTIGEM ENTGELT sind für [# Beispiek: Leistungsprämie Termin] Kosten pro Woche in Hv 50,00€ (abgabepflichtig)  bzw 0,00€ (abgabefrei) berücksichtigt (C4.b). </v>
      </c>
      <c r="B775" s="3086"/>
      <c r="C775" s="3086"/>
      <c r="D775" s="3086"/>
      <c r="E775" s="3086"/>
      <c r="F775" s="3086"/>
      <c r="G775" s="3086"/>
      <c r="H775" s="3086"/>
      <c r="I775" s="3087"/>
    </row>
    <row r="776" spans="1:9" hidden="1" x14ac:dyDescent="0.25">
      <c r="A776" s="3069"/>
      <c r="B776" s="3070"/>
      <c r="C776" s="3070"/>
      <c r="D776" s="3070"/>
      <c r="E776" s="3070"/>
      <c r="F776" s="3070"/>
      <c r="G776" s="3070"/>
      <c r="H776" s="3070"/>
      <c r="I776" s="3071"/>
    </row>
    <row r="777" spans="1:9" hidden="1" x14ac:dyDescent="0.25">
      <c r="A777" s="3069"/>
      <c r="B777" s="3070"/>
      <c r="C777" s="3070"/>
      <c r="D777" s="3070"/>
      <c r="E777" s="3070"/>
      <c r="F777" s="3070"/>
      <c r="G777" s="3070"/>
      <c r="H777" s="3070"/>
      <c r="I777" s="3071"/>
    </row>
    <row r="778" spans="1:9" hidden="1" x14ac:dyDescent="0.25">
      <c r="A778" s="3069"/>
      <c r="B778" s="3070"/>
      <c r="C778" s="3070"/>
      <c r="D778" s="3070"/>
      <c r="E778" s="3070"/>
      <c r="F778" s="3070"/>
      <c r="G778" s="3070"/>
      <c r="H778" s="3070"/>
      <c r="I778" s="3071"/>
    </row>
    <row r="779" spans="1:9" hidden="1" x14ac:dyDescent="0.25">
      <c r="A779" s="3069"/>
      <c r="B779" s="3070"/>
      <c r="C779" s="3070"/>
      <c r="D779" s="3070"/>
      <c r="E779" s="3070"/>
      <c r="F779" s="3070"/>
      <c r="G779" s="3070"/>
      <c r="H779" s="3070"/>
      <c r="I779" s="3071"/>
    </row>
    <row r="780" spans="1:9" hidden="1" x14ac:dyDescent="0.25">
      <c r="A780" s="3069"/>
      <c r="B780" s="3070"/>
      <c r="C780" s="3070"/>
      <c r="D780" s="3070"/>
      <c r="E780" s="3070"/>
      <c r="F780" s="3070"/>
      <c r="G780" s="3070"/>
      <c r="H780" s="3070"/>
      <c r="I780" s="3071"/>
    </row>
    <row r="781" spans="1:9" hidden="1" x14ac:dyDescent="0.25">
      <c r="A781" s="3069"/>
      <c r="B781" s="3070"/>
      <c r="C781" s="3070"/>
      <c r="D781" s="3070"/>
      <c r="E781" s="3070"/>
      <c r="F781" s="3070"/>
      <c r="G781" s="3070"/>
      <c r="H781" s="3070"/>
      <c r="I781" s="3071"/>
    </row>
    <row r="782" spans="1:9" hidden="1" x14ac:dyDescent="0.25">
      <c r="A782" s="3069"/>
      <c r="B782" s="3070"/>
      <c r="C782" s="3070"/>
      <c r="D782" s="3070"/>
      <c r="E782" s="3070"/>
      <c r="F782" s="3070"/>
      <c r="G782" s="3070"/>
      <c r="H782" s="3070"/>
      <c r="I782" s="3071"/>
    </row>
    <row r="783" spans="1:9" hidden="1" x14ac:dyDescent="0.25">
      <c r="A783" s="3069"/>
      <c r="B783" s="3070"/>
      <c r="C783" s="3070"/>
      <c r="D783" s="3070"/>
      <c r="E783" s="3070"/>
      <c r="F783" s="3070"/>
      <c r="G783" s="3070"/>
      <c r="H783" s="3070"/>
      <c r="I783" s="3071"/>
    </row>
    <row r="784" spans="1:9" hidden="1" x14ac:dyDescent="0.25">
      <c r="A784" s="3069"/>
      <c r="B784" s="3070"/>
      <c r="C784" s="3070"/>
      <c r="D784" s="3070"/>
      <c r="E784" s="3070"/>
      <c r="F784" s="3070"/>
      <c r="G784" s="3070"/>
      <c r="H784" s="3070"/>
      <c r="I784" s="3071"/>
    </row>
    <row r="785" spans="1:9" hidden="1" x14ac:dyDescent="0.25">
      <c r="A785" s="3069"/>
      <c r="B785" s="3070"/>
      <c r="C785" s="3070"/>
      <c r="D785" s="3070"/>
      <c r="E785" s="3070"/>
      <c r="F785" s="3070"/>
      <c r="G785" s="3070"/>
      <c r="H785" s="3070"/>
      <c r="I785" s="3071"/>
    </row>
    <row r="786" spans="1:9" hidden="1" x14ac:dyDescent="0.25">
      <c r="A786" s="3069"/>
      <c r="B786" s="3070"/>
      <c r="C786" s="3070"/>
      <c r="D786" s="3070"/>
      <c r="E786" s="3070"/>
      <c r="F786" s="3070"/>
      <c r="G786" s="3070"/>
      <c r="H786" s="3070"/>
      <c r="I786" s="3071"/>
    </row>
    <row r="787" spans="1:9" hidden="1" x14ac:dyDescent="0.25">
      <c r="A787" s="3069"/>
      <c r="B787" s="3070"/>
      <c r="C787" s="3070"/>
      <c r="D787" s="3070"/>
      <c r="E787" s="3070"/>
      <c r="F787" s="3070"/>
      <c r="G787" s="3070"/>
      <c r="H787" s="3070"/>
      <c r="I787" s="3071"/>
    </row>
    <row r="788" spans="1:9" hidden="1" x14ac:dyDescent="0.25">
      <c r="A788" s="3088"/>
      <c r="B788" s="3089"/>
      <c r="C788" s="3089"/>
      <c r="D788" s="3089"/>
      <c r="E788" s="3089"/>
      <c r="F788" s="3089"/>
      <c r="G788" s="3089"/>
      <c r="H788" s="3089"/>
      <c r="I788" s="3090"/>
    </row>
    <row r="789" spans="1:9" hidden="1" x14ac:dyDescent="0.25">
      <c r="A789" s="1510"/>
      <c r="B789" s="1510"/>
      <c r="C789" s="1510"/>
      <c r="D789" s="1510"/>
      <c r="E789" s="1510"/>
      <c r="F789" s="1510"/>
      <c r="G789" s="1510"/>
      <c r="H789" s="1510"/>
      <c r="I789" s="1788"/>
    </row>
    <row r="790" spans="1:9" hidden="1" x14ac:dyDescent="0.25">
      <c r="A790" s="3085" t="str">
        <f ca="1">IFERROR(IF(KALKULATION!F221&lt;&gt;0,"
Für unproduktive Zeiten ist ein Zuschlag in Hv "&amp;TEXT(KALKULATION!F221,"0,00%")&amp;" berücksichtigt (nähere Erläuterungen in E6.a). ",""),$K$6)</f>
        <v xml:space="preserve">
Für unproduktive Zeiten ist ein Zuschlag in Hv 11,11% berücksichtigt (nähere Erläuterungen in E6.a). </v>
      </c>
      <c r="B790" s="3086"/>
      <c r="C790" s="3086"/>
      <c r="D790" s="3086"/>
      <c r="E790" s="3086"/>
      <c r="F790" s="3086"/>
      <c r="G790" s="3086"/>
      <c r="H790" s="3086"/>
      <c r="I790" s="3087"/>
    </row>
    <row r="791" spans="1:9" hidden="1" x14ac:dyDescent="0.25">
      <c r="A791" s="3069"/>
      <c r="B791" s="3070"/>
      <c r="C791" s="3070"/>
      <c r="D791" s="3070"/>
      <c r="E791" s="3070"/>
      <c r="F791" s="3070"/>
      <c r="G791" s="3070"/>
      <c r="H791" s="3070"/>
      <c r="I791" s="3071"/>
    </row>
    <row r="792" spans="1:9" hidden="1" x14ac:dyDescent="0.25">
      <c r="A792" s="3088"/>
      <c r="B792" s="3089"/>
      <c r="C792" s="3089"/>
      <c r="D792" s="3089"/>
      <c r="E792" s="3089"/>
      <c r="F792" s="3089"/>
      <c r="G792" s="3089"/>
      <c r="H792" s="3089"/>
      <c r="I792" s="3090"/>
    </row>
    <row r="793" spans="1:9" hidden="1" x14ac:dyDescent="0.25">
      <c r="A793" s="1510"/>
      <c r="B793" s="1510"/>
      <c r="C793" s="1510"/>
      <c r="D793" s="1510"/>
      <c r="E793" s="1510"/>
      <c r="F793" s="1510"/>
      <c r="G793" s="1510"/>
      <c r="H793" s="1510"/>
      <c r="I793" s="1788"/>
    </row>
    <row r="794" spans="1:9" hidden="1" x14ac:dyDescent="0.25">
      <c r="A794" s="1573"/>
      <c r="B794" s="1573"/>
      <c r="C794" s="1573"/>
      <c r="D794" s="1573"/>
      <c r="E794" s="1573"/>
      <c r="F794" s="1573"/>
      <c r="G794" s="1573"/>
      <c r="H794" s="1573"/>
      <c r="I794" s="1619"/>
    </row>
    <row r="795" spans="1:9" hidden="1" x14ac:dyDescent="0.25">
      <c r="A795" s="3085" t="str">
        <f>IFERROR(IF(KALKULATION!F223=0,"
Es erfolgt keine zusätzliche Anpassung wegen Ausfallzeiten Schlechtwetter (E6.b). Ist mit Ausfallzeiten bei ungekürztem Anspruch auf Entschädigungen (zB Taggeld) zu rechnen, ist eine Ansatz aus kalkulatorischer Sicht sinnvoll!","
Wegen Ausfallzeit bei Schlechtwetter sind die Berechnungsergebnisse um "&amp;TEXT(KALKULATION!F223,"0,00%")&amp;" erhöht (E6.b). "),$K$6)</f>
        <v xml:space="preserve">
Wegen Ausfallzeit bei Schlechtwetter sind die Berechnungsergebnisse um 3,00% erhöht (E6.b). </v>
      </c>
      <c r="B795" s="3086"/>
      <c r="C795" s="3086"/>
      <c r="D795" s="3086"/>
      <c r="E795" s="3086"/>
      <c r="F795" s="3086"/>
      <c r="G795" s="3086"/>
      <c r="H795" s="3086"/>
      <c r="I795" s="3087"/>
    </row>
    <row r="796" spans="1:9" hidden="1" x14ac:dyDescent="0.25">
      <c r="A796" s="3069"/>
      <c r="B796" s="3070"/>
      <c r="C796" s="3070"/>
      <c r="D796" s="3070"/>
      <c r="E796" s="3070"/>
      <c r="F796" s="3070"/>
      <c r="G796" s="3070"/>
      <c r="H796" s="3070"/>
      <c r="I796" s="3071"/>
    </row>
    <row r="797" spans="1:9" hidden="1" x14ac:dyDescent="0.25">
      <c r="A797" s="3088"/>
      <c r="B797" s="3089"/>
      <c r="C797" s="3089"/>
      <c r="D797" s="3089"/>
      <c r="E797" s="3089"/>
      <c r="F797" s="3089"/>
      <c r="G797" s="3089"/>
      <c r="H797" s="3089"/>
      <c r="I797" s="3090"/>
    </row>
    <row r="798" spans="1:9" hidden="1" x14ac:dyDescent="0.25">
      <c r="A798" s="1573"/>
      <c r="B798" s="1573"/>
      <c r="C798" s="1573"/>
      <c r="D798" s="1573"/>
      <c r="E798" s="1573"/>
      <c r="F798" s="1573"/>
      <c r="G798" s="1573"/>
      <c r="H798" s="1573"/>
      <c r="I798" s="1619"/>
    </row>
    <row r="799" spans="1:9" ht="15.75" hidden="1" customHeight="1" x14ac:dyDescent="0.25">
      <c r="A799" s="3055" t="str">
        <f>IFERROR(IF(OR(KALKULATION!E225&lt;&gt;0,KALKULATION!F225&lt;&gt;0),"
Die Rechenergebnisse für abgabepflichtige Entschädigungen und/oder für abgabefreie Entgelte sind individuell abgeändert (E6.c) und zwar um "&amp;TEXT(KALKULATION!H225,"0,00€")&amp;"/Woche (pflichtig) bzw um "&amp;TEXT(KALKULATION!G225,"0,00€")&amp;"/Woche (frei). ",""),$K$6)</f>
        <v/>
      </c>
      <c r="B799" s="3053"/>
      <c r="C799" s="3053"/>
      <c r="D799" s="3053"/>
      <c r="E799" s="3053"/>
      <c r="F799" s="3053"/>
      <c r="G799" s="3053"/>
      <c r="H799" s="3053"/>
      <c r="I799" s="3056"/>
    </row>
    <row r="800" spans="1:9" hidden="1" x14ac:dyDescent="0.25">
      <c r="A800" s="3092"/>
      <c r="B800" s="3054"/>
      <c r="C800" s="3054"/>
      <c r="D800" s="3054"/>
      <c r="E800" s="3054"/>
      <c r="F800" s="3054"/>
      <c r="G800" s="3054"/>
      <c r="H800" s="3054"/>
      <c r="I800" s="3093"/>
    </row>
    <row r="801" spans="1:9" hidden="1" x14ac:dyDescent="0.25">
      <c r="A801" s="3092"/>
      <c r="B801" s="3054"/>
      <c r="C801" s="3054"/>
      <c r="D801" s="3054"/>
      <c r="E801" s="3054"/>
      <c r="F801" s="3054"/>
      <c r="G801" s="3054"/>
      <c r="H801" s="3054"/>
      <c r="I801" s="3093"/>
    </row>
    <row r="802" spans="1:9" hidden="1" x14ac:dyDescent="0.25">
      <c r="A802" s="3057"/>
      <c r="B802" s="3058"/>
      <c r="C802" s="3058"/>
      <c r="D802" s="3058"/>
      <c r="E802" s="3058"/>
      <c r="F802" s="3058"/>
      <c r="G802" s="3058"/>
      <c r="H802" s="3058"/>
      <c r="I802" s="3059"/>
    </row>
    <row r="803" spans="1:9" hidden="1" x14ac:dyDescent="0.25">
      <c r="A803" s="1573"/>
      <c r="B803" s="1573"/>
      <c r="C803" s="1573"/>
      <c r="D803" s="1573"/>
      <c r="E803" s="1573"/>
      <c r="F803" s="1573"/>
      <c r="G803" s="1573"/>
      <c r="H803" s="1573"/>
      <c r="I803" s="1619"/>
    </row>
    <row r="804" spans="1:9" hidden="1" x14ac:dyDescent="0.25">
      <c r="A804" s="1713" t="s">
        <v>470</v>
      </c>
      <c r="B804" s="1686"/>
      <c r="C804" s="1714"/>
      <c r="D804" s="1714" t="s">
        <v>474</v>
      </c>
      <c r="E804" s="1717">
        <f ca="1">' K3 PP'!O27</f>
        <v>1.4</v>
      </c>
      <c r="F804" s="1714"/>
      <c r="G804" s="1714" t="s">
        <v>475</v>
      </c>
      <c r="H804" s="1714">
        <f ca="1">' K3 PP'!O29</f>
        <v>1.9</v>
      </c>
      <c r="I804" s="1715"/>
    </row>
    <row r="805" spans="1:9" hidden="1" x14ac:dyDescent="0.25">
      <c r="A805" s="1716"/>
      <c r="B805" s="1717">
        <f ca="1">' K3 PP'!$O$28</f>
        <v>28</v>
      </c>
      <c r="C805" s="1679"/>
      <c r="D805" s="1679"/>
      <c r="E805" s="1679"/>
      <c r="H805" s="1679"/>
      <c r="I805" s="1680"/>
    </row>
    <row r="806" spans="1:9" hidden="1" x14ac:dyDescent="0.25">
      <c r="A806" s="1716"/>
      <c r="B806" s="1717">
        <f ca="1">' K3 PP'!$O$39</f>
        <v>65.86</v>
      </c>
      <c r="C806" s="1718">
        <f ca="1">B806/B805</f>
        <v>2.35</v>
      </c>
      <c r="D806" s="1679" t="s">
        <v>471</v>
      </c>
      <c r="E806" s="1717">
        <f ca="1">E804*C806</f>
        <v>3.29</v>
      </c>
      <c r="H806" s="1679"/>
      <c r="I806" s="1680"/>
    </row>
    <row r="807" spans="1:9" hidden="1" x14ac:dyDescent="0.25">
      <c r="A807" s="1719"/>
      <c r="B807" s="1721">
        <f ca="1">' K3 PP'!$O$44</f>
        <v>84.96</v>
      </c>
      <c r="C807" s="1722">
        <f ca="1">B807/B805</f>
        <v>3.03</v>
      </c>
      <c r="D807" s="1720" t="s">
        <v>472</v>
      </c>
      <c r="E807" s="1721">
        <f ca="1">E804*C807</f>
        <v>4.24</v>
      </c>
      <c r="H807" s="1720"/>
      <c r="I807" s="1723"/>
    </row>
    <row r="808" spans="1:9" hidden="1" x14ac:dyDescent="0.25">
      <c r="A808" s="1573"/>
      <c r="B808" s="1573"/>
      <c r="C808" s="1573"/>
      <c r="D808" s="1573"/>
      <c r="E808" s="1573"/>
      <c r="F808" s="1573"/>
      <c r="G808" s="1573"/>
      <c r="H808" s="1573"/>
      <c r="I808" s="1619"/>
    </row>
    <row r="809" spans="1:9" hidden="1" x14ac:dyDescent="0.25">
      <c r="A809" s="1573"/>
      <c r="B809" s="1573"/>
      <c r="C809" s="1573"/>
      <c r="D809" s="1573"/>
      <c r="E809" s="1573"/>
      <c r="F809" s="1573"/>
      <c r="G809" s="1573"/>
      <c r="H809" s="1573"/>
      <c r="I809" s="1619"/>
    </row>
    <row r="810" spans="1:9" hidden="1" x14ac:dyDescent="0.25">
      <c r="A810" s="1573"/>
      <c r="B810" s="1573"/>
      <c r="C810" s="1573"/>
      <c r="D810" s="1573"/>
      <c r="E810" s="1573"/>
      <c r="F810" s="1573"/>
      <c r="G810" s="1573"/>
      <c r="H810" s="1573"/>
      <c r="I810" s="1619"/>
    </row>
    <row r="811" spans="1:9" hidden="1" x14ac:dyDescent="0.25">
      <c r="A811" s="1789" t="s">
        <v>238</v>
      </c>
      <c r="B811" s="1790"/>
      <c r="C811" s="1628"/>
      <c r="D811" s="1628"/>
      <c r="E811" s="1628"/>
      <c r="F811" s="1628"/>
      <c r="G811" s="1628"/>
      <c r="H811" s="1628"/>
      <c r="I811" s="1791"/>
    </row>
    <row r="812" spans="1:9" hidden="1" x14ac:dyDescent="0.25">
      <c r="A812" s="3085" t="str">
        <f ca="1">IFERROR("Die DIREKTEN Personalnebenkosten (DPNK) sind in Hv "&amp;TEXT(' K3 PP'!K30,"0,00%")&amp;" angegeben. (Informativer Hinweis: Dieser Wert wird regelmäßig einer Preisprüfung unterzogen, er sollte daher korrekt und erklärbar sein; ggf Kontrolle der Einzelwerte im Blatt STAMMDATEN bzw Änderungen in der QUELLDATEI ["&amp;Stammdaten!I2&amp;".xlsx] Blatt DPNK vornehmen.) ",$K$6)</f>
        <v xml:space="preserve">Die DIREKTEN Personalnebenkosten (DPNK) sind in Hv 29,00% angegeben. (Informativer Hinweis: Dieser Wert wird regelmäßig einer Preisprüfung unterzogen, er sollte daher korrekt und erklärbar sein; ggf Kontrolle der Einzelwerte im Blatt STAMMDATEN bzw Änderungen in der QUELLDATEI [K3_Quelle.xlsx] Blatt DPNK vornehmen.) </v>
      </c>
      <c r="B812" s="3086"/>
      <c r="C812" s="3086"/>
      <c r="D812" s="3086"/>
      <c r="E812" s="3086"/>
      <c r="F812" s="3086"/>
      <c r="G812" s="3086"/>
      <c r="H812" s="3086"/>
      <c r="I812" s="3087"/>
    </row>
    <row r="813" spans="1:9" hidden="1" x14ac:dyDescent="0.25">
      <c r="A813" s="3069"/>
      <c r="B813" s="3070"/>
      <c r="C813" s="3070"/>
      <c r="D813" s="3070"/>
      <c r="E813" s="3070"/>
      <c r="F813" s="3070"/>
      <c r="G813" s="3070"/>
      <c r="H813" s="3070"/>
      <c r="I813" s="3071"/>
    </row>
    <row r="814" spans="1:9" hidden="1" x14ac:dyDescent="0.25">
      <c r="A814" s="3088"/>
      <c r="B814" s="3089"/>
      <c r="C814" s="3089"/>
      <c r="D814" s="3089"/>
      <c r="E814" s="3089"/>
      <c r="F814" s="3089"/>
      <c r="G814" s="3089"/>
      <c r="H814" s="3089"/>
      <c r="I814" s="3090"/>
    </row>
    <row r="815" spans="1:9" hidden="1" x14ac:dyDescent="0.25"/>
    <row r="816" spans="1:9" hidden="1" x14ac:dyDescent="0.25">
      <c r="A816" s="1792"/>
      <c r="B816" s="1793"/>
      <c r="C816" s="1794" t="s">
        <v>222</v>
      </c>
      <c r="D816" s="1795" t="s">
        <v>987</v>
      </c>
      <c r="E816" s="1794" t="s">
        <v>353</v>
      </c>
      <c r="F816" s="1794" t="s">
        <v>988</v>
      </c>
      <c r="G816" s="1794" t="s">
        <v>354</v>
      </c>
      <c r="H816" s="1796"/>
      <c r="I816" s="1797"/>
    </row>
    <row r="817" spans="1:9" hidden="1" x14ac:dyDescent="0.25">
      <c r="A817" s="1798"/>
      <c r="B817" s="1589"/>
      <c r="C817" s="1590">
        <f ca="1">Stammdaten!B134</f>
        <v>46023</v>
      </c>
      <c r="D817" s="1590">
        <f>D425</f>
        <v>46143</v>
      </c>
      <c r="E817" s="1590">
        <f ca="1">TODAY()</f>
        <v>46142</v>
      </c>
      <c r="F817" s="1589">
        <f ca="1">C817-D817</f>
        <v>-120</v>
      </c>
      <c r="G817" s="1589">
        <f ca="1">C817-E817</f>
        <v>-119</v>
      </c>
      <c r="H817" s="1591"/>
      <c r="I817" s="1799"/>
    </row>
    <row r="818" spans="1:9" hidden="1" x14ac:dyDescent="0.25">
      <c r="A818" s="1798" t="str">
        <f ca="1">IF(F817&gt;0,TEXT(F817,"##0")&amp;" Tage in der Zukunft. ",TEXT(ABS(F817),"##0")&amp;" Tage zuvor. ")</f>
        <v xml:space="preserve">120 Tage zuvor. </v>
      </c>
      <c r="B818" s="1589"/>
      <c r="C818" s="1590"/>
      <c r="D818" s="1590"/>
      <c r="E818" s="1590"/>
      <c r="F818" s="746"/>
      <c r="G818" s="1592" t="str">
        <f ca="1">IF(G817&gt;0,TEXT(G817,"##0")&amp;" Tage in der Zukunft. ",TEXT(ABS(G817),"##0")&amp;" Tage zuvor. ")</f>
        <v xml:space="preserve">119 Tage zuvor. </v>
      </c>
      <c r="H818" s="1591"/>
      <c r="I818" s="1800"/>
    </row>
    <row r="819" spans="1:9" hidden="1" x14ac:dyDescent="0.25">
      <c r="A819" s="1801" t="str">
        <f ca="1">IF(OR(ABS(F817)&gt;360,ABS(G817)&gt;360)," Eine Differenz von mehr als 360 Tagen (ca 1 Jahr) wurde erkannt; bitte Aktualität prüfen!","")</f>
        <v/>
      </c>
      <c r="B819" s="1802"/>
      <c r="C819" s="1803"/>
      <c r="D819" s="1803"/>
      <c r="E819" s="1803"/>
      <c r="F819" s="1804"/>
      <c r="G819" s="1804"/>
      <c r="H819" s="1804"/>
      <c r="I819" s="1805"/>
    </row>
    <row r="820" spans="1:9" ht="15.75" hidden="1" customHeight="1" x14ac:dyDescent="0.25">
      <c r="A820" s="3053" t="str">
        <f ca="1">IFERROR("
Die verwendeten Werte für die DPNK (Sozialversicherungsbeiträge und Nebenbeiträge) sind in der QUELLDATEI Blatt DPNK mit dem Stichtag "&amp;TEXT(C817,"TT.MM.JJJJ")&amp;" versehen. In Bezug zum angegebenen Kalkulationsdatum liegt dieser Stichtag "&amp;A818&amp;"Im Bezug zum heutigen Tag liegt der Stichtag "&amp;G818&amp;A819&amp;" Meist werden einzelne SV-Beiträge oder Nebenbeiträge zu Jahresbeginn vom Gesetzgeber geändert. Insbesonders in diesem Zeitraum sind die verwendeten Beitragssätze einer Kontrolle zu unterziehen. "&amp;"Allfällig erforderliche Änderungen sind in der QUELLDATEI Blatt DPNK vorzunehmen. "&amp;A829,$K$6)</f>
        <v xml:space="preserve">
Die verwendeten Werte für die DPNK (Sozialversicherungsbeiträge und Nebenbeiträge) sind in der QUELLDATEI Blatt DPNK mit dem Stichtag 01.01.2026 versehen. In Bezug zum angegebenen Kalkulationsdatum liegt dieser Stichtag 120 Tage zuvor. Im Bezug zum heutigen Tag liegt der Stichtag 119 Tage zuvor.  Meist werden einzelne SV-Beiträge oder Nebenbeiträge zu Jahresbeginn vom Gesetzgeber geändert. Insbesonders in diesem Zeitraum sind die verwendeten Beitragssätze einer Kontrolle zu unterziehen. Allfällig erforderliche Änderungen sind in der QUELLDATEI Blatt DPNK vorzunehmen. </v>
      </c>
      <c r="B820" s="3053"/>
      <c r="C820" s="3053"/>
      <c r="D820" s="3053"/>
      <c r="E820" s="3053"/>
      <c r="F820" s="3053"/>
      <c r="G820" s="3053"/>
      <c r="H820" s="3053"/>
      <c r="I820" s="3053"/>
    </row>
    <row r="821" spans="1:9" hidden="1" x14ac:dyDescent="0.25">
      <c r="A821" s="3054"/>
      <c r="B821" s="3054"/>
      <c r="C821" s="3054"/>
      <c r="D821" s="3054"/>
      <c r="E821" s="3054"/>
      <c r="F821" s="3054"/>
      <c r="G821" s="3054"/>
      <c r="H821" s="3054"/>
      <c r="I821" s="3054"/>
    </row>
    <row r="822" spans="1:9" hidden="1" x14ac:dyDescent="0.25">
      <c r="A822" s="3054"/>
      <c r="B822" s="3054"/>
      <c r="C822" s="3054"/>
      <c r="D822" s="3054"/>
      <c r="E822" s="3054"/>
      <c r="F822" s="3054"/>
      <c r="G822" s="3054"/>
      <c r="H822" s="3054"/>
      <c r="I822" s="3054"/>
    </row>
    <row r="823" spans="1:9" hidden="1" x14ac:dyDescent="0.25">
      <c r="A823" s="3054"/>
      <c r="B823" s="3054"/>
      <c r="C823" s="3054"/>
      <c r="D823" s="3054"/>
      <c r="E823" s="3054"/>
      <c r="F823" s="3054"/>
      <c r="G823" s="3054"/>
      <c r="H823" s="3054"/>
      <c r="I823" s="3054"/>
    </row>
    <row r="824" spans="1:9" hidden="1" x14ac:dyDescent="0.25">
      <c r="A824" s="3054"/>
      <c r="B824" s="3054"/>
      <c r="C824" s="3054"/>
      <c r="D824" s="3054"/>
      <c r="E824" s="3054"/>
      <c r="F824" s="3054"/>
      <c r="G824" s="3054"/>
      <c r="H824" s="3054"/>
      <c r="I824" s="3054"/>
    </row>
    <row r="825" spans="1:9" hidden="1" x14ac:dyDescent="0.25">
      <c r="A825" s="3054"/>
      <c r="B825" s="3054"/>
      <c r="C825" s="3054"/>
      <c r="D825" s="3054"/>
      <c r="E825" s="3054"/>
      <c r="F825" s="3054"/>
      <c r="G825" s="3054"/>
      <c r="H825" s="3054"/>
      <c r="I825" s="3054"/>
    </row>
    <row r="826" spans="1:9" hidden="1" x14ac:dyDescent="0.25">
      <c r="A826" s="3054"/>
      <c r="B826" s="3054"/>
      <c r="C826" s="3054"/>
      <c r="D826" s="3054"/>
      <c r="E826" s="3054"/>
      <c r="F826" s="3054"/>
      <c r="G826" s="3054"/>
      <c r="H826" s="3054"/>
      <c r="I826" s="3054"/>
    </row>
    <row r="827" spans="1:9" hidden="1" x14ac:dyDescent="0.25">
      <c r="A827" s="3058"/>
      <c r="B827" s="3058"/>
      <c r="C827" s="3058"/>
      <c r="D827" s="3058"/>
      <c r="E827" s="3058"/>
      <c r="F827" s="3058"/>
      <c r="G827" s="3058"/>
      <c r="H827" s="3058"/>
      <c r="I827" s="3058"/>
    </row>
    <row r="828" spans="1:9" hidden="1" x14ac:dyDescent="0.25">
      <c r="A828" s="1615"/>
      <c r="B828" s="1616"/>
      <c r="C828" s="1616"/>
      <c r="D828" s="1616"/>
      <c r="E828" s="1616"/>
      <c r="F828" s="1616"/>
      <c r="G828" s="1616"/>
      <c r="H828" s="1616"/>
      <c r="I828" s="1806"/>
    </row>
    <row r="829" spans="1:9" hidden="1" x14ac:dyDescent="0.25">
      <c r="A829" s="3188" t="str">
        <f>IFERROR(IF(KALKULATION!H235&lt;&gt;0,"Der Werte der DPNK aus den Stammdaten ist individuell um "&amp;TEXT(KALKULATION!H235,"0,00%")&amp;"-Punkte verändert (E1.b)! Es wäre besser, die Stamm-/Quelldaten zu ändern, als individuelle Anpassungen vorzunehmen. ",""),$K$6)</f>
        <v/>
      </c>
      <c r="B829" s="3189"/>
      <c r="C829" s="3189"/>
      <c r="D829" s="3189"/>
      <c r="E829" s="3189"/>
      <c r="F829" s="3189"/>
      <c r="G829" s="3189"/>
      <c r="H829" s="3189"/>
      <c r="I829" s="3190"/>
    </row>
    <row r="830" spans="1:9" hidden="1" x14ac:dyDescent="0.25">
      <c r="A830" s="1807"/>
      <c r="B830" s="1628"/>
      <c r="C830" s="1628"/>
      <c r="D830" s="1628"/>
      <c r="E830" s="1628"/>
      <c r="F830" s="1628"/>
      <c r="G830" s="1628"/>
      <c r="H830" s="1628"/>
      <c r="I830" s="1791"/>
    </row>
    <row r="831" spans="1:9" hidden="1" x14ac:dyDescent="0.25">
      <c r="A831" s="1807"/>
      <c r="B831" s="1628"/>
      <c r="C831" s="1628"/>
      <c r="D831" s="1628"/>
      <c r="E831" s="1628"/>
      <c r="F831" s="1628"/>
      <c r="G831" s="1628"/>
      <c r="H831" s="1628"/>
      <c r="I831" s="1791"/>
    </row>
    <row r="832" spans="1:9" hidden="1" x14ac:dyDescent="0.25">
      <c r="A832" s="3055" t="str">
        <f ca="1">IFERROR("
Die UMGELEGTEN Personalnebenkosten (UPNK) sind in Höhe von "&amp;TEXT(' K3 PP'!K31,"0,00%")&amp;" angesetzt. Der Wert ergibt sich aus dem Blatt STAMMDATEN; dort ist er mit "&amp;TEXT(Stammdaten!E160,"0,00%")&amp;" angegeben. "&amp;A838,$K$6)</f>
        <v xml:space="preserve">
Die UMGELEGTEN Personalnebenkosten (UPNK) sind in Höhe von 77,00% angesetzt. Der Wert ergibt sich aus dem Blatt STAMMDATEN; dort ist er mit 95,20% angegeben. </v>
      </c>
      <c r="B832" s="3053"/>
      <c r="C832" s="3053"/>
      <c r="D832" s="3053"/>
      <c r="E832" s="3053"/>
      <c r="F832" s="3053"/>
      <c r="G832" s="3053"/>
      <c r="H832" s="3053"/>
      <c r="I832" s="3056"/>
    </row>
    <row r="833" spans="1:9" hidden="1" x14ac:dyDescent="0.25">
      <c r="A833" s="3092"/>
      <c r="B833" s="3054"/>
      <c r="C833" s="3054"/>
      <c r="D833" s="3054"/>
      <c r="E833" s="3054"/>
      <c r="F833" s="3054"/>
      <c r="G833" s="3054"/>
      <c r="H833" s="3054"/>
      <c r="I833" s="3093"/>
    </row>
    <row r="834" spans="1:9" hidden="1" x14ac:dyDescent="0.25">
      <c r="A834" s="3092"/>
      <c r="B834" s="3054"/>
      <c r="C834" s="3054"/>
      <c r="D834" s="3054"/>
      <c r="E834" s="3054"/>
      <c r="F834" s="3054"/>
      <c r="G834" s="3054"/>
      <c r="H834" s="3054"/>
      <c r="I834" s="3093"/>
    </row>
    <row r="835" spans="1:9" hidden="1" x14ac:dyDescent="0.25">
      <c r="A835" s="3092"/>
      <c r="B835" s="3054"/>
      <c r="C835" s="3054"/>
      <c r="D835" s="3054"/>
      <c r="E835" s="3054"/>
      <c r="F835" s="3054"/>
      <c r="G835" s="3054"/>
      <c r="H835" s="3054"/>
      <c r="I835" s="3093"/>
    </row>
    <row r="836" spans="1:9" hidden="1" x14ac:dyDescent="0.25">
      <c r="A836" s="3092"/>
      <c r="B836" s="3054"/>
      <c r="C836" s="3054"/>
      <c r="D836" s="3054"/>
      <c r="E836" s="3054"/>
      <c r="F836" s="3054"/>
      <c r="G836" s="3054"/>
      <c r="H836" s="3054"/>
      <c r="I836" s="3093"/>
    </row>
    <row r="837" spans="1:9" hidden="1" x14ac:dyDescent="0.25">
      <c r="A837" s="3057"/>
      <c r="B837" s="3058"/>
      <c r="C837" s="3058"/>
      <c r="D837" s="3058"/>
      <c r="E837" s="3058"/>
      <c r="F837" s="3058"/>
      <c r="G837" s="3058"/>
      <c r="H837" s="3058"/>
      <c r="I837" s="3059"/>
    </row>
    <row r="838" spans="1:9" hidden="1" x14ac:dyDescent="0.25">
      <c r="A838" s="3061" t="str">
        <f ca="1">IF(Stammdaten!C160&lt;&gt;Stammdaten!E160,"(Hinweis: Der Wert aus der Quelldatei ("&amp;TEXT(Stammdaten!C160,"0,00%")&amp;") ist im Blatt STAMMDATEN auf den zuvor genannten Wert individuell abgeändert!) ","")</f>
        <v/>
      </c>
      <c r="B838" s="3061"/>
      <c r="C838" s="3061"/>
      <c r="D838" s="3061"/>
      <c r="E838" s="3061"/>
      <c r="F838" s="3061"/>
      <c r="G838" s="3061"/>
      <c r="H838" s="3061"/>
      <c r="I838" s="3061"/>
    </row>
    <row r="839" spans="1:9" hidden="1" x14ac:dyDescent="0.25">
      <c r="A839" s="3064"/>
      <c r="B839" s="3064"/>
      <c r="C839" s="3064"/>
      <c r="D839" s="3064"/>
      <c r="E839" s="3064"/>
      <c r="F839" s="3064"/>
      <c r="G839" s="3064"/>
      <c r="H839" s="3064"/>
      <c r="I839" s="3064"/>
    </row>
    <row r="840" spans="1:9" hidden="1" x14ac:dyDescent="0.25">
      <c r="B840" s="1518"/>
      <c r="C840" s="1518"/>
      <c r="D840" s="1518"/>
      <c r="E840" s="1518"/>
      <c r="F840" s="1518"/>
      <c r="G840" s="1518"/>
      <c r="H840" s="1518"/>
      <c r="I840" s="1518"/>
    </row>
    <row r="841" spans="1:9" ht="15.75" hidden="1" customHeight="1" x14ac:dyDescent="0.25">
      <c r="A841" s="3053" t="str">
        <f ca="1">IFERROR(IF(KALKULATION!H239&lt;&gt;KALKULATION!H265,"Folgende Ansätze/Annahmen sind für die Anpassung von "&amp;TEXT(KALKULATION!H256,"0,00%")&amp;" auf "&amp;TEXT(KALKULATION!H265,"0,00%")&amp;" maßgebend: "&amp;A851&amp;A854&amp;A856&amp;A864&amp;A862,""),$K$6)</f>
        <v>Folgende Ansätze/Annahmen sind für die Anpassung von 95,20% auf 77,00% maßgebend: 
-- Der UPNK-Wert der Stammdaten ist wegen der angesetzten Mehrarbeit verändert (F2.a). 
-- Der UPNK-Wert der Stammdaten ist wegen dem kalkulierten Mehrentgelt verändert (F2.b2). Die Veränderung wegen des Mehrentgelts basiert auf der Differenz zw abgabepflichtigen Personalkosten zum KV-Entgelt (F2.b2). 
-- Das Rechenergebnis für die UPNK ist aufgerundet.</v>
      </c>
      <c r="B841" s="3053"/>
      <c r="C841" s="3053"/>
      <c r="D841" s="3053"/>
      <c r="E841" s="3053"/>
      <c r="F841" s="3053"/>
      <c r="G841" s="3053"/>
      <c r="H841" s="3053"/>
      <c r="I841" s="3053"/>
    </row>
    <row r="842" spans="1:9" hidden="1" x14ac:dyDescent="0.25">
      <c r="A842" s="3054"/>
      <c r="B842" s="3054"/>
      <c r="C842" s="3054"/>
      <c r="D842" s="3054"/>
      <c r="E842" s="3054"/>
      <c r="F842" s="3054"/>
      <c r="G842" s="3054"/>
      <c r="H842" s="3054"/>
      <c r="I842" s="3054"/>
    </row>
    <row r="843" spans="1:9" hidden="1" x14ac:dyDescent="0.25">
      <c r="A843" s="3054"/>
      <c r="B843" s="3054"/>
      <c r="C843" s="3054"/>
      <c r="D843" s="3054"/>
      <c r="E843" s="3054"/>
      <c r="F843" s="3054"/>
      <c r="G843" s="3054"/>
      <c r="H843" s="3054"/>
      <c r="I843" s="3054"/>
    </row>
    <row r="844" spans="1:9" hidden="1" x14ac:dyDescent="0.25">
      <c r="A844" s="3054"/>
      <c r="B844" s="3054"/>
      <c r="C844" s="3054"/>
      <c r="D844" s="3054"/>
      <c r="E844" s="3054"/>
      <c r="F844" s="3054"/>
      <c r="G844" s="3054"/>
      <c r="H844" s="3054"/>
      <c r="I844" s="3054"/>
    </row>
    <row r="845" spans="1:9" hidden="1" x14ac:dyDescent="0.25">
      <c r="A845" s="3054"/>
      <c r="B845" s="3054"/>
      <c r="C845" s="3054"/>
      <c r="D845" s="3054"/>
      <c r="E845" s="3054"/>
      <c r="F845" s="3054"/>
      <c r="G845" s="3054"/>
      <c r="H845" s="3054"/>
      <c r="I845" s="3054"/>
    </row>
    <row r="846" spans="1:9" hidden="1" x14ac:dyDescent="0.25">
      <c r="A846" s="3054"/>
      <c r="B846" s="3054"/>
      <c r="C846" s="3054"/>
      <c r="D846" s="3054"/>
      <c r="E846" s="3054"/>
      <c r="F846" s="3054"/>
      <c r="G846" s="3054"/>
      <c r="H846" s="3054"/>
      <c r="I846" s="3054"/>
    </row>
    <row r="847" spans="1:9" hidden="1" x14ac:dyDescent="0.25">
      <c r="A847" s="3054"/>
      <c r="B847" s="3054"/>
      <c r="C847" s="3054"/>
      <c r="D847" s="3054"/>
      <c r="E847" s="3054"/>
      <c r="F847" s="3054"/>
      <c r="G847" s="3054"/>
      <c r="H847" s="3054"/>
      <c r="I847" s="3054"/>
    </row>
    <row r="848" spans="1:9" hidden="1" x14ac:dyDescent="0.25">
      <c r="A848" s="3054"/>
      <c r="B848" s="3054"/>
      <c r="C848" s="3054"/>
      <c r="D848" s="3054"/>
      <c r="E848" s="3054"/>
      <c r="F848" s="3054"/>
      <c r="G848" s="3054"/>
      <c r="H848" s="3054"/>
      <c r="I848" s="3054"/>
    </row>
    <row r="849" spans="1:9" hidden="1" x14ac:dyDescent="0.25">
      <c r="A849" s="3054"/>
      <c r="B849" s="3054"/>
      <c r="C849" s="3054"/>
      <c r="D849" s="3054"/>
      <c r="E849" s="3054"/>
      <c r="F849" s="3054"/>
      <c r="G849" s="3054"/>
      <c r="H849" s="3054"/>
      <c r="I849" s="3054"/>
    </row>
    <row r="850" spans="1:9" hidden="1" x14ac:dyDescent="0.25">
      <c r="A850" s="3054"/>
      <c r="B850" s="3054"/>
      <c r="C850" s="3054"/>
      <c r="D850" s="3054"/>
      <c r="E850" s="3054"/>
      <c r="F850" s="3054"/>
      <c r="G850" s="3054"/>
      <c r="H850" s="3054"/>
      <c r="I850" s="3054"/>
    </row>
    <row r="851" spans="1:9" hidden="1" x14ac:dyDescent="0.25">
      <c r="A851" s="3205" t="str">
        <f ca="1">IF(AND(KALKULATION!H243&lt;&gt;1,OR(KALKULATION!E256&gt;0,KALKULATION!G256&gt;0)),"
-- Der UPNK-Wert der Stammdaten ist wegen der angesetzten Mehrarbeit verändert (F2.a). ","")</f>
        <v xml:space="preserve">
-- Der UPNK-Wert der Stammdaten ist wegen der angesetzten Mehrarbeit verändert (F2.a). </v>
      </c>
      <c r="B851" s="3205"/>
      <c r="C851" s="3205"/>
      <c r="D851" s="3205"/>
      <c r="E851" s="3205"/>
      <c r="F851" s="3205"/>
      <c r="G851" s="3205"/>
      <c r="H851" s="3205"/>
      <c r="I851" s="3205"/>
    </row>
    <row r="852" spans="1:9" hidden="1" x14ac:dyDescent="0.25">
      <c r="A852" s="3206"/>
      <c r="B852" s="3206"/>
      <c r="C852" s="3206"/>
      <c r="D852" s="3206"/>
      <c r="E852" s="3206"/>
      <c r="F852" s="3206"/>
      <c r="G852" s="3206"/>
      <c r="H852" s="3206"/>
      <c r="I852" s="3206"/>
    </row>
    <row r="853" spans="1:9" hidden="1" x14ac:dyDescent="0.25">
      <c r="A853" s="1808"/>
      <c r="B853" s="1808"/>
      <c r="C853" s="1808"/>
      <c r="D853" s="1808"/>
      <c r="E853" s="1808"/>
      <c r="F853" s="1808"/>
      <c r="G853" s="1808"/>
      <c r="H853" s="1808"/>
      <c r="I853" s="1808"/>
    </row>
    <row r="854" spans="1:9" hidden="1" x14ac:dyDescent="0.25">
      <c r="A854" s="3207" t="str">
        <f ca="1">IF(KALKULATION!H247&lt;&gt;1,"
-- Der UPNK-Wert der Stammdaten ist wegen Einstellungen bezüglich Entgeltfortzahlung und Sonderzahlungen von abgabepflichtigen Entgelten aus Pkt E geändert (F2.b1). Bitte die Anmerkungen im Blatt KALKULATION beachten. ","")</f>
        <v/>
      </c>
      <c r="B854" s="3208"/>
      <c r="C854" s="3208"/>
      <c r="D854" s="3208"/>
      <c r="E854" s="3208"/>
      <c r="F854" s="3208"/>
      <c r="G854" s="3208"/>
      <c r="H854" s="3208"/>
      <c r="I854" s="3209"/>
    </row>
    <row r="855" spans="1:9" hidden="1" x14ac:dyDescent="0.25">
      <c r="A855" s="3210"/>
      <c r="B855" s="3211"/>
      <c r="C855" s="3211"/>
      <c r="D855" s="3211"/>
      <c r="E855" s="3211"/>
      <c r="F855" s="3211"/>
      <c r="G855" s="3211"/>
      <c r="H855" s="3211"/>
      <c r="I855" s="3212"/>
    </row>
    <row r="856" spans="1:9" hidden="1" x14ac:dyDescent="0.25">
      <c r="A856" s="3213" t="str">
        <f ca="1">IF(AND(KALKULATION!H252&lt;&gt;0,OR(KALKULATION!F256&gt;0,KALKULATION!G256&gt;0)),"
-- Der UPNK-Wert der Stammdaten ist wegen dem kalkulierten Mehrentgelt verändert (F2.b2). "&amp;A859,"")</f>
        <v xml:space="preserve">
-- Der UPNK-Wert der Stammdaten ist wegen dem kalkulierten Mehrentgelt verändert (F2.b2). Die Veränderung wegen des Mehrentgelts basiert auf der Differenz zw abgabepflichtigen Personalkosten zum KV-Entgelt (F2.b2). </v>
      </c>
      <c r="B856" s="3213"/>
      <c r="C856" s="3213"/>
      <c r="D856" s="3213"/>
      <c r="E856" s="3213"/>
      <c r="F856" s="3213"/>
      <c r="G856" s="3213"/>
      <c r="H856" s="3213"/>
      <c r="I856" s="3213"/>
    </row>
    <row r="857" spans="1:9" hidden="1" x14ac:dyDescent="0.25">
      <c r="A857" s="3203"/>
      <c r="B857" s="3203"/>
      <c r="C857" s="3203"/>
      <c r="D857" s="3203"/>
      <c r="E857" s="3203"/>
      <c r="F857" s="3203"/>
      <c r="G857" s="3203"/>
      <c r="H857" s="3203"/>
      <c r="I857" s="3203"/>
    </row>
    <row r="858" spans="1:9" hidden="1" x14ac:dyDescent="0.25"/>
    <row r="859" spans="1:9" hidden="1" x14ac:dyDescent="0.25">
      <c r="A859" s="3203" t="str">
        <f>"Die Veränderung wegen des Mehrentgelts basiert auf "&amp;IF(KALKULATION!A251=KALKULATION!M251,"der Differenz zw abgabepflichtigen Personalkosten zum KV-Entgelt (F2.b2). ",IF(KALKULATION!A251=KALKULATION!M252,"den Arbeitszeitzuschlägen (F2.b2). "," keinen weiteren Ansätzen; es erfolgt keine Anpassung. "))</f>
        <v xml:space="preserve">Die Veränderung wegen des Mehrentgelts basiert auf der Differenz zw abgabepflichtigen Personalkosten zum KV-Entgelt (F2.b2). </v>
      </c>
      <c r="B859" s="3203"/>
      <c r="C859" s="3203"/>
      <c r="D859" s="3203"/>
      <c r="E859" s="3203"/>
      <c r="F859" s="3203"/>
      <c r="G859" s="3203"/>
      <c r="H859" s="3203"/>
      <c r="I859" s="3203"/>
    </row>
    <row r="860" spans="1:9" hidden="1" x14ac:dyDescent="0.25">
      <c r="A860" s="3204"/>
      <c r="B860" s="3204"/>
      <c r="C860" s="3204"/>
      <c r="D860" s="3204"/>
      <c r="E860" s="3204"/>
      <c r="F860" s="3204"/>
      <c r="G860" s="3204"/>
      <c r="H860" s="3204"/>
      <c r="I860" s="3204"/>
    </row>
    <row r="861" spans="1:9" hidden="1" x14ac:dyDescent="0.25">
      <c r="A861" s="1621"/>
      <c r="B861" s="1621"/>
      <c r="C861" s="1621"/>
      <c r="D861" s="1621"/>
      <c r="E861" s="1621"/>
      <c r="F861" s="1621"/>
      <c r="G861" s="1621"/>
      <c r="H861" s="1621"/>
      <c r="I861" s="1621"/>
    </row>
    <row r="862" spans="1:9" hidden="1" x14ac:dyDescent="0.25">
      <c r="A862" s="3200" t="str">
        <f>IF(OR(KALKULATION!G264="auf #1,0%",KALKULATION!G264="auf #2,5%",KALKULATION!G264="auf #5,0%"),"
-- Das Rechenergebnis für die UPNK ist aufgerundet.","")</f>
        <v xml:space="preserve">
-- Das Rechenergebnis für die UPNK ist aufgerundet.</v>
      </c>
      <c r="B862" s="3201"/>
      <c r="C862" s="3201"/>
      <c r="D862" s="3201"/>
      <c r="E862" s="3201"/>
      <c r="F862" s="3201"/>
      <c r="G862" s="3201"/>
      <c r="H862" s="3201"/>
      <c r="I862" s="3202"/>
    </row>
    <row r="863" spans="1:9" hidden="1" x14ac:dyDescent="0.25"/>
    <row r="864" spans="1:9" hidden="1" x14ac:dyDescent="0.25">
      <c r="A864" s="3185" t="str">
        <f>IF(KALKULATION!H263&lt;&gt;0,"
-- Die UPNK sind individuell um "&amp;TEXT(KALKULATION!H263,"0,00%")&amp;"-Punkte verändert (F2.d)! ","")</f>
        <v/>
      </c>
      <c r="B864" s="3186"/>
      <c r="C864" s="3186"/>
      <c r="D864" s="3186"/>
      <c r="E864" s="3186"/>
      <c r="F864" s="3186"/>
      <c r="G864" s="3186"/>
      <c r="H864" s="3186"/>
      <c r="I864" s="3187"/>
    </row>
    <row r="865" spans="1:9" hidden="1" x14ac:dyDescent="0.25">
      <c r="A865" s="3086" t="str">
        <f>IF(KALKULATION!H110=0,"","
Es sind Arbeitszeitzuschläge aus Verrechnungsstunden erfasst (C2). Diese können Auswirkungen auf die UPNK haben, die leider nicht formelmäßig und allgemeingültig errechenbar sind. Ggf sind die Auswirkungen zu prüfen.")</f>
        <v/>
      </c>
      <c r="B865" s="3086"/>
      <c r="C865" s="3086"/>
      <c r="D865" s="3086"/>
      <c r="E865" s="3086"/>
      <c r="F865" s="3086"/>
      <c r="G865" s="3086"/>
      <c r="H865" s="3086"/>
      <c r="I865" s="3086"/>
    </row>
    <row r="866" spans="1:9" hidden="1" x14ac:dyDescent="0.25">
      <c r="A866" s="3070"/>
      <c r="B866" s="3070"/>
      <c r="C866" s="3070"/>
      <c r="D866" s="3070"/>
      <c r="E866" s="3070"/>
      <c r="F866" s="3070"/>
      <c r="G866" s="3070"/>
      <c r="H866" s="3070"/>
      <c r="I866" s="3070"/>
    </row>
    <row r="867" spans="1:9" hidden="1" x14ac:dyDescent="0.25"/>
    <row r="868" spans="1:9" hidden="1" x14ac:dyDescent="0.25">
      <c r="B868" s="1628"/>
      <c r="C868" s="1628"/>
      <c r="D868" s="1628"/>
      <c r="E868" s="1628"/>
      <c r="F868" s="1628"/>
      <c r="G868" s="1628"/>
      <c r="H868" s="1628"/>
      <c r="I868" s="1791"/>
    </row>
    <row r="869" spans="1:9" hidden="1" x14ac:dyDescent="0.25">
      <c r="A869" s="3191" t="str">
        <f ca="1">IFERROR(IF(' K3 PP'!O32=0,"
Weitere Personalnebenkosten (WPNK) sind keine angesetzt (prüfen, ob zB Wr U-Bahn Steuer anfällt). ","
Weitere Personalnebenkosten (WPNK) sind in Hv "&amp;TEXT(KALKULATION!H277,"0,00%")&amp;" bzw "&amp;TEXT(KALKULATION!H276,"0,00€")&amp;" (K3 Zeile 14) in Ansatz gebracht. "),$K$6)</f>
        <v xml:space="preserve">
Weitere Personalnebenkosten (WPNK) sind in Hv 0,25% bzw 0,07€ (K3 Zeile 14) in Ansatz gebracht. </v>
      </c>
      <c r="B869" s="3192"/>
      <c r="C869" s="3192"/>
      <c r="D869" s="3192"/>
      <c r="E869" s="3192"/>
      <c r="F869" s="3192"/>
      <c r="G869" s="3192"/>
      <c r="H869" s="3192"/>
      <c r="I869" s="3193"/>
    </row>
    <row r="870" spans="1:9" hidden="1" x14ac:dyDescent="0.25">
      <c r="A870" s="3194"/>
      <c r="B870" s="3195"/>
      <c r="C870" s="3195"/>
      <c r="D870" s="3195"/>
      <c r="E870" s="3195"/>
      <c r="F870" s="3195"/>
      <c r="G870" s="3195"/>
      <c r="H870" s="3195"/>
      <c r="I870" s="3196"/>
    </row>
    <row r="871" spans="1:9" hidden="1" x14ac:dyDescent="0.25">
      <c r="A871" s="3197"/>
      <c r="B871" s="3198"/>
      <c r="C871" s="3198"/>
      <c r="D871" s="3198"/>
      <c r="E871" s="3198"/>
      <c r="F871" s="3198"/>
      <c r="G871" s="3198"/>
      <c r="H871" s="3198"/>
      <c r="I871" s="3199"/>
    </row>
    <row r="872" spans="1:9" hidden="1" x14ac:dyDescent="0.25">
      <c r="A872" s="1572"/>
      <c r="B872" s="1573"/>
      <c r="C872" s="1573"/>
      <c r="D872" s="1573"/>
      <c r="E872" s="1573"/>
      <c r="F872" s="1573"/>
      <c r="G872" s="1573"/>
      <c r="H872" s="1573"/>
      <c r="I872" s="1619"/>
    </row>
    <row r="873" spans="1:9" hidden="1" x14ac:dyDescent="0.25">
      <c r="A873" s="1620"/>
      <c r="B873" s="1809">
        <f ca="1">KALKULATION!H236</f>
        <v>0.28999999999999998</v>
      </c>
      <c r="C873" s="1809">
        <f ca="1">KALKULATION!H265</f>
        <v>0.77</v>
      </c>
      <c r="D873" s="1809">
        <f ca="1">KALKULATION!H277</f>
        <v>2.5000000000000001E-3</v>
      </c>
      <c r="E873" s="1809">
        <f ca="1">SUM(B873:D873)</f>
        <v>1.0625</v>
      </c>
      <c r="F873" s="1810">
        <f ca="1">SUM(' K3 PP'!O30:P32)</f>
        <v>29.75</v>
      </c>
      <c r="G873" s="1621"/>
      <c r="H873" s="1621"/>
      <c r="I873" s="1622"/>
    </row>
    <row r="874" spans="1:9" hidden="1" x14ac:dyDescent="0.25">
      <c r="A874" s="1620"/>
      <c r="B874" s="1811">
        <f ca="1">B873/$E$873</f>
        <v>0.27289999999999998</v>
      </c>
      <c r="C874" s="1811">
        <f t="shared" ref="C874:D874" ca="1" si="9">C873/$E$873</f>
        <v>0.72470000000000001</v>
      </c>
      <c r="D874" s="1811">
        <f t="shared" ca="1" si="9"/>
        <v>2.3999999999999998E-3</v>
      </c>
      <c r="E874" s="1621"/>
      <c r="F874" s="1621"/>
      <c r="G874" s="1621"/>
      <c r="H874" s="1621"/>
      <c r="I874" s="1622"/>
    </row>
    <row r="875" spans="1:9" hidden="1" x14ac:dyDescent="0.25">
      <c r="A875" s="1620"/>
      <c r="B875" s="1812">
        <v>1</v>
      </c>
      <c r="C875" s="1812">
        <f ca="1">C873/B873</f>
        <v>2.66</v>
      </c>
      <c r="D875" s="1621"/>
      <c r="E875" s="1621"/>
      <c r="F875" s="1621"/>
      <c r="G875" s="1621"/>
      <c r="H875" s="1621"/>
      <c r="I875" s="1622"/>
    </row>
    <row r="876" spans="1:9" ht="15.75" hidden="1" customHeight="1" x14ac:dyDescent="0.25">
      <c r="A876" s="3055" t="str">
        <f ca="1">IFERROR("
Die gesamten Personalnebenkosten betragen "&amp;TEXT(E873,"0,00%")&amp;" bzw "&amp;TEXT(F873,"0,00€")&amp;". Das Verhältnis von DPNK zu UPNK beträgt "&amp;TEXT(B875,"0")&amp;" zu "&amp;TEXT(C875,"0,0")&amp;IF(KALKULATION!J260&lt;&gt;""," (gem eingestellten Grenzwerten sollte das Verhältnis zwischen 1 zu "&amp;TEXT(G11,"0,0")&amp;" und 1 zu "&amp;TEXT(F11,"0,0")&amp;" liegen. Es können die DPNK und/oder die UPNK unplausibel sein). ",". "),$K$6)</f>
        <v xml:space="preserve">
Die gesamten Personalnebenkosten betragen 106,25% bzw 29,75€. Das Verhältnis von DPNK zu UPNK beträgt 1 zu 2,7. </v>
      </c>
      <c r="B876" s="3053"/>
      <c r="C876" s="3053"/>
      <c r="D876" s="3053"/>
      <c r="E876" s="3053"/>
      <c r="F876" s="3053"/>
      <c r="G876" s="3053"/>
      <c r="H876" s="3053"/>
      <c r="I876" s="3056"/>
    </row>
    <row r="877" spans="1:9" hidden="1" x14ac:dyDescent="0.25">
      <c r="A877" s="3092"/>
      <c r="B877" s="3054"/>
      <c r="C877" s="3054"/>
      <c r="D877" s="3054"/>
      <c r="E877" s="3054"/>
      <c r="F877" s="3054"/>
      <c r="G877" s="3054"/>
      <c r="H877" s="3054"/>
      <c r="I877" s="3093"/>
    </row>
    <row r="878" spans="1:9" hidden="1" x14ac:dyDescent="0.25">
      <c r="A878" s="3057"/>
      <c r="B878" s="3058"/>
      <c r="C878" s="3058"/>
      <c r="D878" s="3058"/>
      <c r="E878" s="3058"/>
      <c r="F878" s="3058"/>
      <c r="G878" s="3058"/>
      <c r="H878" s="3058"/>
      <c r="I878" s="3059"/>
    </row>
    <row r="879" spans="1:9" hidden="1" x14ac:dyDescent="0.25">
      <c r="A879" s="1813"/>
      <c r="B879" s="1814"/>
      <c r="C879" s="1814"/>
      <c r="D879" s="1814"/>
      <c r="E879" s="1814"/>
      <c r="F879" s="1814"/>
      <c r="G879" s="1814"/>
      <c r="H879" s="1814"/>
      <c r="I879" s="1815"/>
    </row>
    <row r="880" spans="1:9" hidden="1" x14ac:dyDescent="0.25">
      <c r="A880" s="1807"/>
      <c r="B880" s="1816"/>
      <c r="C880" s="1816"/>
      <c r="D880" s="1816"/>
      <c r="E880" s="1816"/>
      <c r="F880" s="1816"/>
      <c r="G880" s="1816"/>
      <c r="H880" s="1816"/>
      <c r="I880" s="1817"/>
    </row>
    <row r="881" spans="1:9" hidden="1" x14ac:dyDescent="0.25">
      <c r="A881" s="1818" t="s">
        <v>48</v>
      </c>
      <c r="B881" s="1816"/>
      <c r="C881" s="1816"/>
      <c r="D881" s="1816"/>
      <c r="E881" s="1816"/>
      <c r="F881" s="1816"/>
      <c r="G881" s="1816"/>
      <c r="H881" s="1816"/>
      <c r="I881" s="1817"/>
    </row>
    <row r="882" spans="1:9" hidden="1" x14ac:dyDescent="0.25">
      <c r="B882" s="1573"/>
      <c r="C882" s="1573"/>
      <c r="D882" s="1573"/>
      <c r="E882" s="1573"/>
      <c r="F882" s="1573"/>
      <c r="G882" s="1573"/>
      <c r="H882" s="1573"/>
      <c r="I882" s="1619"/>
    </row>
    <row r="883" spans="1:9" hidden="1" x14ac:dyDescent="0.25">
      <c r="A883" s="1819" t="str">
        <f ca="1">IF(SUM(KALKULATION!H308)&lt;&gt;0,"Personalgemeinkosten sind in Hv "&amp;TEXT(KALKULATION!H308,"0,00€")&amp;"/Std in Ansatz gebracht. ","")</f>
        <v xml:space="preserve">Personalgemeinkosten sind in Hv 5,86€/Std in Ansatz gebracht. </v>
      </c>
      <c r="B883" s="1820"/>
      <c r="C883" s="1820"/>
      <c r="D883" s="1821"/>
      <c r="E883" s="1821"/>
      <c r="F883" s="1821"/>
      <c r="G883" s="1821"/>
      <c r="H883" s="1821"/>
      <c r="I883" s="1822"/>
    </row>
    <row r="884" spans="1:9" ht="15.75" hidden="1" customHeight="1" x14ac:dyDescent="0.25">
      <c r="A884" s="3214" t="str">
        <f ca="1">"Es entfallen "&amp;TEXT(KALKULATION!E308,"0,00€")&amp;" auf Werte die als % eingetragen sind, und daher variabel zu den Personalkosten sind, und "&amp;TEXT(KALKULATION!$F$308,"0,00€")&amp;" auf Werte die als €-Betrag eingetragen sind, und daher fixe Werte darstellen (die Unterscheidung hat Auswirkungen auf den Standardübertrag zu den Regiekalkulationen). "</f>
        <v xml:space="preserve">Es entfallen 3,60€ auf Werte die als % eingetragen sind, und daher variabel zu den Personalkosten sind, und 2,26€ auf Werte die als €-Betrag eingetragen sind, und daher fixe Werte darstellen (die Unterscheidung hat Auswirkungen auf den Standardübertrag zu den Regiekalkulationen). </v>
      </c>
      <c r="B884" s="3214"/>
      <c r="C884" s="3214"/>
      <c r="D884" s="3214"/>
      <c r="E884" s="3214"/>
      <c r="F884" s="3214"/>
      <c r="G884" s="3214"/>
      <c r="H884" s="3214"/>
      <c r="I884" s="3215"/>
    </row>
    <row r="885" spans="1:9" hidden="1" x14ac:dyDescent="0.25">
      <c r="A885" s="3216"/>
      <c r="B885" s="3216"/>
      <c r="C885" s="3216"/>
      <c r="D885" s="3216"/>
      <c r="E885" s="3216"/>
      <c r="F885" s="3216"/>
      <c r="G885" s="3216"/>
      <c r="H885" s="3216"/>
      <c r="I885" s="3217"/>
    </row>
    <row r="886" spans="1:9" hidden="1" x14ac:dyDescent="0.25">
      <c r="A886" s="3216"/>
      <c r="B886" s="3216"/>
      <c r="C886" s="3216"/>
      <c r="D886" s="3216"/>
      <c r="E886" s="3216"/>
      <c r="F886" s="3216"/>
      <c r="G886" s="3216"/>
      <c r="H886" s="3216"/>
      <c r="I886" s="3217"/>
    </row>
    <row r="887" spans="1:9" hidden="1" x14ac:dyDescent="0.25">
      <c r="A887" s="1823" t="str">
        <f>IF(SUM(KALKULATION!$E$295:$F$295)&gt;0,"In den PNK (G2) ist ein Ansatz für den Rundungsausgleich (aus J3) enthalten. ","")</f>
        <v/>
      </c>
      <c r="B887" s="1824"/>
      <c r="C887" s="1824"/>
      <c r="D887" s="1824"/>
      <c r="E887" s="1824"/>
      <c r="F887" s="1824"/>
      <c r="G887" s="1824"/>
      <c r="H887" s="1824"/>
      <c r="I887" s="1825"/>
    </row>
    <row r="888" spans="1:9" hidden="1" x14ac:dyDescent="0.25">
      <c r="A888" s="1823" t="str">
        <f>IF(SUM(KALKULATION!E366:F366)&gt;0,"In den PNK (G3) ist ein Ansatz für die Zielwertanpassung (aus J4) enthalten.","")</f>
        <v/>
      </c>
      <c r="B888" s="1573"/>
      <c r="C888" s="1573"/>
      <c r="D888" s="1573"/>
      <c r="E888" s="1573"/>
      <c r="F888" s="1573"/>
      <c r="G888" s="1573"/>
      <c r="H888" s="1573"/>
      <c r="I888" s="1619"/>
    </row>
    <row r="889" spans="1:9" hidden="1" x14ac:dyDescent="0.25">
      <c r="A889" s="1754"/>
      <c r="B889" s="1628"/>
      <c r="C889" s="1628"/>
      <c r="D889" s="1628"/>
      <c r="E889" s="1628"/>
      <c r="F889" s="1628"/>
      <c r="G889" s="1628"/>
      <c r="H889" s="1628"/>
      <c r="I889" s="1791"/>
    </row>
    <row r="890" spans="1:9" ht="15.75" hidden="1" customHeight="1" x14ac:dyDescent="0.25">
      <c r="A890" s="3055" t="str">
        <f ca="1">IFERROR(IF(KALKULATION!$H$308=0,"Es sind keine Personalgemeinkosten in Ansatz gebracht (gem ÖN B 2061 zB für Werkzeug, Kleinmaterial, Kleingerüst, Kleingeräte udgl).",A883&amp;A884),$K$6)</f>
        <v xml:space="preserve">Personalgemeinkosten sind in Hv 5,86€/Std in Ansatz gebracht. Es entfallen 3,60€ auf Werte die als % eingetragen sind, und daher variabel zu den Personalkosten sind, und 2,26€ auf Werte die als €-Betrag eingetragen sind, und daher fixe Werte darstellen (die Unterscheidung hat Auswirkungen auf den Standardübertrag zu den Regiekalkulationen). </v>
      </c>
      <c r="B890" s="3053"/>
      <c r="C890" s="3053"/>
      <c r="D890" s="3053"/>
      <c r="E890" s="3053"/>
      <c r="F890" s="3053"/>
      <c r="G890" s="3053"/>
      <c r="H890" s="3053"/>
      <c r="I890" s="3056"/>
    </row>
    <row r="891" spans="1:9" hidden="1" x14ac:dyDescent="0.25">
      <c r="A891" s="3092"/>
      <c r="B891" s="3054"/>
      <c r="C891" s="3054"/>
      <c r="D891" s="3054"/>
      <c r="E891" s="3054"/>
      <c r="F891" s="3054"/>
      <c r="G891" s="3054"/>
      <c r="H891" s="3054"/>
      <c r="I891" s="3093"/>
    </row>
    <row r="892" spans="1:9" hidden="1" x14ac:dyDescent="0.25">
      <c r="A892" s="3092"/>
      <c r="B892" s="3054"/>
      <c r="C892" s="3054"/>
      <c r="D892" s="3054"/>
      <c r="E892" s="3054"/>
      <c r="F892" s="3054"/>
      <c r="G892" s="3054"/>
      <c r="H892" s="3054"/>
      <c r="I892" s="3093"/>
    </row>
    <row r="893" spans="1:9" hidden="1" x14ac:dyDescent="0.25">
      <c r="A893" s="3092"/>
      <c r="B893" s="3054"/>
      <c r="C893" s="3054"/>
      <c r="D893" s="3054"/>
      <c r="E893" s="3054"/>
      <c r="F893" s="3054"/>
      <c r="G893" s="3054"/>
      <c r="H893" s="3054"/>
      <c r="I893" s="3093"/>
    </row>
    <row r="894" spans="1:9" hidden="1" x14ac:dyDescent="0.25">
      <c r="A894" s="3092"/>
      <c r="B894" s="3054"/>
      <c r="C894" s="3054"/>
      <c r="D894" s="3054"/>
      <c r="E894" s="3054"/>
      <c r="F894" s="3054"/>
      <c r="G894" s="3054"/>
      <c r="H894" s="3054"/>
      <c r="I894" s="3093"/>
    </row>
    <row r="895" spans="1:9" hidden="1" x14ac:dyDescent="0.25">
      <c r="A895" s="3092"/>
      <c r="B895" s="3054"/>
      <c r="C895" s="3054"/>
      <c r="D895" s="3054"/>
      <c r="E895" s="3054"/>
      <c r="F895" s="3054"/>
      <c r="G895" s="3054"/>
      <c r="H895" s="3054"/>
      <c r="I895" s="3093"/>
    </row>
    <row r="896" spans="1:9" hidden="1" x14ac:dyDescent="0.25">
      <c r="A896" s="3057"/>
      <c r="B896" s="3058"/>
      <c r="C896" s="3058"/>
      <c r="D896" s="3058"/>
      <c r="E896" s="3058"/>
      <c r="F896" s="3058"/>
      <c r="G896" s="3058"/>
      <c r="H896" s="3058"/>
      <c r="I896" s="3059"/>
    </row>
    <row r="897" spans="1:9" hidden="1" x14ac:dyDescent="0.25">
      <c r="A897" s="1571"/>
      <c r="B897" s="1518"/>
      <c r="C897" s="1518"/>
      <c r="D897" s="1518"/>
      <c r="E897" s="1518"/>
      <c r="F897" s="1518"/>
      <c r="G897" s="1518"/>
      <c r="H897" s="1518"/>
      <c r="I897" s="1623"/>
    </row>
    <row r="898" spans="1:9" ht="17.850000000000001" hidden="1" customHeight="1" x14ac:dyDescent="0.25">
      <c r="A898" s="3055" t="str">
        <f ca="1">IFERROR(IF(AND(KALKULATION!H285=_Ja,SUM(KALKULATION!E300:F303)&gt;0),"
Besondere Umlagen von projektspezifischen Kosten sind in die PGK eingerechnet (Hilfsrechner Pkt G4). Bei öffentlichen Aufträgen (BVergG) prüfen, "&amp;"ob nicht eine Kalkulationsvorschrift eine Zuordnung zu eigenen Positionen im LV vorsieht. ",""),$K$6)</f>
        <v xml:space="preserve">
Besondere Umlagen von projektspezifischen Kosten sind in die PGK eingerechnet (Hilfsrechner Pkt G4). Bei öffentlichen Aufträgen (BVergG) prüfen, ob nicht eine Kalkulationsvorschrift eine Zuordnung zu eigenen Positionen im LV vorsieht. </v>
      </c>
      <c r="B898" s="3053"/>
      <c r="C898" s="3053"/>
      <c r="D898" s="3053"/>
      <c r="E898" s="3053"/>
      <c r="F898" s="3053"/>
      <c r="G898" s="3053"/>
      <c r="H898" s="3053"/>
      <c r="I898" s="3056"/>
    </row>
    <row r="899" spans="1:9" hidden="1" x14ac:dyDescent="0.25">
      <c r="A899" s="3092"/>
      <c r="B899" s="3054"/>
      <c r="C899" s="3054"/>
      <c r="D899" s="3054"/>
      <c r="E899" s="3054"/>
      <c r="F899" s="3054"/>
      <c r="G899" s="3054"/>
      <c r="H899" s="3054"/>
      <c r="I899" s="3093"/>
    </row>
    <row r="900" spans="1:9" hidden="1" x14ac:dyDescent="0.25">
      <c r="A900" s="3092"/>
      <c r="B900" s="3054"/>
      <c r="C900" s="3054"/>
      <c r="D900" s="3054"/>
      <c r="E900" s="3054"/>
      <c r="F900" s="3054"/>
      <c r="G900" s="3054"/>
      <c r="H900" s="3054"/>
      <c r="I900" s="3093"/>
    </row>
    <row r="901" spans="1:9" hidden="1" x14ac:dyDescent="0.25">
      <c r="A901" s="3057"/>
      <c r="B901" s="3058"/>
      <c r="C901" s="3058"/>
      <c r="D901" s="3058"/>
      <c r="E901" s="3058"/>
      <c r="F901" s="3058"/>
      <c r="G901" s="3058"/>
      <c r="H901" s="3058"/>
      <c r="I901" s="3059"/>
    </row>
    <row r="902" spans="1:9" ht="15.75" hidden="1" customHeight="1" x14ac:dyDescent="0.25">
      <c r="A902" s="3055" t="str">
        <f ca="1">IFERROR(IF(KALKULATION!J307&lt;&gt;"","
"&amp;K4,""),$K$6)</f>
        <v/>
      </c>
      <c r="B902" s="3053"/>
      <c r="C902" s="3053"/>
      <c r="D902" s="3053"/>
      <c r="E902" s="3053"/>
      <c r="F902" s="3053"/>
      <c r="G902" s="3053"/>
      <c r="H902" s="3053"/>
      <c r="I902" s="3056"/>
    </row>
    <row r="903" spans="1:9" hidden="1" x14ac:dyDescent="0.25">
      <c r="A903" s="3092"/>
      <c r="B903" s="3054"/>
      <c r="C903" s="3054"/>
      <c r="D903" s="3054"/>
      <c r="E903" s="3054"/>
      <c r="F903" s="3054"/>
      <c r="G903" s="3054"/>
      <c r="H903" s="3054"/>
      <c r="I903" s="3093"/>
    </row>
    <row r="904" spans="1:9" hidden="1" x14ac:dyDescent="0.25">
      <c r="A904" s="3057"/>
      <c r="B904" s="3058"/>
      <c r="C904" s="3058"/>
      <c r="D904" s="3058"/>
      <c r="E904" s="3058"/>
      <c r="F904" s="3058"/>
      <c r="G904" s="3058"/>
      <c r="H904" s="3058"/>
      <c r="I904" s="3059"/>
    </row>
    <row r="905" spans="1:9" hidden="1" x14ac:dyDescent="0.25">
      <c r="A905" s="1573"/>
      <c r="B905" s="1573"/>
      <c r="C905" s="1573"/>
      <c r="D905" s="1573"/>
      <c r="E905" s="1573"/>
      <c r="F905" s="1573"/>
      <c r="G905" s="1573"/>
      <c r="H905" s="1573"/>
      <c r="I905" s="1619"/>
    </row>
    <row r="906" spans="1:9" hidden="1" x14ac:dyDescent="0.25">
      <c r="A906" s="1573"/>
      <c r="B906" s="1573"/>
      <c r="C906" s="1573"/>
      <c r="D906" s="1573"/>
      <c r="E906" s="1573"/>
      <c r="F906" s="1573"/>
      <c r="G906" s="1573"/>
      <c r="H906" s="1573"/>
      <c r="I906" s="1619"/>
    </row>
    <row r="907" spans="1:9" hidden="1" x14ac:dyDescent="0.25">
      <c r="A907" s="3054" t="str">
        <f>"
"&amp;A887&amp;A888</f>
        <v xml:space="preserve">
</v>
      </c>
      <c r="B907" s="3054"/>
      <c r="C907" s="3054"/>
      <c r="D907" s="3054"/>
      <c r="E907" s="3054"/>
      <c r="F907" s="3054"/>
      <c r="G907" s="3054"/>
      <c r="H907" s="3054"/>
      <c r="I907" s="3093"/>
    </row>
    <row r="908" spans="1:9" hidden="1" x14ac:dyDescent="0.25">
      <c r="A908" s="3054"/>
      <c r="B908" s="3054"/>
      <c r="C908" s="3054"/>
      <c r="D908" s="3054"/>
      <c r="E908" s="3054"/>
      <c r="F908" s="3054"/>
      <c r="G908" s="3054"/>
      <c r="H908" s="3054"/>
      <c r="I908" s="3093"/>
    </row>
    <row r="909" spans="1:9" hidden="1" x14ac:dyDescent="0.25">
      <c r="A909" s="3054"/>
      <c r="B909" s="3054"/>
      <c r="C909" s="3054"/>
      <c r="D909" s="3054"/>
      <c r="E909" s="3054"/>
      <c r="F909" s="3054"/>
      <c r="G909" s="3054"/>
      <c r="H909" s="3054"/>
      <c r="I909" s="3093"/>
    </row>
    <row r="910" spans="1:9" hidden="1" x14ac:dyDescent="0.25">
      <c r="A910" s="1573"/>
      <c r="B910" s="1573"/>
      <c r="C910" s="1573"/>
      <c r="D910" s="1573"/>
      <c r="E910" s="1573"/>
      <c r="F910" s="1573"/>
      <c r="G910" s="1573"/>
      <c r="H910" s="1573"/>
      <c r="I910" s="1619"/>
    </row>
    <row r="911" spans="1:9" hidden="1" x14ac:dyDescent="0.25">
      <c r="A911" s="1573"/>
      <c r="B911" s="1573"/>
      <c r="C911" s="1573"/>
      <c r="D911" s="1573"/>
      <c r="E911" s="1573"/>
      <c r="F911" s="1573"/>
      <c r="G911" s="1573"/>
      <c r="H911" s="1573"/>
      <c r="I911" s="1619"/>
    </row>
    <row r="912" spans="1:9" hidden="1" x14ac:dyDescent="0.25">
      <c r="A912" s="1573"/>
      <c r="B912" s="1573"/>
      <c r="C912" s="1573"/>
      <c r="D912" s="1573"/>
      <c r="E912" s="1573"/>
      <c r="F912" s="1573"/>
      <c r="G912" s="1573"/>
      <c r="H912" s="1573"/>
      <c r="I912" s="1619"/>
    </row>
    <row r="913" spans="1:9" hidden="1" x14ac:dyDescent="0.25">
      <c r="A913" s="1518"/>
      <c r="B913" s="1518"/>
      <c r="C913" s="1518"/>
      <c r="D913" s="1518"/>
      <c r="E913" s="1518"/>
      <c r="F913" s="1518"/>
      <c r="G913" s="1518"/>
      <c r="H913" s="1518"/>
      <c r="I913" s="1623"/>
    </row>
    <row r="914" spans="1:9" hidden="1" x14ac:dyDescent="0.25">
      <c r="A914" s="1818" t="s">
        <v>86</v>
      </c>
      <c r="B914" s="1628"/>
      <c r="C914" s="1628"/>
      <c r="D914" s="1628"/>
      <c r="E914" s="1628"/>
      <c r="F914" s="1628"/>
      <c r="G914" s="1628"/>
      <c r="H914" s="1628"/>
      <c r="I914" s="1791"/>
    </row>
    <row r="915" spans="1:9" ht="15.75" hidden="1" customHeight="1" x14ac:dyDescent="0.25">
      <c r="A915" s="3055" t="str">
        <f ca="1">IFERROR(IF(SUM(KALKULATION!F339:G339)=0,"Es sind keine Umlagen (Hinzurechnungen) vorgesehen. ","Berücksichtigt "&amp;G923&amp;" mit einem Gesamtwert von "&amp;TEXT(' K3 PP'!M39,"0,00€")&amp;" pro kalkulierte produktive Stunde. Inkl dem gewählten GZ auf Umlagen ("&amp;TEXT(' K3 PP'!I43,"0,00%")&amp;", bezeichnet gem K2 mit ["&amp;KALKULATION!E346&amp;"]) hat die Umlage eine Auswirkung auf den gesamten Personalpreis in Höhe von "&amp;TEXT(' K3 PP'!M44,"0,00€")&amp;". "),$K$6)</f>
        <v xml:space="preserve">Berücksichtigt ist 1 Umlage mit einem Gesamtwert von 1,02€ pro kalkulierte produktive Stunde. Inkl dem gewählten GZ auf Umlagen (29,00%, bezeichnet gem K2 mit [Alle Kostenarten]) hat die Umlage eine Auswirkung auf den gesamten Personalpreis in Höhe von 1,32€. </v>
      </c>
      <c r="B915" s="3053"/>
      <c r="C915" s="3053"/>
      <c r="D915" s="3053"/>
      <c r="E915" s="3053"/>
      <c r="F915" s="3053"/>
      <c r="G915" s="3053"/>
      <c r="H915" s="3053"/>
      <c r="I915" s="3056"/>
    </row>
    <row r="916" spans="1:9" ht="15.75" hidden="1" customHeight="1" x14ac:dyDescent="0.25">
      <c r="A916" s="3092"/>
      <c r="B916" s="3054"/>
      <c r="C916" s="3054"/>
      <c r="D916" s="3054"/>
      <c r="E916" s="3054"/>
      <c r="F916" s="3054"/>
      <c r="G916" s="3054"/>
      <c r="H916" s="3054"/>
      <c r="I916" s="3093"/>
    </row>
    <row r="917" spans="1:9" hidden="1" x14ac:dyDescent="0.25">
      <c r="A917" s="3092"/>
      <c r="B917" s="3054"/>
      <c r="C917" s="3054"/>
      <c r="D917" s="3054"/>
      <c r="E917" s="3054"/>
      <c r="F917" s="3054"/>
      <c r="G917" s="3054"/>
      <c r="H917" s="3054"/>
      <c r="I917" s="3093"/>
    </row>
    <row r="918" spans="1:9" hidden="1" x14ac:dyDescent="0.25">
      <c r="A918" s="3057"/>
      <c r="B918" s="3058"/>
      <c r="C918" s="3058"/>
      <c r="D918" s="3058"/>
      <c r="E918" s="3058"/>
      <c r="F918" s="3058"/>
      <c r="G918" s="3058"/>
      <c r="H918" s="3058"/>
      <c r="I918" s="3059"/>
    </row>
    <row r="919" spans="1:9" hidden="1" x14ac:dyDescent="0.25">
      <c r="A919" s="1573"/>
      <c r="B919" s="1573"/>
      <c r="C919" s="1573"/>
      <c r="D919" s="1573"/>
      <c r="E919" s="1573"/>
      <c r="F919" s="1573"/>
      <c r="G919" s="1573"/>
      <c r="H919" s="1573"/>
      <c r="I919" s="1573"/>
    </row>
    <row r="920" spans="1:9" hidden="1" x14ac:dyDescent="0.25">
      <c r="A920" s="1573" t="str">
        <f>IF(KALKULATION!A336="","",KALKULATION!A336)</f>
        <v>Qualitätssicherung</v>
      </c>
      <c r="B920" s="1573">
        <f ca="1">IF(KALKULATION!F336="",0,KALKULATION!F336)</f>
        <v>1.02</v>
      </c>
      <c r="C920" s="1573">
        <f>IF(KALKULATION!G336="",0,KALKULATION!G336)</f>
        <v>0</v>
      </c>
      <c r="D920" s="1573" t="str">
        <f ca="1">IF(AND(B920&lt;&gt;0,C920&lt;&gt;0),TEXT(B920,"0,00€")&amp;" und "&amp;TEXT(C920,"0,00%"),IF(B920&lt;&gt;0,TEXT(B920,"0,00€"),IF(C920&lt;&gt;0,TEXT(C920,"0,00%"),"")))</f>
        <v>1,02€</v>
      </c>
      <c r="E920" s="1573"/>
      <c r="F920" s="1573">
        <f>IF(A920="",0,1)</f>
        <v>1</v>
      </c>
      <c r="G920" s="1573"/>
      <c r="H920" s="1573"/>
      <c r="I920" s="1573"/>
    </row>
    <row r="921" spans="1:9" hidden="1" x14ac:dyDescent="0.25">
      <c r="A921" s="1573" t="str">
        <f>IF(KALKULATION!A337="","",KALKULATION!A337)</f>
        <v/>
      </c>
      <c r="B921" s="1573">
        <f>IF(KALKULATION!F337="",0,KALKULATION!F337)</f>
        <v>0</v>
      </c>
      <c r="C921" s="1573">
        <f>IF(KALKULATION!G337="",0,KALKULATION!G337)</f>
        <v>0</v>
      </c>
      <c r="D921" s="1573" t="str">
        <f t="shared" ref="D921:D922" si="10">IF(AND(B921&lt;&gt;0,C921&lt;&gt;0),TEXT(B921,"0,00€")&amp;" und "&amp;TEXT(C921,"0,00%"),IF(B921&lt;&gt;0,TEXT(B921,"0,00€"),IF(C921&lt;&gt;0,TEXT(C921,"0,00%"),"")))</f>
        <v/>
      </c>
      <c r="E921" s="1573"/>
      <c r="F921" s="1573">
        <f t="shared" ref="F921:F922" si="11">IF(A921="",0,1)</f>
        <v>0</v>
      </c>
      <c r="G921" s="1573"/>
      <c r="H921" s="1573"/>
      <c r="I921" s="1573"/>
    </row>
    <row r="922" spans="1:9" hidden="1" x14ac:dyDescent="0.25">
      <c r="A922" s="1573" t="str">
        <f>IF(KALKULATION!A338="","",KALKULATION!A338)</f>
        <v/>
      </c>
      <c r="B922" s="1573">
        <f>IF(KALKULATION!F338="",0,KALKULATION!F338)</f>
        <v>0</v>
      </c>
      <c r="C922" s="1573">
        <f>IF(KALKULATION!G338="",0,KALKULATION!G338)</f>
        <v>0</v>
      </c>
      <c r="D922" s="1573" t="str">
        <f t="shared" si="10"/>
        <v/>
      </c>
      <c r="E922" s="1573"/>
      <c r="F922" s="1826">
        <f t="shared" si="11"/>
        <v>0</v>
      </c>
      <c r="G922" s="1573"/>
      <c r="H922" s="1573"/>
      <c r="I922" s="1573"/>
    </row>
    <row r="923" spans="1:9" hidden="1" x14ac:dyDescent="0.25">
      <c r="A923" s="1573"/>
      <c r="B923" s="1573"/>
      <c r="C923" s="1573"/>
      <c r="D923" s="1573"/>
      <c r="E923" s="1573"/>
      <c r="F923" s="1573">
        <f>SUM(F920:F922)</f>
        <v>1</v>
      </c>
      <c r="G923" s="1827" t="str">
        <f>IF(F923=1,"ist "&amp;TEXT(F923,"0")&amp;" Umlage","sind "&amp;TEXT(F923,"0")&amp;" Umlagen")</f>
        <v>ist 1 Umlage</v>
      </c>
      <c r="H923" s="1573"/>
      <c r="I923" s="1573"/>
    </row>
    <row r="924" spans="1:9" hidden="1" x14ac:dyDescent="0.25">
      <c r="A924" s="1573"/>
      <c r="B924" s="1573"/>
      <c r="C924" s="1573"/>
      <c r="D924" s="1573"/>
      <c r="E924" s="1573"/>
      <c r="F924" s="1573"/>
      <c r="G924" s="1573"/>
      <c r="H924" s="1573"/>
      <c r="I924" s="1573"/>
    </row>
    <row r="925" spans="1:9" hidden="1" x14ac:dyDescent="0.25">
      <c r="A925" s="1573"/>
      <c r="B925" s="1573"/>
      <c r="C925" s="1573"/>
      <c r="D925" s="1573"/>
      <c r="E925" s="1573"/>
      <c r="F925" s="1573"/>
      <c r="G925" s="1573"/>
      <c r="H925" s="1573"/>
      <c r="I925" s="1573"/>
    </row>
    <row r="926" spans="1:9" hidden="1" x14ac:dyDescent="0.25">
      <c r="A926" s="1702" t="str">
        <f ca="1">IF(A920&amp;D920="","",A920&amp;" ("&amp;D920&amp;"), ")</f>
        <v xml:space="preserve">Qualitätssicherung (1,02€), </v>
      </c>
      <c r="B926" s="1828"/>
      <c r="C926" s="1828"/>
      <c r="D926" s="1828"/>
      <c r="E926" s="1828"/>
      <c r="F926" s="1828"/>
      <c r="G926" s="1828"/>
      <c r="H926" s="1828"/>
      <c r="I926" s="1829"/>
    </row>
    <row r="927" spans="1:9" hidden="1" x14ac:dyDescent="0.25">
      <c r="A927" s="1702" t="str">
        <f t="shared" ref="A927:A928" si="12">IF(A921&amp;D921="","",A921&amp;" ("&amp;D921&amp;"), ")</f>
        <v/>
      </c>
      <c r="B927" s="1573"/>
      <c r="C927" s="1573"/>
      <c r="D927" s="1573"/>
      <c r="E927" s="1573"/>
      <c r="F927" s="1573"/>
      <c r="G927" s="1573"/>
      <c r="H927" s="1573"/>
      <c r="I927" s="1619"/>
    </row>
    <row r="928" spans="1:9" hidden="1" x14ac:dyDescent="0.25">
      <c r="A928" s="1702" t="str">
        <f t="shared" si="12"/>
        <v/>
      </c>
      <c r="B928" s="1826"/>
      <c r="C928" s="1826"/>
      <c r="D928" s="1826"/>
      <c r="E928" s="1826"/>
      <c r="F928" s="1826"/>
      <c r="G928" s="1826"/>
      <c r="H928" s="1826"/>
      <c r="I928" s="1830"/>
    </row>
    <row r="929" spans="1:9" hidden="1" x14ac:dyDescent="0.25">
      <c r="A929" s="1705" t="str">
        <f ca="1">A926&amp;A927&amp;A928</f>
        <v xml:space="preserve">Qualitätssicherung (1,02€), </v>
      </c>
      <c r="B929" s="1573"/>
      <c r="C929" s="1573"/>
      <c r="D929" s="1573"/>
      <c r="E929" s="1573"/>
      <c r="F929" s="1573"/>
      <c r="G929" s="1573"/>
      <c r="H929" s="1573"/>
      <c r="I929" s="1619"/>
    </row>
    <row r="930" spans="1:9" hidden="1" x14ac:dyDescent="0.25">
      <c r="A930" s="1705">
        <f ca="1">LEN(A929)</f>
        <v>28</v>
      </c>
      <c r="B930" s="1573"/>
      <c r="C930" s="1573"/>
      <c r="D930" s="1573"/>
      <c r="E930" s="1573"/>
      <c r="F930" s="1573"/>
      <c r="G930" s="1573"/>
      <c r="H930" s="1573"/>
      <c r="I930" s="1619"/>
    </row>
    <row r="931" spans="1:9" hidden="1" x14ac:dyDescent="0.25">
      <c r="A931" s="1711" t="str">
        <f ca="1">IF(A930&gt;0,MID(A929,1,A930-2),"")</f>
        <v>Qualitätssicherung (1,02€)</v>
      </c>
      <c r="B931" s="1247"/>
      <c r="C931" s="1247"/>
      <c r="D931" s="1247"/>
      <c r="E931" s="1247"/>
      <c r="F931" s="1247"/>
      <c r="G931" s="1247"/>
      <c r="H931" s="1247"/>
      <c r="I931" s="1248"/>
    </row>
    <row r="932" spans="1:9" hidden="1" x14ac:dyDescent="0.25">
      <c r="A932" s="3055" t="str">
        <f ca="1">IFERROR(IF(SUM(KALKULATION!F339:G339)&lt;&gt;0,"
Die Umlagen sind wie folgt bezeichnet (und wertmäßig angegeben): ["&amp;A931&amp;"]. ",""),$K$6)</f>
        <v xml:space="preserve">
Die Umlagen sind wie folgt bezeichnet (und wertmäßig angegeben): [Qualitätssicherung (1,02€)]. </v>
      </c>
      <c r="B932" s="3053"/>
      <c r="C932" s="3053"/>
      <c r="D932" s="3053"/>
      <c r="E932" s="3053"/>
      <c r="F932" s="3053"/>
      <c r="G932" s="3053"/>
      <c r="H932" s="3053"/>
      <c r="I932" s="3056"/>
    </row>
    <row r="933" spans="1:9" hidden="1" x14ac:dyDescent="0.25">
      <c r="A933" s="3092"/>
      <c r="B933" s="3054"/>
      <c r="C933" s="3054"/>
      <c r="D933" s="3054"/>
      <c r="E933" s="3054"/>
      <c r="F933" s="3054"/>
      <c r="G933" s="3054"/>
      <c r="H933" s="3054"/>
      <c r="I933" s="3093"/>
    </row>
    <row r="934" spans="1:9" hidden="1" x14ac:dyDescent="0.25">
      <c r="A934" s="3057"/>
      <c r="B934" s="3058"/>
      <c r="C934" s="3058"/>
      <c r="D934" s="3058"/>
      <c r="E934" s="3058"/>
      <c r="F934" s="3058"/>
      <c r="G934" s="3058"/>
      <c r="H934" s="3058"/>
      <c r="I934" s="3059"/>
    </row>
    <row r="935" spans="1:9" hidden="1" x14ac:dyDescent="0.25">
      <c r="A935" s="1572"/>
      <c r="B935" s="1518"/>
      <c r="C935" s="1518"/>
      <c r="D935" s="1518"/>
      <c r="E935" s="1518"/>
      <c r="F935" s="1518"/>
      <c r="G935" s="1518"/>
      <c r="H935" s="1518"/>
      <c r="I935" s="1623"/>
    </row>
    <row r="936" spans="1:9" hidden="1" x14ac:dyDescent="0.25">
      <c r="A936" s="3092" t="str">
        <f ca="1">IFERROR(IF(SUM(KALKULATION!F317,KALKULATION!F321,KALKULATION!F324:F326,KALKULATION!H324:H326)&lt;&gt;SUM(KALKULATION!F339,KALKULATION!H339),"
Hinweis: Ausgewählt  sind in H3 weniger Umlagepositionen, als in H1 bzw H2 angelegt sind. ",""),$K$6)</f>
        <v/>
      </c>
      <c r="B936" s="3054"/>
      <c r="C936" s="3054"/>
      <c r="D936" s="3054"/>
      <c r="E936" s="3054"/>
      <c r="F936" s="3054"/>
      <c r="G936" s="3054"/>
      <c r="H936" s="3054"/>
      <c r="I936" s="3093"/>
    </row>
    <row r="937" spans="1:9" hidden="1" x14ac:dyDescent="0.25">
      <c r="A937" s="3092"/>
      <c r="B937" s="3054"/>
      <c r="C937" s="3054"/>
      <c r="D937" s="3054"/>
      <c r="E937" s="3054"/>
      <c r="F937" s="3054"/>
      <c r="G937" s="3054"/>
      <c r="H937" s="3054"/>
      <c r="I937" s="3093"/>
    </row>
    <row r="938" spans="1:9" hidden="1" x14ac:dyDescent="0.25">
      <c r="A938" s="1572"/>
      <c r="B938" s="1518"/>
      <c r="C938" s="1518"/>
      <c r="D938" s="1518"/>
      <c r="E938" s="1518"/>
      <c r="F938" s="1518"/>
      <c r="G938" s="1518"/>
      <c r="H938" s="1518"/>
      <c r="I938" s="1623"/>
    </row>
    <row r="939" spans="1:9" hidden="1" x14ac:dyDescent="0.25">
      <c r="A939" s="3092" t="str">
        <f ca="1">IFERROR(IF(SUM(KALKULATION!F339,KALKULATION!H339)&gt;0,"
"&amp;K5,""),$K$6)</f>
        <v xml:space="preserve">
Bei öffentlichen Aufträgen (BVergG) prüfen, ob für den vorgesehenen Zweck der Umlage, nicht eigene auspreisbare Positionen bestehen (ggf. kann eine verpönte Kostenumlage vorliegen).</v>
      </c>
      <c r="B939" s="3054"/>
      <c r="C939" s="3054"/>
      <c r="D939" s="3054"/>
      <c r="E939" s="3054"/>
      <c r="F939" s="3054"/>
      <c r="G939" s="3054"/>
      <c r="H939" s="3054"/>
      <c r="I939" s="3093"/>
    </row>
    <row r="940" spans="1:9" hidden="1" x14ac:dyDescent="0.25">
      <c r="A940" s="3092"/>
      <c r="B940" s="3054"/>
      <c r="C940" s="3054"/>
      <c r="D940" s="3054"/>
      <c r="E940" s="3054"/>
      <c r="F940" s="3054"/>
      <c r="G940" s="3054"/>
      <c r="H940" s="3054"/>
      <c r="I940" s="3093"/>
    </row>
    <row r="941" spans="1:9" hidden="1" x14ac:dyDescent="0.25">
      <c r="A941" s="3092"/>
      <c r="B941" s="3054"/>
      <c r="C941" s="3054"/>
      <c r="D941" s="3054"/>
      <c r="E941" s="3054"/>
      <c r="F941" s="3054"/>
      <c r="G941" s="3054"/>
      <c r="H941" s="3054"/>
      <c r="I941" s="3093"/>
    </row>
    <row r="942" spans="1:9" hidden="1" x14ac:dyDescent="0.25">
      <c r="A942" s="3092"/>
      <c r="B942" s="3054"/>
      <c r="C942" s="3054"/>
      <c r="D942" s="3054"/>
      <c r="E942" s="3054"/>
      <c r="F942" s="3054"/>
      <c r="G942" s="3054"/>
      <c r="H942" s="3054"/>
      <c r="I942" s="3093"/>
    </row>
    <row r="943" spans="1:9" hidden="1" x14ac:dyDescent="0.25">
      <c r="A943" s="1572"/>
      <c r="B943" s="1518"/>
      <c r="C943" s="1518"/>
      <c r="D943" s="1518"/>
      <c r="E943" s="1518"/>
      <c r="F943" s="1518"/>
      <c r="G943" s="1518"/>
      <c r="H943" s="1518"/>
      <c r="I943" s="1623"/>
    </row>
    <row r="944" spans="1:9" hidden="1" x14ac:dyDescent="0.25">
      <c r="A944" s="1807"/>
      <c r="B944" s="1628"/>
      <c r="C944" s="1628"/>
      <c r="D944" s="1628"/>
      <c r="E944" s="1628"/>
      <c r="F944" s="1628"/>
      <c r="G944" s="1628"/>
      <c r="H944" s="1628"/>
      <c r="I944" s="1791"/>
    </row>
    <row r="945" spans="1:9" hidden="1" x14ac:dyDescent="0.25">
      <c r="A945" s="1818" t="s">
        <v>248</v>
      </c>
      <c r="B945" s="1628"/>
      <c r="C945" s="1628"/>
      <c r="D945" s="1628"/>
      <c r="E945" s="1628"/>
      <c r="F945" s="1628"/>
      <c r="G945" s="1628"/>
      <c r="H945" s="1628"/>
      <c r="I945" s="1791"/>
    </row>
    <row r="946" spans="1:9" hidden="1" x14ac:dyDescent="0.25">
      <c r="A946" s="1807"/>
      <c r="B946" s="1628"/>
      <c r="C946" s="1628"/>
      <c r="D946" s="1628"/>
      <c r="E946" s="1628"/>
      <c r="F946" s="1628"/>
      <c r="G946" s="1628"/>
      <c r="H946" s="1628"/>
      <c r="I946" s="1791"/>
    </row>
    <row r="947" spans="1:9" hidden="1" x14ac:dyDescent="0.25">
      <c r="A947" s="3055" t="str">
        <f ca="1">IFERROR("Der Gesamtzuschlag auf die Personalkosten (K3, Spalte B) ist mit "&amp;TEXT(KALKULATION!G345,"0,000%")&amp;" angegeben und ist gem K2-Blatt mit ["&amp;KALKULATION!E345&amp;"] bezeichnet. Der Zuschlag beträgt "&amp;TEXT(' K3 PP'!O43,"0,00€")&amp;". ",$K$6)</f>
        <v xml:space="preserve">Der Gesamtzuschlag auf die Personalkosten (K3, Spalte B) ist mit 29,000% angegeben und ist gem K2-Blatt mit [Alle Kostenarten] bezeichnet. Der Zuschlag beträgt 19,10€. </v>
      </c>
      <c r="B947" s="3053"/>
      <c r="C947" s="3053"/>
      <c r="D947" s="3053"/>
      <c r="E947" s="3053"/>
      <c r="F947" s="3053"/>
      <c r="G947" s="3053"/>
      <c r="H947" s="3053"/>
      <c r="I947" s="3056"/>
    </row>
    <row r="948" spans="1:9" hidden="1" x14ac:dyDescent="0.25">
      <c r="A948" s="3057"/>
      <c r="B948" s="3058"/>
      <c r="C948" s="3058"/>
      <c r="D948" s="3058"/>
      <c r="E948" s="3058"/>
      <c r="F948" s="3058"/>
      <c r="G948" s="3058"/>
      <c r="H948" s="3058"/>
      <c r="I948" s="3059"/>
    </row>
    <row r="949" spans="1:9" hidden="1" x14ac:dyDescent="0.25">
      <c r="A949" s="1814"/>
      <c r="B949" s="1814"/>
      <c r="C949" s="1814"/>
      <c r="D949" s="1814"/>
      <c r="E949" s="1814"/>
      <c r="F949" s="1814"/>
      <c r="G949" s="1814"/>
      <c r="H949" s="1814"/>
      <c r="I949" s="1815"/>
    </row>
    <row r="950" spans="1:9" hidden="1" x14ac:dyDescent="0.25">
      <c r="A950" s="3055" t="str">
        <f ca="1">IFERROR(IF(SUM(KALKULATION!F336:H338)&lt;&gt;0,"
Auf Umlagen (K3, Spalte A) ist eine GZ in Hv "&amp;TEXT(KALKULATION!G346,"0,00%")&amp;" mit der Bezeichnung ["&amp;KALKULATION!E346&amp;"] angesetzt. "&amp;"Der Zuschlag beträgt "&amp;TEXT(' K3 PP'!M43,"0,00€")&amp;". "&amp;IF(KALKULATION!G345&lt;&gt;KALKULATION!G346,"Der GZ auf Umlagen ist in anderer Höhe als der GZ auf Personalkosten angesetzt. ","Der GZ auf Umlagen ist gleich wie auf Personalkosten angesetzt. "),""),$K$6)</f>
        <v xml:space="preserve">
Auf Umlagen (K3, Spalte A) ist eine GZ in Hv 29,00% mit der Bezeichnung [Alle Kostenarten] angesetzt. Der Zuschlag beträgt 0,30€. Der GZ auf Umlagen ist gleich wie auf Personalkosten angesetzt. </v>
      </c>
      <c r="B950" s="3053"/>
      <c r="C950" s="3053"/>
      <c r="D950" s="3053"/>
      <c r="E950" s="3053"/>
      <c r="F950" s="3053"/>
      <c r="G950" s="3053"/>
      <c r="H950" s="3053"/>
      <c r="I950" s="3056"/>
    </row>
    <row r="951" spans="1:9" hidden="1" x14ac:dyDescent="0.25">
      <c r="A951" s="3092"/>
      <c r="B951" s="3054"/>
      <c r="C951" s="3054"/>
      <c r="D951" s="3054"/>
      <c r="E951" s="3054"/>
      <c r="F951" s="3054"/>
      <c r="G951" s="3054"/>
      <c r="H951" s="3054"/>
      <c r="I951" s="3093"/>
    </row>
    <row r="952" spans="1:9" hidden="1" x14ac:dyDescent="0.25">
      <c r="A952" s="3092"/>
      <c r="B952" s="3054"/>
      <c r="C952" s="3054"/>
      <c r="D952" s="3054"/>
      <c r="E952" s="3054"/>
      <c r="F952" s="3054"/>
      <c r="G952" s="3054"/>
      <c r="H952" s="3054"/>
      <c r="I952" s="3093"/>
    </row>
    <row r="953" spans="1:9" hidden="1" x14ac:dyDescent="0.25">
      <c r="A953" s="3057"/>
      <c r="B953" s="3058"/>
      <c r="C953" s="3058"/>
      <c r="D953" s="3058"/>
      <c r="E953" s="3058"/>
      <c r="F953" s="3058"/>
      <c r="G953" s="3058"/>
      <c r="H953" s="3058"/>
      <c r="I953" s="3059"/>
    </row>
    <row r="954" spans="1:9" hidden="1" x14ac:dyDescent="0.25">
      <c r="A954" s="1807"/>
      <c r="B954" s="1628"/>
      <c r="C954" s="1628"/>
      <c r="D954" s="1628"/>
      <c r="E954" s="1628"/>
      <c r="F954" s="1628"/>
      <c r="G954" s="1628"/>
      <c r="H954" s="1628"/>
      <c r="I954" s="1791"/>
    </row>
    <row r="955" spans="1:9" hidden="1" x14ac:dyDescent="0.25">
      <c r="A955" s="3055" t="str">
        <f>IFERROR(IF(OR(KALKULATION!G345&gt;Report!F13,KALKULATION!G345&lt;Report!G13),"
GZ auf Personalkosten: "&amp;K4,""),$K$6)</f>
        <v/>
      </c>
      <c r="B955" s="3053"/>
      <c r="C955" s="3053"/>
      <c r="D955" s="3053"/>
      <c r="E955" s="3053"/>
      <c r="F955" s="3053"/>
      <c r="G955" s="3053"/>
      <c r="H955" s="3053"/>
      <c r="I955" s="3056"/>
    </row>
    <row r="956" spans="1:9" hidden="1" x14ac:dyDescent="0.25">
      <c r="A956" s="3057"/>
      <c r="B956" s="3058"/>
      <c r="C956" s="3058"/>
      <c r="D956" s="3058"/>
      <c r="E956" s="3058"/>
      <c r="F956" s="3058"/>
      <c r="G956" s="3058"/>
      <c r="H956" s="3058"/>
      <c r="I956" s="3059"/>
    </row>
    <row r="957" spans="1:9" hidden="1" x14ac:dyDescent="0.25">
      <c r="A957" s="3179" t="str">
        <f ca="1">IFERROR(IF(OR(KALKULATION!G346&gt;Report!F13,KALKULATION!G346&lt;Report!G13),"
GZ auf Umlagen: "&amp;K4,""),$K$6)</f>
        <v/>
      </c>
      <c r="B957" s="3180"/>
      <c r="C957" s="3180"/>
      <c r="D957" s="3180"/>
      <c r="E957" s="3180"/>
      <c r="F957" s="3180"/>
      <c r="G957" s="3180"/>
      <c r="H957" s="3180"/>
      <c r="I957" s="3181"/>
    </row>
    <row r="958" spans="1:9" hidden="1" x14ac:dyDescent="0.25">
      <c r="A958" s="3182"/>
      <c r="B958" s="3183"/>
      <c r="C958" s="3183"/>
      <c r="D958" s="3183"/>
      <c r="E958" s="3183"/>
      <c r="F958" s="3183"/>
      <c r="G958" s="3183"/>
      <c r="H958" s="3183"/>
      <c r="I958" s="3184"/>
    </row>
    <row r="959" spans="1:9" hidden="1" x14ac:dyDescent="0.25"/>
    <row r="960" spans="1:9" hidden="1" x14ac:dyDescent="0.25">
      <c r="A960" s="883" t="s">
        <v>319</v>
      </c>
    </row>
    <row r="961" spans="1:13" hidden="1" x14ac:dyDescent="0.25">
      <c r="B961" s="883" t="s">
        <v>414</v>
      </c>
      <c r="C961" s="883" t="s">
        <v>76</v>
      </c>
      <c r="D961" s="883" t="s">
        <v>415</v>
      </c>
    </row>
    <row r="962" spans="1:13" hidden="1" x14ac:dyDescent="0.25">
      <c r="A962" s="883" t="s">
        <v>416</v>
      </c>
      <c r="B962" s="883">
        <f ca="1">' K3 PP'!O39</f>
        <v>65.86</v>
      </c>
      <c r="C962" s="883">
        <f ca="1">' K3 PP'!M39</f>
        <v>1.02</v>
      </c>
      <c r="D962" s="883">
        <f ca="1">C962+B962</f>
        <v>66.88</v>
      </c>
      <c r="E962" s="883" t="str">
        <f>IF(KALKULATION!F354="Kosten","   ← gerundet","")</f>
        <v/>
      </c>
      <c r="F962" s="883" t="str">
        <f ca="1">IF(' K3 PP'!M40="","","; in K3 vermerkt")</f>
        <v/>
      </c>
    </row>
    <row r="963" spans="1:13" hidden="1" x14ac:dyDescent="0.25">
      <c r="A963" s="883" t="s">
        <v>418</v>
      </c>
      <c r="B963" s="883">
        <f ca="1">' K3 PP'!O43</f>
        <v>19.100000000000001</v>
      </c>
      <c r="C963" s="883">
        <f ca="1">' K3 PP'!M43</f>
        <v>0.3</v>
      </c>
      <c r="D963" s="883">
        <f ca="1">C963+B963</f>
        <v>19.399999999999999</v>
      </c>
    </row>
    <row r="964" spans="1:13" hidden="1" x14ac:dyDescent="0.25">
      <c r="A964" s="883" t="s">
        <v>417</v>
      </c>
      <c r="B964" s="883">
        <f ca="1">SUM(B962:B963)</f>
        <v>84.96</v>
      </c>
      <c r="C964" s="883">
        <f t="shared" ref="C964" ca="1" si="13">SUM(C962:C963)</f>
        <v>1.32</v>
      </c>
      <c r="D964" s="883" t="str">
        <f>' K3 PP'!W45</f>
        <v/>
      </c>
      <c r="E964" s="883" t="str">
        <f>IF(KALKULATION!F354="Preis","   ← gerundet","")</f>
        <v/>
      </c>
      <c r="F964" s="883" t="str">
        <f ca="1">IF(' K3 PP'!M45="","","; in K3 vermerkt")</f>
        <v/>
      </c>
    </row>
    <row r="965" spans="1:13" hidden="1" x14ac:dyDescent="0.25">
      <c r="A965" s="883" t="s">
        <v>419</v>
      </c>
      <c r="B965" s="883">
        <f>KALKULATION!G345</f>
        <v>0.28999999999999998</v>
      </c>
      <c r="C965" s="883">
        <f ca="1">KALKULATION!G346</f>
        <v>0.28999999999999998</v>
      </c>
      <c r="D965" s="883">
        <f ca="1">D963/D962</f>
        <v>0.29007177033492798</v>
      </c>
    </row>
    <row r="966" spans="1:13" hidden="1" x14ac:dyDescent="0.25">
      <c r="M966" s="1831" t="s">
        <v>428</v>
      </c>
    </row>
    <row r="967" spans="1:13" hidden="1" x14ac:dyDescent="0.25">
      <c r="A967" s="883" t="str">
        <f>"Die kalkulierten Personalkosten""betragen"</f>
        <v>Die kalkulierten Personalkosten"betragen</v>
      </c>
    </row>
    <row r="968" spans="1:13" hidden="1" x14ac:dyDescent="0.25"/>
    <row r="969" spans="1:13" hidden="1" x14ac:dyDescent="0.25">
      <c r="A969" s="883" t="str">
        <f>"                     Personal (SpB)                    Umlagen (Sp A)                 Gesamt"</f>
        <v xml:space="preserve">                     Personal (SpB)                    Umlagen (Sp A)                 Gesamt</v>
      </c>
    </row>
    <row r="970" spans="1:13" hidden="1" x14ac:dyDescent="0.25">
      <c r="A970" s="883" t="str">
        <f ca="1">"Kosten          "&amp;TEXT(B962,"000,00€")&amp;"                               "&amp;TEXT(C962,"00,00€")&amp;"                              "&amp;TEXT(D962,"000,00€")&amp;E962&amp;F962</f>
        <v>Kosten          065,86€                               01,02€                              066,88€</v>
      </c>
    </row>
    <row r="971" spans="1:13" hidden="1" x14ac:dyDescent="0.25">
      <c r="A971" s="883" t="str">
        <f ca="1">"GZ                 "&amp;TEXT(B963,"000,00€")&amp;" ("&amp;TEXT(B965,"00,000%")&amp;")           "&amp;TEXT(C963,"00,00€")&amp;" ("&amp;TEXT(C965,"00,000%")&amp;")           "&amp;TEXT(D963,"000,00€")</f>
        <v>GZ                 019,10€ (29,000%)           00,30€ (29,000%)           019,40€</v>
      </c>
    </row>
    <row r="972" spans="1:13" hidden="1" x14ac:dyDescent="0.25">
      <c r="A972" s="883" t="str">
        <f ca="1">"Preis            "&amp;TEXT(B964,"0,00€")&amp;"                               "&amp;TEXT(C964,"0,00€")&amp;"                               "&amp;TEXT(D964,"0,00€")&amp;E964&amp;F964</f>
        <v xml:space="preserve">Preis            84,96€                               1,32€                               </v>
      </c>
    </row>
    <row r="973" spans="1:13" hidden="1" x14ac:dyDescent="0.25"/>
    <row r="974" spans="1:13" hidden="1" x14ac:dyDescent="0.25"/>
    <row r="975" spans="1:13" hidden="1" x14ac:dyDescent="0.25">
      <c r="A975" s="3218" t="str">
        <f>IFERROR(IF(KALKULATION!F351=_Ja,"
Die K3-Blätter sind gegenüber dem Muster in der ÖNORM B 2061 erweitert dargestellt (J2).",""),$K$6)</f>
        <v xml:space="preserve">
Die K3-Blätter sind gegenüber dem Muster in der ÖNORM B 2061 erweitert dargestellt (J2).</v>
      </c>
      <c r="B975" s="3218"/>
      <c r="C975" s="3218"/>
      <c r="D975" s="3218"/>
      <c r="E975" s="3218"/>
      <c r="F975" s="3218"/>
      <c r="G975" s="3218"/>
      <c r="H975" s="3218"/>
      <c r="I975" s="3218"/>
    </row>
    <row r="976" spans="1:13" hidden="1" x14ac:dyDescent="0.25">
      <c r="A976" s="3218"/>
      <c r="B976" s="3218"/>
      <c r="C976" s="3218"/>
      <c r="D976" s="3218"/>
      <c r="E976" s="3218"/>
      <c r="F976" s="3218"/>
      <c r="G976" s="3218"/>
      <c r="H976" s="3218"/>
      <c r="I976" s="3218"/>
    </row>
    <row r="977" spans="1:9" hidden="1" x14ac:dyDescent="0.25">
      <c r="A977" s="3218"/>
      <c r="B977" s="3218"/>
      <c r="C977" s="3218"/>
      <c r="D977" s="3218"/>
      <c r="E977" s="3218"/>
      <c r="F977" s="3218"/>
      <c r="G977" s="3218"/>
      <c r="H977" s="3218"/>
      <c r="I977" s="3218"/>
    </row>
    <row r="978" spans="1:9" hidden="1" x14ac:dyDescent="0.25">
      <c r="A978" s="3218"/>
      <c r="B978" s="3218"/>
      <c r="C978" s="3218"/>
      <c r="D978" s="3218"/>
      <c r="E978" s="3218"/>
      <c r="F978" s="3218"/>
      <c r="G978" s="3218"/>
      <c r="H978" s="3218"/>
      <c r="I978" s="3218"/>
    </row>
    <row r="979" spans="1:9" hidden="1" x14ac:dyDescent="0.25">
      <c r="A979" s="1578"/>
      <c r="B979" s="1578"/>
      <c r="C979" s="1578"/>
      <c r="D979" s="1578"/>
      <c r="E979" s="1578"/>
      <c r="F979" s="1578"/>
      <c r="G979" s="1578"/>
      <c r="H979" s="1578"/>
      <c r="I979" s="1578"/>
    </row>
    <row r="980" spans="1:9" hidden="1" x14ac:dyDescent="0.25">
      <c r="A980" s="3054" t="str">
        <f>IFERROR(IF(AND(KALKULATION!F354&lt;&gt;_Nein,KALKULATION!F360&lt;&gt;0),"
Es ist eine Rundung vorgenommen (J3). Ein Ausgleichsbetrag ist daher den PGK Pkt G2 zugeschlagn. "&amp;IF(' K3 PP'!X45=0.01,"Der vorgenommene Rundungsausgleich provoziert eine Berechnungsdifferenz von 0,01€; im K3-Blatt wird gerundet angedruckt. ","")&amp;IF(' K3 PP'!X45&gt;0.01,"Der vorgenommene Rundungsausgleich provoziert eine Berechnungsdifferenz von über 0,01€. "&amp;"Es wird kein Ergebnis angezeigt - nehmen sie die Rundung erneut vor (J3.c). ",""),""),$K$6)</f>
        <v/>
      </c>
      <c r="B980" s="3054"/>
      <c r="C980" s="3054"/>
      <c r="D980" s="3054"/>
      <c r="E980" s="3054"/>
      <c r="F980" s="3054"/>
      <c r="G980" s="3054"/>
      <c r="H980" s="3054"/>
      <c r="I980" s="3054"/>
    </row>
    <row r="981" spans="1:9" hidden="1" x14ac:dyDescent="0.25">
      <c r="A981" s="3054"/>
      <c r="B981" s="3054"/>
      <c r="C981" s="3054"/>
      <c r="D981" s="3054"/>
      <c r="E981" s="3054"/>
      <c r="F981" s="3054"/>
      <c r="G981" s="3054"/>
      <c r="H981" s="3054"/>
      <c r="I981" s="3054"/>
    </row>
    <row r="982" spans="1:9" hidden="1" x14ac:dyDescent="0.25">
      <c r="A982" s="3054"/>
      <c r="B982" s="3054"/>
      <c r="C982" s="3054"/>
      <c r="D982" s="3054"/>
      <c r="E982" s="3054"/>
      <c r="F982" s="3054"/>
      <c r="G982" s="3054"/>
      <c r="H982" s="3054"/>
      <c r="I982" s="3054"/>
    </row>
    <row r="983" spans="1:9" hidden="1" x14ac:dyDescent="0.25">
      <c r="A983" s="3054"/>
      <c r="B983" s="3054"/>
      <c r="C983" s="3054"/>
      <c r="D983" s="3054"/>
      <c r="E983" s="3054"/>
      <c r="F983" s="3054"/>
      <c r="G983" s="3054"/>
      <c r="H983" s="3054"/>
      <c r="I983" s="3054"/>
    </row>
    <row r="984" spans="1:9" hidden="1" x14ac:dyDescent="0.25">
      <c r="A984" s="3054"/>
      <c r="B984" s="3054"/>
      <c r="C984" s="3054"/>
      <c r="D984" s="3054"/>
      <c r="E984" s="3054"/>
      <c r="F984" s="3054"/>
      <c r="G984" s="3054"/>
      <c r="H984" s="3054"/>
      <c r="I984" s="3054"/>
    </row>
    <row r="985" spans="1:9" hidden="1" x14ac:dyDescent="0.25">
      <c r="A985" s="1573"/>
      <c r="B985" s="1573"/>
      <c r="C985" s="1573"/>
      <c r="D985" s="1573"/>
      <c r="E985" s="1573"/>
      <c r="F985" s="1573"/>
      <c r="G985" s="1573"/>
      <c r="H985" s="1573"/>
      <c r="I985" s="1573"/>
    </row>
    <row r="986" spans="1:9" hidden="1" x14ac:dyDescent="0.25">
      <c r="A986" s="3054" t="str">
        <f>IFERROR(IF(AND(KALKULATION!B362&lt;&gt;KALKULATION!M411,SUM(KALKULATION!E366:F366)&lt;&gt;0),"
Die Berechnung ist vom einer Zielgröße bestimmt (J4). Ein Ausgleichsbetrag ist daher den PGK Pkt G3 zugeschlagen. ",""),$K$6)</f>
        <v/>
      </c>
      <c r="B986" s="3054"/>
      <c r="C986" s="3054"/>
      <c r="D986" s="3054"/>
      <c r="E986" s="3054"/>
      <c r="F986" s="3054"/>
      <c r="G986" s="3054"/>
      <c r="H986" s="3054"/>
      <c r="I986" s="3054"/>
    </row>
    <row r="987" spans="1:9" hidden="1" x14ac:dyDescent="0.25">
      <c r="A987" s="3054"/>
      <c r="B987" s="3054"/>
      <c r="C987" s="3054"/>
      <c r="D987" s="3054"/>
      <c r="E987" s="3054"/>
      <c r="F987" s="3054"/>
      <c r="G987" s="3054"/>
      <c r="H987" s="3054"/>
      <c r="I987" s="3054"/>
    </row>
    <row r="988" spans="1:9" hidden="1" x14ac:dyDescent="0.25">
      <c r="A988" s="3054"/>
      <c r="B988" s="3054"/>
      <c r="C988" s="3054"/>
      <c r="D988" s="3054"/>
      <c r="E988" s="3054"/>
      <c r="F988" s="3054"/>
      <c r="G988" s="3054"/>
      <c r="H988" s="3054"/>
      <c r="I988" s="3054"/>
    </row>
    <row r="989" spans="1:9" hidden="1" x14ac:dyDescent="0.25">
      <c r="A989" s="3054"/>
      <c r="B989" s="3054"/>
      <c r="C989" s="3054"/>
      <c r="D989" s="3054"/>
      <c r="E989" s="3054"/>
      <c r="F989" s="3054"/>
      <c r="G989" s="3054"/>
      <c r="H989" s="3054"/>
      <c r="I989" s="3054"/>
    </row>
    <row r="990" spans="1:9" hidden="1" x14ac:dyDescent="0.25">
      <c r="A990" s="3054"/>
      <c r="B990" s="3054"/>
      <c r="C990" s="3054"/>
      <c r="D990" s="3054"/>
      <c r="E990" s="3054"/>
      <c r="F990" s="3054"/>
      <c r="G990" s="3054"/>
      <c r="H990" s="3054"/>
      <c r="I990" s="3054"/>
    </row>
    <row r="991" spans="1:9" hidden="1" x14ac:dyDescent="0.25"/>
    <row r="992" spans="1:9" hidden="1" x14ac:dyDescent="0.25">
      <c r="A992" s="3055" t="str">
        <f ca="1">IFERROR("Das Ergebnis für den PERSONALPREIS GESAMT ["&amp;' K3 PP'!B45&amp;"] beträgt 
"&amp;KALKULATION!G350&amp;".
Wenn Sie die Kalkulation auf PREIS-Basis fortsetzen (K7-Blätter), ist dieses Ergebnis relevant. Der GZ ist nicht mehr zu berücksichtigen. ",$K$6)</f>
        <v xml:space="preserve">Das Ergebnis für den PERSONALPREIS GESAMT [Mittellohnpreis] beträgt 
86,28 €/Std.
Wenn Sie die Kalkulation auf PREIS-Basis fortsetzen (K7-Blätter), ist dieses Ergebnis relevant. Der GZ ist nicht mehr zu berücksichtigen. </v>
      </c>
      <c r="B992" s="3053"/>
      <c r="C992" s="3053"/>
      <c r="D992" s="3053"/>
      <c r="E992" s="3053"/>
      <c r="F992" s="3053"/>
      <c r="G992" s="3053"/>
      <c r="H992" s="3053"/>
      <c r="I992" s="3056"/>
    </row>
    <row r="993" spans="1:11" hidden="1" x14ac:dyDescent="0.25">
      <c r="A993" s="3092"/>
      <c r="B993" s="3054"/>
      <c r="C993" s="3054"/>
      <c r="D993" s="3054"/>
      <c r="E993" s="3054"/>
      <c r="F993" s="3054"/>
      <c r="G993" s="3054"/>
      <c r="H993" s="3054"/>
      <c r="I993" s="3093"/>
    </row>
    <row r="994" spans="1:11" hidden="1" x14ac:dyDescent="0.25">
      <c r="A994" s="3092"/>
      <c r="B994" s="3054"/>
      <c r="C994" s="3054"/>
      <c r="D994" s="3054"/>
      <c r="E994" s="3054"/>
      <c r="F994" s="3054"/>
      <c r="G994" s="3054"/>
      <c r="H994" s="3054"/>
      <c r="I994" s="3093"/>
    </row>
    <row r="995" spans="1:11" hidden="1" x14ac:dyDescent="0.25">
      <c r="A995" s="3092"/>
      <c r="B995" s="3054"/>
      <c r="C995" s="3054"/>
      <c r="D995" s="3054"/>
      <c r="E995" s="3054"/>
      <c r="F995" s="3054"/>
      <c r="G995" s="3054"/>
      <c r="H995" s="3054"/>
      <c r="I995" s="3093"/>
    </row>
    <row r="996" spans="1:11" hidden="1" x14ac:dyDescent="0.25">
      <c r="A996" s="3092"/>
      <c r="B996" s="3054"/>
      <c r="C996" s="3054"/>
      <c r="D996" s="3054"/>
      <c r="E996" s="3054"/>
      <c r="F996" s="3054"/>
      <c r="G996" s="3054"/>
      <c r="H996" s="3054"/>
      <c r="I996" s="3093"/>
    </row>
    <row r="997" spans="1:11" hidden="1" x14ac:dyDescent="0.25">
      <c r="A997" s="3057"/>
      <c r="B997" s="3058"/>
      <c r="C997" s="3058"/>
      <c r="D997" s="3058"/>
      <c r="E997" s="3058"/>
      <c r="F997" s="3058"/>
      <c r="G997" s="3058"/>
      <c r="H997" s="3058"/>
      <c r="I997" s="3059"/>
    </row>
    <row r="998" spans="1:11" hidden="1" x14ac:dyDescent="0.25"/>
    <row r="999" spans="1:11" ht="15.75" hidden="1" customHeight="1" x14ac:dyDescent="0.25">
      <c r="A999" s="3053" t="str">
        <f ca="1">IFERROR("
Das Ergebnis für die PERSONALKOSTEN GESAMT ["&amp;' K3 PP'!B40&amp;"] beträgt 
"&amp;' K3 PP'!N40&amp;".
Wenn Sie die Kalkulation auf KOSTEN-Basis fortsetzen (K7-Blätter), ist dieses Ergebnis relevant. Der GZ ist bei der Kalkulation im K7-Blatt daher zu berücksichtigen. "&amp;"Achten Sie darauf, jenen GZ heranzuziehen, der im K3-Blatt für die Personalkosten ausgewiesen ist; beachten Sie das K2-Blatt. "&amp;IF(AND(SUM(KALKULATION!F339,KALKULATION!H339)&lt;&gt;0,KALKULATION!G345&lt;&gt;SUM(KALKULATION!G346)),"Da Sie mit Umlagen und darauf mit einem vom GZ für die Personalkosten abweichenden GZ kalkuliert haben, ist es sinnvoll mit dem Personalpreis gesamt die Kalkulation im K7-Blatt fortzusetzen. "&amp;"Sie können im K7-Blatt auf die Personalkosten gesamt auch einen gewichteten GZ in Hv "&amp;TEXT(' K3 PP'!U45/' K3 PP'!U40-1,"0,000%")&amp;" bei der Kalkulation aufschlagen. Im Anwendungsbereich des BVergG sollte die Berechnung dieses Zuschlags zumindest 1x an geeigneter Stelle in einem K7-Blatt dargestellt sein.",""),$K$6)</f>
        <v xml:space="preserve">
Das Ergebnis für die PERSONALKOSTEN GESAMT [Mittellohnkosten] beträgt 
66,88 €/Std.
Wenn Sie die Kalkulation auf KOSTEN-Basis fortsetzen (K7-Blätter), ist dieses Ergebnis relevant. Der GZ ist bei der Kalkulation im K7-Blatt daher zu berücksichtigen. Achten Sie darauf, jenen GZ heranzuziehen, der im K3-Blatt für die Personalkosten ausgewiesen ist; beachten Sie das K2-Blatt. </v>
      </c>
      <c r="B999" s="3053"/>
      <c r="C999" s="3053"/>
      <c r="D999" s="3053"/>
      <c r="E999" s="3053"/>
      <c r="F999" s="3053"/>
      <c r="G999" s="3053"/>
      <c r="H999" s="3053"/>
      <c r="I999" s="3053"/>
    </row>
    <row r="1000" spans="1:11" hidden="1" x14ac:dyDescent="0.25">
      <c r="A1000" s="3054"/>
      <c r="B1000" s="3054"/>
      <c r="C1000" s="3054"/>
      <c r="D1000" s="3054"/>
      <c r="E1000" s="3054"/>
      <c r="F1000" s="3054"/>
      <c r="G1000" s="3054"/>
      <c r="H1000" s="3054"/>
      <c r="I1000" s="3054"/>
      <c r="K1000" s="1272" t="str">
        <f>' K3 PP'!B40</f>
        <v>Mittellohnkosten</v>
      </c>
    </row>
    <row r="1001" spans="1:11" hidden="1" x14ac:dyDescent="0.25">
      <c r="A1001" s="3054"/>
      <c r="B1001" s="3054"/>
      <c r="C1001" s="3054"/>
      <c r="D1001" s="3054"/>
      <c r="E1001" s="3054"/>
      <c r="F1001" s="3054"/>
      <c r="G1001" s="3054"/>
      <c r="H1001" s="3054"/>
      <c r="I1001" s="3054"/>
      <c r="K1001" s="1272" t="str">
        <f ca="1">' K3 PP'!N40</f>
        <v>66,88 €/Std</v>
      </c>
    </row>
    <row r="1002" spans="1:11" hidden="1" x14ac:dyDescent="0.25">
      <c r="A1002" s="3054"/>
      <c r="B1002" s="3054"/>
      <c r="C1002" s="3054"/>
      <c r="D1002" s="3054"/>
      <c r="E1002" s="3054"/>
      <c r="F1002" s="3054"/>
      <c r="G1002" s="3054"/>
      <c r="H1002" s="3054"/>
      <c r="I1002" s="3054"/>
    </row>
    <row r="1003" spans="1:11" hidden="1" x14ac:dyDescent="0.25">
      <c r="A1003" s="3054"/>
      <c r="B1003" s="3054"/>
      <c r="C1003" s="3054"/>
      <c r="D1003" s="3054"/>
      <c r="E1003" s="3054"/>
      <c r="F1003" s="3054"/>
      <c r="G1003" s="3054"/>
      <c r="H1003" s="3054"/>
      <c r="I1003" s="3054"/>
    </row>
    <row r="1004" spans="1:11" hidden="1" x14ac:dyDescent="0.25">
      <c r="A1004" s="3054"/>
      <c r="B1004" s="3054"/>
      <c r="C1004" s="3054"/>
      <c r="D1004" s="3054"/>
      <c r="E1004" s="3054"/>
      <c r="F1004" s="3054"/>
      <c r="G1004" s="3054"/>
      <c r="H1004" s="3054"/>
      <c r="I1004" s="3054"/>
    </row>
    <row r="1005" spans="1:11" hidden="1" x14ac:dyDescent="0.25">
      <c r="A1005" s="3054"/>
      <c r="B1005" s="3054"/>
      <c r="C1005" s="3054"/>
      <c r="D1005" s="3054"/>
      <c r="E1005" s="3054"/>
      <c r="F1005" s="3054"/>
      <c r="G1005" s="3054"/>
      <c r="H1005" s="3054"/>
      <c r="I1005" s="3054"/>
    </row>
    <row r="1006" spans="1:11" hidden="1" x14ac:dyDescent="0.25">
      <c r="A1006" s="3054"/>
      <c r="B1006" s="3054"/>
      <c r="C1006" s="3054"/>
      <c r="D1006" s="3054"/>
      <c r="E1006" s="3054"/>
      <c r="F1006" s="3054"/>
      <c r="G1006" s="3054"/>
      <c r="H1006" s="3054"/>
      <c r="I1006" s="3054"/>
    </row>
    <row r="1007" spans="1:11" hidden="1" x14ac:dyDescent="0.25">
      <c r="A1007" s="3054"/>
      <c r="B1007" s="3054"/>
      <c r="C1007" s="3054"/>
      <c r="D1007" s="3054"/>
      <c r="E1007" s="3054"/>
      <c r="F1007" s="3054"/>
      <c r="G1007" s="3054"/>
      <c r="H1007" s="3054"/>
      <c r="I1007" s="3054"/>
    </row>
    <row r="1008" spans="1:11" hidden="1" x14ac:dyDescent="0.25">
      <c r="A1008" s="3054"/>
      <c r="B1008" s="3054"/>
      <c r="C1008" s="3054"/>
      <c r="D1008" s="3054"/>
      <c r="E1008" s="3054"/>
      <c r="F1008" s="3054"/>
      <c r="G1008" s="3054"/>
      <c r="H1008" s="3054"/>
      <c r="I1008" s="3054"/>
    </row>
    <row r="1009" spans="1:9" hidden="1" x14ac:dyDescent="0.25">
      <c r="A1009" s="3054"/>
      <c r="B1009" s="3054"/>
      <c r="C1009" s="3054"/>
      <c r="D1009" s="3054"/>
      <c r="E1009" s="3054"/>
      <c r="F1009" s="3054"/>
      <c r="G1009" s="3054"/>
      <c r="H1009" s="3054"/>
      <c r="I1009" s="3054"/>
    </row>
    <row r="1010" spans="1:9" hidden="1" x14ac:dyDescent="0.25">
      <c r="A1010" s="3054"/>
      <c r="B1010" s="3054"/>
      <c r="C1010" s="3054"/>
      <c r="D1010" s="3054"/>
      <c r="E1010" s="3054"/>
      <c r="F1010" s="3054"/>
      <c r="G1010" s="3054"/>
      <c r="H1010" s="3054"/>
      <c r="I1010" s="3054"/>
    </row>
    <row r="1011" spans="1:9" hidden="1" x14ac:dyDescent="0.25">
      <c r="A1011" s="3054"/>
      <c r="B1011" s="3054"/>
      <c r="C1011" s="3054"/>
      <c r="D1011" s="3054"/>
      <c r="E1011" s="3054"/>
      <c r="F1011" s="3054"/>
      <c r="G1011" s="3054"/>
      <c r="H1011" s="3054"/>
      <c r="I1011" s="3054"/>
    </row>
    <row r="1012" spans="1:9" hidden="1" x14ac:dyDescent="0.25">
      <c r="A1012" s="3054"/>
      <c r="B1012" s="3054"/>
      <c r="C1012" s="3054"/>
      <c r="D1012" s="3054"/>
      <c r="E1012" s="3054"/>
      <c r="F1012" s="3054"/>
      <c r="G1012" s="3054"/>
      <c r="H1012" s="3054"/>
      <c r="I1012" s="3054"/>
    </row>
    <row r="1013" spans="1:9" hidden="1" x14ac:dyDescent="0.25">
      <c r="A1013" s="3054"/>
      <c r="B1013" s="3054"/>
      <c r="C1013" s="3054"/>
      <c r="D1013" s="3054"/>
      <c r="E1013" s="3054"/>
      <c r="F1013" s="3054"/>
      <c r="G1013" s="3054"/>
      <c r="H1013" s="3054"/>
      <c r="I1013" s="3054"/>
    </row>
    <row r="1014" spans="1:9" hidden="1" x14ac:dyDescent="0.25"/>
    <row r="1015" spans="1:9" hidden="1" x14ac:dyDescent="0.25"/>
    <row r="1016" spans="1:9" hidden="1" x14ac:dyDescent="0.25">
      <c r="A1016" s="1832" t="s">
        <v>448</v>
      </c>
    </row>
    <row r="1017" spans="1:9" hidden="1" x14ac:dyDescent="0.25">
      <c r="A1017" s="1702" t="str">
        <f>IF(OR('K2 GZ'!C12="",'K2 GZ'!M25=0),"",'K2 GZ'!C12&amp;" ("&amp;(TEXT('K2 GZ'!M25,"0,000%")&amp;"), "))</f>
        <v xml:space="preserve">Alle Kostenarten (29,000%), </v>
      </c>
    </row>
    <row r="1018" spans="1:9" hidden="1" x14ac:dyDescent="0.25">
      <c r="A1018" s="1702" t="str">
        <f>IF(OR('K2 GZ'!C13="",'K2 GZ'!M26=0),"",'K2 GZ'!C13&amp;" ("&amp;(TEXT('K2 GZ'!M26,"0,000%")&amp;"), "))</f>
        <v/>
      </c>
    </row>
    <row r="1019" spans="1:9" hidden="1" x14ac:dyDescent="0.25">
      <c r="A1019" s="1702" t="str">
        <f>IF(OR('K2 GZ'!C14="",'K2 GZ'!M27=0),"",'K2 GZ'!C14&amp;" ("&amp;(TEXT('K2 GZ'!M27,"0,000%")&amp;"), "))</f>
        <v/>
      </c>
    </row>
    <row r="1020" spans="1:9" hidden="1" x14ac:dyDescent="0.25">
      <c r="A1020" s="1702" t="str">
        <f>IF(OR('K2 GZ'!C15="",'K2 GZ'!M28=0),"",'K2 GZ'!C15&amp;" ("&amp;(TEXT('K2 GZ'!M28,"0,000%")&amp;"), "))</f>
        <v/>
      </c>
    </row>
    <row r="1021" spans="1:9" hidden="1" x14ac:dyDescent="0.25">
      <c r="A1021" s="1702" t="str">
        <f>IF(OR('K2 GZ'!C16="",'K2 GZ'!M29=0),"",'K2 GZ'!C16&amp;" ("&amp;(TEXT('K2 GZ'!M29,"0,000%")&amp;"), "))</f>
        <v/>
      </c>
    </row>
    <row r="1022" spans="1:9" hidden="1" x14ac:dyDescent="0.25">
      <c r="A1022" s="1702" t="str">
        <f>IF(OR('K2 GZ'!C17="",'K2 GZ'!M30=0),"",'K2 GZ'!C17&amp;" ("&amp;(TEXT('K2 GZ'!M30,"0,000%")&amp;"), "))</f>
        <v/>
      </c>
    </row>
    <row r="1023" spans="1:9" hidden="1" x14ac:dyDescent="0.25">
      <c r="A1023" s="1702" t="str">
        <f>IF(OR('K2 GZ'!C18="",'K2 GZ'!M31=0),"",'K2 GZ'!C18&amp;" ("&amp;(TEXT('K2 GZ'!M31,"0,000%")&amp;"), "))</f>
        <v/>
      </c>
    </row>
    <row r="1024" spans="1:9" hidden="1" x14ac:dyDescent="0.25">
      <c r="A1024" s="1702" t="str">
        <f>IF(OR('K2 GZ'!C19="",'K2 GZ'!M32=0),"",'K2 GZ'!C19&amp;" ("&amp;(TEXT('K2 GZ'!M32,"0,000%")&amp;"), "))</f>
        <v/>
      </c>
    </row>
    <row r="1025" spans="1:9" hidden="1" x14ac:dyDescent="0.25">
      <c r="A1025" s="1705" t="str">
        <f>A1017&amp;A1018&amp;A1019&amp;A1020&amp;A1021&amp;A1022&amp;A1023&amp;A1024</f>
        <v xml:space="preserve">Alle Kostenarten (29,000%), </v>
      </c>
    </row>
    <row r="1026" spans="1:9" hidden="1" x14ac:dyDescent="0.25">
      <c r="A1026" s="1705">
        <f>LEN(A1025)</f>
        <v>28</v>
      </c>
    </row>
    <row r="1027" spans="1:9" hidden="1" x14ac:dyDescent="0.25">
      <c r="A1027" s="1711" t="str">
        <f>IF(A1026&gt;0,MID(A1025,1,A1026-2),"")</f>
        <v>Alle Kostenarten (29,000%)</v>
      </c>
    </row>
    <row r="1028" spans="1:9" hidden="1" x14ac:dyDescent="0.25"/>
    <row r="1029" spans="1:9" hidden="1" x14ac:dyDescent="0.25">
      <c r="A1029" s="3054" t="str">
        <f>IFERROR("Im K2-Blatt finden sich folgende Gesamtzuschläge (Bezeichnung und GZ in %): ["&amp;A1027&amp;"]. "&amp;IF('K2 GZ'!$P$23="Ja","Die Werte sind als gerundet ausgewiesen. ",""),$K$6)</f>
        <v xml:space="preserve">Im K2-Blatt finden sich folgende Gesamtzuschläge (Bezeichnung und GZ in %): [Alle Kostenarten (29,000%)]. Die Werte sind als gerundet ausgewiesen. </v>
      </c>
      <c r="B1029" s="3054"/>
      <c r="C1029" s="3054"/>
      <c r="D1029" s="3054"/>
      <c r="E1029" s="3054"/>
      <c r="F1029" s="3054"/>
      <c r="G1029" s="3054"/>
      <c r="H1029" s="3054"/>
      <c r="I1029" s="3054"/>
    </row>
    <row r="1030" spans="1:9" hidden="1" x14ac:dyDescent="0.25">
      <c r="A1030" s="3054"/>
      <c r="B1030" s="3054"/>
      <c r="C1030" s="3054"/>
      <c r="D1030" s="3054"/>
      <c r="E1030" s="3054"/>
      <c r="F1030" s="3054"/>
      <c r="G1030" s="3054"/>
      <c r="H1030" s="3054"/>
      <c r="I1030" s="3054"/>
    </row>
    <row r="1031" spans="1:9" hidden="1" x14ac:dyDescent="0.25">
      <c r="A1031" s="3054"/>
      <c r="B1031" s="3054"/>
      <c r="C1031" s="3054"/>
      <c r="D1031" s="3054"/>
      <c r="E1031" s="3054"/>
      <c r="F1031" s="3054"/>
      <c r="G1031" s="3054"/>
      <c r="H1031" s="3054"/>
      <c r="I1031" s="3054"/>
    </row>
    <row r="1032" spans="1:9" hidden="1" x14ac:dyDescent="0.25">
      <c r="A1032" s="3054"/>
      <c r="B1032" s="3054"/>
      <c r="C1032" s="3054"/>
      <c r="D1032" s="3054"/>
      <c r="E1032" s="3054"/>
      <c r="F1032" s="3054"/>
      <c r="G1032" s="3054"/>
      <c r="H1032" s="3054"/>
      <c r="I1032" s="3054"/>
    </row>
    <row r="1033" spans="1:9" hidden="1" x14ac:dyDescent="0.25">
      <c r="A1033" s="3054"/>
      <c r="B1033" s="3054"/>
      <c r="C1033" s="3054"/>
      <c r="D1033" s="3054"/>
      <c r="E1033" s="3054"/>
      <c r="F1033" s="3054"/>
      <c r="G1033" s="3054"/>
      <c r="H1033" s="3054"/>
      <c r="I1033" s="3054"/>
    </row>
    <row r="1034" spans="1:9" hidden="1" x14ac:dyDescent="0.25"/>
    <row r="1035" spans="1:9" hidden="1" x14ac:dyDescent="0.25">
      <c r="A1035" s="1833" t="s">
        <v>449</v>
      </c>
      <c r="B1035" s="518"/>
      <c r="C1035" s="518"/>
      <c r="D1035" s="278" t="s">
        <v>450</v>
      </c>
      <c r="E1035" s="278" t="s">
        <v>451</v>
      </c>
      <c r="F1035" s="278" t="s">
        <v>452</v>
      </c>
      <c r="G1035" s="278" t="s">
        <v>444</v>
      </c>
      <c r="H1035" s="278" t="s">
        <v>445</v>
      </c>
      <c r="I1035" s="278" t="s">
        <v>418</v>
      </c>
    </row>
    <row r="1036" spans="1:9" hidden="1" x14ac:dyDescent="0.25">
      <c r="A1036" s="518" t="str">
        <f>KALKULATION!E345</f>
        <v>Alle Kostenarten</v>
      </c>
      <c r="B1036" s="518"/>
      <c r="C1036" s="518"/>
      <c r="D1036" s="1834">
        <f>IFERROR(VLOOKUP($A1036,'K2 GZ'!$C$12:$M$19,4,FALSE),$M$20)</f>
        <v>0</v>
      </c>
      <c r="E1036" s="1834">
        <f>IFERROR(VLOOKUP($A1036,'K2 GZ'!$C$12:$M$19,8,FALSE),$M$20)</f>
        <v>0.17499999999999999</v>
      </c>
      <c r="F1036" s="1834">
        <f>IFERROR(VLOOKUP($A1036,'K2 GZ'!$C$12:$M$19,11,FALSE),$M$20)</f>
        <v>2.35E-2</v>
      </c>
      <c r="G1036" s="1834">
        <f>IFERROR(VLOOKUP($A1036,'K2 GZ'!$B$25:$M$32,4,FALSE),$M$20)</f>
        <v>3.5999999999999997E-2</v>
      </c>
      <c r="H1036" s="1834">
        <f>IFERROR(VLOOKUP($A1036,'K2 GZ'!$B$25:$M$32,6,FALSE),$M$20)</f>
        <v>5.5599999999999997E-2</v>
      </c>
      <c r="I1036" s="1834">
        <f>IFERROR(VLOOKUP($A1036,'K2 GZ'!$B$25:$M$32,12,FALSE),$M$20)</f>
        <v>0.28999999999999998</v>
      </c>
    </row>
    <row r="1037" spans="1:9" hidden="1" x14ac:dyDescent="0.25">
      <c r="A1037" s="518"/>
      <c r="B1037" s="518"/>
      <c r="C1037" s="518"/>
      <c r="D1037" s="1835">
        <f>D1036/$I1036</f>
        <v>0</v>
      </c>
      <c r="E1037" s="1835">
        <f t="shared" ref="E1037:I1037" si="14">E1036/$I1036</f>
        <v>0.60340000000000005</v>
      </c>
      <c r="F1037" s="1835">
        <f t="shared" si="14"/>
        <v>8.1000000000000003E-2</v>
      </c>
      <c r="G1037" s="1835">
        <f t="shared" si="14"/>
        <v>0.1241</v>
      </c>
      <c r="H1037" s="1835">
        <f t="shared" si="14"/>
        <v>0.19170000000000001</v>
      </c>
      <c r="I1037" s="1835">
        <f t="shared" si="14"/>
        <v>1</v>
      </c>
    </row>
    <row r="1038" spans="1:9" hidden="1" x14ac:dyDescent="0.25">
      <c r="A1038" s="518"/>
      <c r="B1038" s="1836">
        <f ca="1">' K3 PP'!O39*I1036</f>
        <v>19.100000000000001</v>
      </c>
      <c r="C1038" s="518"/>
      <c r="D1038" s="1837">
        <f ca="1">$B1038*D1037</f>
        <v>0</v>
      </c>
      <c r="E1038" s="1837">
        <f t="shared" ref="E1038:I1038" ca="1" si="15">$B1038*E1037</f>
        <v>11.52</v>
      </c>
      <c r="F1038" s="1837">
        <f t="shared" ca="1" si="15"/>
        <v>1.55</v>
      </c>
      <c r="G1038" s="1837">
        <f t="shared" ca="1" si="15"/>
        <v>2.37</v>
      </c>
      <c r="H1038" s="1837">
        <f t="shared" ca="1" si="15"/>
        <v>3.66</v>
      </c>
      <c r="I1038" s="1837">
        <f t="shared" ca="1" si="15"/>
        <v>19.100000000000001</v>
      </c>
    </row>
    <row r="1039" spans="1:9" hidden="1" x14ac:dyDescent="0.25">
      <c r="A1039" s="518"/>
      <c r="B1039" s="1836">
        <f ca="1">B1038*KALKULATION!C$95*KALKULATION!F$63</f>
        <v>5053.8599999999997</v>
      </c>
      <c r="C1039" s="518"/>
      <c r="D1039" s="1837">
        <f ca="1">$B1039*D1037</f>
        <v>0</v>
      </c>
      <c r="E1039" s="1837">
        <f t="shared" ref="E1039:I1039" ca="1" si="16">$B1039*E1037</f>
        <v>3049.5</v>
      </c>
      <c r="F1039" s="1837">
        <f t="shared" ca="1" si="16"/>
        <v>409.36</v>
      </c>
      <c r="G1039" s="1837">
        <f t="shared" ca="1" si="16"/>
        <v>627.17999999999995</v>
      </c>
      <c r="H1039" s="1837">
        <f t="shared" ca="1" si="16"/>
        <v>968.82</v>
      </c>
      <c r="I1039" s="1837">
        <f t="shared" ca="1" si="16"/>
        <v>5053.8599999999997</v>
      </c>
    </row>
    <row r="1040" spans="1:9" hidden="1" x14ac:dyDescent="0.25">
      <c r="A1040" s="518"/>
      <c r="B1040" s="518"/>
      <c r="C1040" s="518"/>
      <c r="D1040" s="518" t="str">
        <f>IF(D1036&lt;&gt;0,"
- aus dem Übertrag vom K2a-Blatt in Hv "&amp;TEXT(D1038,"0,00€")&amp;"/Std bzw "&amp;TEXT(D1039,"0€")&amp;" pro Woche","")</f>
        <v/>
      </c>
      <c r="E1040" s="518" t="str">
        <f ca="1">"
- aus dem Ansatz für "&amp;E1035&amp;" in Hv "&amp;TEXT(E1038,"0,00€")&amp;"/Std bzw "&amp;TEXT(E1039,"0€")&amp;" pro Woche"</f>
        <v xml:space="preserve">
- aus dem Ansatz für GGK in Hv 11,52€/Std bzw 3050€ pro Woche</v>
      </c>
      <c r="F1040" s="518" t="str">
        <f ca="1">"
- aus dem Ansatz für "&amp;F1035&amp;" in Hv "&amp;TEXT(F1038,"0,00€")&amp;"/Std bzw "&amp;TEXT(F1039,"0€")&amp;" pro Woche"</f>
        <v xml:space="preserve">
- aus dem Ansatz für Finanzierungskosten in Hv 1,55€/Std bzw 409€ pro Woche</v>
      </c>
      <c r="G1040" s="518" t="str">
        <f ca="1">"
- aus dem Ansatz für "&amp;G1035&amp;" in Hv "&amp;TEXT(G1038,"0,00€")&amp;"/Std bzw "&amp;TEXT(G1039,"0€")&amp;" pro Woche"</f>
        <v xml:space="preserve">
- aus dem Ansatz für Wagnis in Hv 2,37€/Std bzw 627€ pro Woche</v>
      </c>
      <c r="H1040" s="518" t="str">
        <f ca="1">"
- aus dem Ansatz für "&amp;H1035&amp;" in Hv "&amp;TEXT(H1038,"0,00€")&amp;"/Std bzw "&amp;TEXT(H1039,"0€")&amp;" pro Woche."</f>
        <v xml:space="preserve">
- aus dem Ansatz für Gewinn in Hv 3,66€/Std bzw 969€ pro Woche.</v>
      </c>
      <c r="I1040" s="518" t="str">
        <f ca="1">TEXT(I1038,"0,00€")&amp;"/Std bzw "&amp;TEXT(I1039,"0€")&amp;" pro Woche"</f>
        <v>19,10€/Std bzw 5054€ pro Woche</v>
      </c>
    </row>
    <row r="1041" spans="1:9" hidden="1" x14ac:dyDescent="0.25"/>
    <row r="1042" spans="1:9" ht="15.75" hidden="1" customHeight="1" x14ac:dyDescent="0.25">
      <c r="A1042" s="3054" t="str">
        <f ca="1">IFERROR("
Personalkosten sind mit dem GZ ["&amp;A1036&amp;"] beaufschlagt, dessen "&amp;TEXT(I1036,"0,000%")&amp;" Deckungsbeiträge in Hv "&amp;I1040&amp;" (bei der kalkulierten Arbeitszeit und Beschäftigtenzahl; ohne Berücksichtigung von Feiertagen - daher maximal) ergeben. "&amp;"Die Deckungsbeiträge erwirtschaften sich im Detail wie folgt: "&amp;D1040&amp;E1040&amp;F1040&amp;G1040&amp;H1040&amp;"
Betreffend Herleitung siehe auch www.bauwesen.at/tools (Nr 08)!",$K$6)</f>
        <v xml:space="preserve">
Personalkosten sind mit dem GZ [Alle Kostenarten] beaufschlagt, dessen 29,000% Deckungsbeiträge in Hv 19,10€/Std bzw 5054€ pro Woche (bei der kalkulierten Arbeitszeit und Beschäftigtenzahl; ohne Berücksichtigung von Feiertagen - daher maximal) ergeben. Die Deckungsbeiträge erwirtschaften sich im Detail wie folgt: 
- aus dem Ansatz für GGK in Hv 11,52€/Std bzw 3050€ pro Woche
- aus dem Ansatz für Finanzierungskosten in Hv 1,55€/Std bzw 409€ pro Woche
- aus dem Ansatz für Wagnis in Hv 2,37€/Std bzw 627€ pro Woche
- aus dem Ansatz für Gewinn in Hv 3,66€/Std bzw 969€ pro Woche.
Betreffend Herleitung siehe auch www.bauwesen.at/tools (Nr 08)!</v>
      </c>
      <c r="B1042" s="3054"/>
      <c r="C1042" s="3054"/>
      <c r="D1042" s="3054"/>
      <c r="E1042" s="3054"/>
      <c r="F1042" s="3054"/>
      <c r="G1042" s="3054"/>
      <c r="H1042" s="3054"/>
      <c r="I1042" s="3054"/>
    </row>
    <row r="1043" spans="1:9" hidden="1" x14ac:dyDescent="0.25">
      <c r="A1043" s="3054"/>
      <c r="B1043" s="3054"/>
      <c r="C1043" s="3054"/>
      <c r="D1043" s="3054"/>
      <c r="E1043" s="3054"/>
      <c r="F1043" s="3054"/>
      <c r="G1043" s="3054"/>
      <c r="H1043" s="3054"/>
      <c r="I1043" s="3054"/>
    </row>
    <row r="1044" spans="1:9" hidden="1" x14ac:dyDescent="0.25">
      <c r="A1044" s="3054"/>
      <c r="B1044" s="3054"/>
      <c r="C1044" s="3054"/>
      <c r="D1044" s="3054"/>
      <c r="E1044" s="3054"/>
      <c r="F1044" s="3054"/>
      <c r="G1044" s="3054"/>
      <c r="H1044" s="3054"/>
      <c r="I1044" s="3054"/>
    </row>
    <row r="1045" spans="1:9" hidden="1" x14ac:dyDescent="0.25">
      <c r="A1045" s="3054"/>
      <c r="B1045" s="3054"/>
      <c r="C1045" s="3054"/>
      <c r="D1045" s="3054"/>
      <c r="E1045" s="3054"/>
      <c r="F1045" s="3054"/>
      <c r="G1045" s="3054"/>
      <c r="H1045" s="3054"/>
      <c r="I1045" s="3054"/>
    </row>
    <row r="1046" spans="1:9" hidden="1" x14ac:dyDescent="0.25">
      <c r="A1046" s="3054"/>
      <c r="B1046" s="3054"/>
      <c r="C1046" s="3054"/>
      <c r="D1046" s="3054"/>
      <c r="E1046" s="3054"/>
      <c r="F1046" s="3054"/>
      <c r="G1046" s="3054"/>
      <c r="H1046" s="3054"/>
      <c r="I1046" s="3054"/>
    </row>
    <row r="1047" spans="1:9" hidden="1" x14ac:dyDescent="0.25">
      <c r="A1047" s="3054"/>
      <c r="B1047" s="3054"/>
      <c r="C1047" s="3054"/>
      <c r="D1047" s="3054"/>
      <c r="E1047" s="3054"/>
      <c r="F1047" s="3054"/>
      <c r="G1047" s="3054"/>
      <c r="H1047" s="3054"/>
      <c r="I1047" s="3054"/>
    </row>
    <row r="1048" spans="1:9" hidden="1" x14ac:dyDescent="0.25">
      <c r="A1048" s="3054"/>
      <c r="B1048" s="3054"/>
      <c r="C1048" s="3054"/>
      <c r="D1048" s="3054"/>
      <c r="E1048" s="3054"/>
      <c r="F1048" s="3054"/>
      <c r="G1048" s="3054"/>
      <c r="H1048" s="3054"/>
      <c r="I1048" s="3054"/>
    </row>
    <row r="1049" spans="1:9" hidden="1" x14ac:dyDescent="0.25">
      <c r="A1049" s="3054"/>
      <c r="B1049" s="3054"/>
      <c r="C1049" s="3054"/>
      <c r="D1049" s="3054"/>
      <c r="E1049" s="3054"/>
      <c r="F1049" s="3054"/>
      <c r="G1049" s="3054"/>
      <c r="H1049" s="3054"/>
      <c r="I1049" s="3054"/>
    </row>
    <row r="1050" spans="1:9" hidden="1" x14ac:dyDescent="0.25">
      <c r="A1050" s="3054"/>
      <c r="B1050" s="3054"/>
      <c r="C1050" s="3054"/>
      <c r="D1050" s="3054"/>
      <c r="E1050" s="3054"/>
      <c r="F1050" s="3054"/>
      <c r="G1050" s="3054"/>
      <c r="H1050" s="3054"/>
      <c r="I1050" s="3054"/>
    </row>
    <row r="1051" spans="1:9" hidden="1" x14ac:dyDescent="0.25">
      <c r="A1051" s="3054"/>
      <c r="B1051" s="3054"/>
      <c r="C1051" s="3054"/>
      <c r="D1051" s="3054"/>
      <c r="E1051" s="3054"/>
      <c r="F1051" s="3054"/>
      <c r="G1051" s="3054"/>
      <c r="H1051" s="3054"/>
      <c r="I1051" s="3054"/>
    </row>
    <row r="1052" spans="1:9" hidden="1" x14ac:dyDescent="0.25"/>
    <row r="1053" spans="1:9" hidden="1" x14ac:dyDescent="0.25">
      <c r="A1053" s="1833" t="s">
        <v>86</v>
      </c>
      <c r="B1053" s="518"/>
      <c r="C1053" s="518"/>
      <c r="D1053" s="278" t="s">
        <v>450</v>
      </c>
      <c r="E1053" s="278" t="s">
        <v>451</v>
      </c>
      <c r="F1053" s="278" t="s">
        <v>452</v>
      </c>
      <c r="G1053" s="278" t="s">
        <v>444</v>
      </c>
      <c r="H1053" s="278" t="s">
        <v>445</v>
      </c>
      <c r="I1053" s="278" t="s">
        <v>418</v>
      </c>
    </row>
    <row r="1054" spans="1:9" hidden="1" x14ac:dyDescent="0.25">
      <c r="A1054" s="518" t="str">
        <f>KALKULATION!E346</f>
        <v>Alle Kostenarten</v>
      </c>
      <c r="B1054" s="518"/>
      <c r="C1054" s="518"/>
      <c r="D1054" s="1834">
        <f>IFERROR(VLOOKUP($A1054,'K2 GZ'!$C$12:$M$19,4,FALSE),$M$20)</f>
        <v>0</v>
      </c>
      <c r="E1054" s="1834">
        <f>IFERROR(VLOOKUP($A1054,'K2 GZ'!$C$12:$M$19,8,FALSE),$M$20)</f>
        <v>0.17499999999999999</v>
      </c>
      <c r="F1054" s="1834">
        <f>IFERROR(VLOOKUP($A1054,'K2 GZ'!$C$12:$M$19,11,FALSE),$M$20)</f>
        <v>2.35E-2</v>
      </c>
      <c r="G1054" s="1834">
        <f>IFERROR(VLOOKUP($A1054,'K2 GZ'!$B$25:$M$32,4,FALSE),$M$20)</f>
        <v>3.5999999999999997E-2</v>
      </c>
      <c r="H1054" s="1834">
        <f>IFERROR(VLOOKUP($A1054,'K2 GZ'!$B$25:$M$32,6,FALSE),$M$20)</f>
        <v>5.5599999999999997E-2</v>
      </c>
      <c r="I1054" s="1834">
        <f>IFERROR(VLOOKUP($A1054,'K2 GZ'!$B$25:$M$32,12,FALSE),$M$20)</f>
        <v>0.28999999999999998</v>
      </c>
    </row>
    <row r="1055" spans="1:9" hidden="1" x14ac:dyDescent="0.25">
      <c r="A1055" s="518"/>
      <c r="B1055" s="518"/>
      <c r="C1055" s="518"/>
      <c r="D1055" s="1835">
        <f>D1054/$I1054</f>
        <v>0</v>
      </c>
      <c r="E1055" s="1835">
        <f t="shared" ref="E1055" si="17">E1054/$I1054</f>
        <v>0.60340000000000005</v>
      </c>
      <c r="F1055" s="1835">
        <f t="shared" ref="F1055" si="18">F1054/$I1054</f>
        <v>8.1000000000000003E-2</v>
      </c>
      <c r="G1055" s="1835">
        <f t="shared" ref="G1055" si="19">G1054/$I1054</f>
        <v>0.1241</v>
      </c>
      <c r="H1055" s="1835">
        <f t="shared" ref="H1055" si="20">H1054/$I1054</f>
        <v>0.19170000000000001</v>
      </c>
      <c r="I1055" s="1835">
        <f t="shared" ref="I1055" si="21">I1054/$I1054</f>
        <v>1</v>
      </c>
    </row>
    <row r="1056" spans="1:9" hidden="1" x14ac:dyDescent="0.25">
      <c r="A1056" s="518"/>
      <c r="B1056" s="1836">
        <f ca="1">' K3 PP'!M43</f>
        <v>0.3</v>
      </c>
      <c r="C1056" s="518"/>
      <c r="D1056" s="1838">
        <f ca="1">$B1056*D1055</f>
        <v>0</v>
      </c>
      <c r="E1056" s="1838">
        <f t="shared" ref="E1056" ca="1" si="22">$B1056*E1055</f>
        <v>0.18</v>
      </c>
      <c r="F1056" s="1838">
        <f t="shared" ref="F1056" ca="1" si="23">$B1056*F1055</f>
        <v>0.02</v>
      </c>
      <c r="G1056" s="1838">
        <f t="shared" ref="G1056" ca="1" si="24">$B1056*G1055</f>
        <v>0.04</v>
      </c>
      <c r="H1056" s="1838">
        <f t="shared" ref="H1056" ca="1" si="25">$B1056*H1055</f>
        <v>0.06</v>
      </c>
      <c r="I1056" s="1838">
        <f t="shared" ref="I1056" ca="1" si="26">$B1056*I1055</f>
        <v>0.3</v>
      </c>
    </row>
    <row r="1057" spans="1:9" hidden="1" x14ac:dyDescent="0.25">
      <c r="A1057" s="518"/>
      <c r="B1057" s="1836">
        <f ca="1">B1056*KALKULATION!C$95*KALKULATION!F$63</f>
        <v>79.38</v>
      </c>
      <c r="C1057" s="518"/>
      <c r="D1057" s="1838">
        <f ca="1">$B1057*D1055</f>
        <v>0</v>
      </c>
      <c r="E1057" s="1838">
        <f t="shared" ref="E1057:I1057" ca="1" si="27">$B1057*E1055</f>
        <v>47.9</v>
      </c>
      <c r="F1057" s="1838">
        <f t="shared" ca="1" si="27"/>
        <v>6.43</v>
      </c>
      <c r="G1057" s="1838">
        <f t="shared" ca="1" si="27"/>
        <v>9.85</v>
      </c>
      <c r="H1057" s="1838">
        <f t="shared" ca="1" si="27"/>
        <v>15.22</v>
      </c>
      <c r="I1057" s="1838">
        <f t="shared" ca="1" si="27"/>
        <v>79.38</v>
      </c>
    </row>
    <row r="1058" spans="1:9" hidden="1" x14ac:dyDescent="0.25">
      <c r="A1058" s="518"/>
      <c r="B1058" s="518"/>
      <c r="C1058" s="518"/>
      <c r="D1058" s="278" t="str">
        <f>IF(D1054&lt;&gt;0,"
- aus dem Übertrag vom K2a-Blatt in Hv "&amp;TEXT(D1056,"0,00€")&amp;"/Std bzw "&amp;TEXT(D1057,"0€")&amp;" pro Woche","")</f>
        <v/>
      </c>
      <c r="E1058" s="278" t="str">
        <f ca="1">"
- aus dem Ansatz für "&amp;E1053&amp;" in Hv "&amp;TEXT(E1056,"0,00€")&amp;"/Std bzw "&amp;TEXT(E1057,"0€")&amp;" pro Woche"</f>
        <v xml:space="preserve">
- aus dem Ansatz für GGK in Hv 0,18€/Std bzw 48€ pro Woche</v>
      </c>
      <c r="F1058" s="278" t="str">
        <f ca="1">"
- aus dem Ansatz für "&amp;F1053&amp;" in Hv "&amp;TEXT(F1056,"0,00€")&amp;"/Std bzw "&amp;TEXT(F1057,"0€")&amp;" pro Woche"</f>
        <v xml:space="preserve">
- aus dem Ansatz für Finanzierungskosten in Hv 0,02€/Std bzw 6€ pro Woche</v>
      </c>
      <c r="G1058" s="278" t="str">
        <f ca="1">"
- aus dem Ansatz für "&amp;G1053&amp;" in Hv "&amp;TEXT(G1056,"0,00€")&amp;"/Std bzw "&amp;TEXT(G1057,"0€")&amp;" pro Woche"</f>
        <v xml:space="preserve">
- aus dem Ansatz für Wagnis in Hv 0,04€/Std bzw 10€ pro Woche</v>
      </c>
      <c r="H1058" s="278" t="str">
        <f ca="1">"
- aus dem Ansatz für "&amp;H1053&amp;" in Hv "&amp;TEXT(H1056,"0,00€")&amp;"/Std bzw "&amp;TEXT(H1057,"0€")&amp;" pro Woche."</f>
        <v xml:space="preserve">
- aus dem Ansatz für Gewinn in Hv 0,06€/Std bzw 15€ pro Woche.</v>
      </c>
      <c r="I1058" s="278" t="str">
        <f ca="1">TEXT(I1056,"0,00€")&amp;"/Std bzw "&amp;TEXT(I1057,"0€")&amp;" pro Woche"</f>
        <v>0,30€/Std bzw 79€ pro Woche</v>
      </c>
    </row>
    <row r="1059" spans="1:9" hidden="1" x14ac:dyDescent="0.25"/>
    <row r="1060" spans="1:9" hidden="1" x14ac:dyDescent="0.25">
      <c r="A1060" s="3054" t="str">
        <f ca="1">IFERROR(IF(' K3 PP'!M39&lt;&gt;0,"
Umlagen sind mit dem GZ ["&amp;A1054&amp;"] beaufschlagt, dessen "&amp;TEXT(I1054,"0,000%")&amp;" Deckungsbeiträge in Hv "&amp;I1058&amp;" (siehe Hinweis oben) ergeben. "&amp;"Die Deckungsbeiträge erwirtschaften sich im Detail wie folgt: "&amp;D1058&amp;E1058&amp;F1058&amp;G1058&amp;H1058,""),"")</f>
        <v xml:space="preserve">
Umlagen sind mit dem GZ [Alle Kostenarten] beaufschlagt, dessen 29,000% Deckungsbeiträge in Hv 0,30€/Std bzw 79€ pro Woche (siehe Hinweis oben) ergeben. Die Deckungsbeiträge erwirtschaften sich im Detail wie folgt: 
- aus dem Ansatz für GGK in Hv 0,18€/Std bzw 48€ pro Woche
- aus dem Ansatz für Finanzierungskosten in Hv 0,02€/Std bzw 6€ pro Woche
- aus dem Ansatz für Wagnis in Hv 0,04€/Std bzw 10€ pro Woche
- aus dem Ansatz für Gewinn in Hv 0,06€/Std bzw 15€ pro Woche.</v>
      </c>
      <c r="B1060" s="3054"/>
      <c r="C1060" s="3054"/>
      <c r="D1060" s="3054"/>
      <c r="E1060" s="3054"/>
      <c r="F1060" s="3054"/>
      <c r="G1060" s="3054"/>
      <c r="H1060" s="3054"/>
      <c r="I1060" s="3054"/>
    </row>
    <row r="1061" spans="1:9" hidden="1" x14ac:dyDescent="0.25">
      <c r="A1061" s="3054"/>
      <c r="B1061" s="3054"/>
      <c r="C1061" s="3054"/>
      <c r="D1061" s="3054"/>
      <c r="E1061" s="3054"/>
      <c r="F1061" s="3054"/>
      <c r="G1061" s="3054"/>
      <c r="H1061" s="3054"/>
      <c r="I1061" s="3054"/>
    </row>
    <row r="1062" spans="1:9" hidden="1" x14ac:dyDescent="0.25">
      <c r="A1062" s="3054"/>
      <c r="B1062" s="3054"/>
      <c r="C1062" s="3054"/>
      <c r="D1062" s="3054"/>
      <c r="E1062" s="3054"/>
      <c r="F1062" s="3054"/>
      <c r="G1062" s="3054"/>
      <c r="H1062" s="3054"/>
      <c r="I1062" s="3054"/>
    </row>
    <row r="1063" spans="1:9" hidden="1" x14ac:dyDescent="0.25">
      <c r="A1063" s="3054"/>
      <c r="B1063" s="3054"/>
      <c r="C1063" s="3054"/>
      <c r="D1063" s="3054"/>
      <c r="E1063" s="3054"/>
      <c r="F1063" s="3054"/>
      <c r="G1063" s="3054"/>
      <c r="H1063" s="3054"/>
      <c r="I1063" s="3054"/>
    </row>
    <row r="1064" spans="1:9" hidden="1" x14ac:dyDescent="0.25">
      <c r="A1064" s="3054"/>
      <c r="B1064" s="3054"/>
      <c r="C1064" s="3054"/>
      <c r="D1064" s="3054"/>
      <c r="E1064" s="3054"/>
      <c r="F1064" s="3054"/>
      <c r="G1064" s="3054"/>
      <c r="H1064" s="3054"/>
      <c r="I1064" s="3054"/>
    </row>
    <row r="1065" spans="1:9" hidden="1" x14ac:dyDescent="0.25">
      <c r="A1065" s="3054"/>
      <c r="B1065" s="3054"/>
      <c r="C1065" s="3054"/>
      <c r="D1065" s="3054"/>
      <c r="E1065" s="3054"/>
      <c r="F1065" s="3054"/>
      <c r="G1065" s="3054"/>
      <c r="H1065" s="3054"/>
      <c r="I1065" s="3054"/>
    </row>
    <row r="1066" spans="1:9" hidden="1" x14ac:dyDescent="0.25">
      <c r="A1066" s="3054"/>
      <c r="B1066" s="3054"/>
      <c r="C1066" s="3054"/>
      <c r="D1066" s="3054"/>
      <c r="E1066" s="3054"/>
      <c r="F1066" s="3054"/>
      <c r="G1066" s="3054"/>
      <c r="H1066" s="3054"/>
      <c r="I1066" s="3054"/>
    </row>
    <row r="1067" spans="1:9" hidden="1" x14ac:dyDescent="0.25">
      <c r="A1067" s="3054"/>
      <c r="B1067" s="3054"/>
      <c r="C1067" s="3054"/>
      <c r="D1067" s="3054"/>
      <c r="E1067" s="3054"/>
      <c r="F1067" s="3054"/>
      <c r="G1067" s="3054"/>
      <c r="H1067" s="3054"/>
      <c r="I1067" s="3054"/>
    </row>
    <row r="1068" spans="1:9" hidden="1" x14ac:dyDescent="0.25">
      <c r="A1068" s="3054"/>
      <c r="B1068" s="3054"/>
      <c r="C1068" s="3054"/>
      <c r="D1068" s="3054"/>
      <c r="E1068" s="3054"/>
      <c r="F1068" s="3054"/>
      <c r="G1068" s="3054"/>
      <c r="H1068" s="3054"/>
      <c r="I1068" s="3054"/>
    </row>
    <row r="1069" spans="1:9" hidden="1" x14ac:dyDescent="0.25">
      <c r="A1069" s="3054"/>
      <c r="B1069" s="3054"/>
      <c r="C1069" s="3054"/>
      <c r="D1069" s="3054"/>
      <c r="E1069" s="3054"/>
      <c r="F1069" s="3054"/>
      <c r="G1069" s="3054"/>
      <c r="H1069" s="3054"/>
      <c r="I1069" s="3054"/>
    </row>
    <row r="1070" spans="1:9" hidden="1" x14ac:dyDescent="0.25"/>
  </sheetData>
  <sheetProtection password="B984" sheet="1" formatColumns="0" selectLockedCells="1"/>
  <mergeCells count="136">
    <mergeCell ref="A1060:I1069"/>
    <mergeCell ref="A980:I984"/>
    <mergeCell ref="A764:I766"/>
    <mergeCell ref="A769:I771"/>
    <mergeCell ref="A775:I788"/>
    <mergeCell ref="A936:I937"/>
    <mergeCell ref="A939:I942"/>
    <mergeCell ref="A756:I759"/>
    <mergeCell ref="A799:I802"/>
    <mergeCell ref="A869:I871"/>
    <mergeCell ref="A832:I837"/>
    <mergeCell ref="A820:I827"/>
    <mergeCell ref="A862:I862"/>
    <mergeCell ref="A859:I860"/>
    <mergeCell ref="A841:I850"/>
    <mergeCell ref="A838:I839"/>
    <mergeCell ref="A898:I901"/>
    <mergeCell ref="A851:I852"/>
    <mergeCell ref="A854:I855"/>
    <mergeCell ref="A856:I857"/>
    <mergeCell ref="A884:I886"/>
    <mergeCell ref="A890:I896"/>
    <mergeCell ref="A1042:I1051"/>
    <mergeCell ref="A975:I978"/>
    <mergeCell ref="A992:I997"/>
    <mergeCell ref="A280:I302"/>
    <mergeCell ref="A865:I866"/>
    <mergeCell ref="A864:I864"/>
    <mergeCell ref="A700:I706"/>
    <mergeCell ref="A812:I814"/>
    <mergeCell ref="A795:I797"/>
    <mergeCell ref="A829:I829"/>
    <mergeCell ref="A716:I718"/>
    <mergeCell ref="A669:I669"/>
    <mergeCell ref="A680:I683"/>
    <mergeCell ref="A635:I642"/>
    <mergeCell ref="A670:I673"/>
    <mergeCell ref="A344:I366"/>
    <mergeCell ref="A618:I618"/>
    <mergeCell ref="A403:I406"/>
    <mergeCell ref="A907:I909"/>
    <mergeCell ref="A947:I948"/>
    <mergeCell ref="A915:I918"/>
    <mergeCell ref="A902:I904"/>
    <mergeCell ref="A529:I530"/>
    <mergeCell ref="A728:I730"/>
    <mergeCell ref="A486:I490"/>
    <mergeCell ref="A586:I591"/>
    <mergeCell ref="A999:I1013"/>
    <mergeCell ref="A950:I953"/>
    <mergeCell ref="A571:I572"/>
    <mergeCell ref="A597:I598"/>
    <mergeCell ref="A876:I878"/>
    <mergeCell ref="A986:I990"/>
    <mergeCell ref="A708:I712"/>
    <mergeCell ref="A1029:I1033"/>
    <mergeCell ref="A224:I224"/>
    <mergeCell ref="A250:I250"/>
    <mergeCell ref="A519:I523"/>
    <mergeCell ref="A470:I475"/>
    <mergeCell ref="A515:I517"/>
    <mergeCell ref="A675:I676"/>
    <mergeCell ref="A685:I689"/>
    <mergeCell ref="A369:I390"/>
    <mergeCell ref="A652:I653"/>
    <mergeCell ref="A648:I649"/>
    <mergeCell ref="A645:I646"/>
    <mergeCell ref="A955:I956"/>
    <mergeCell ref="A957:I958"/>
    <mergeCell ref="A330:I341"/>
    <mergeCell ref="A546:I553"/>
    <mergeCell ref="A932:I934"/>
    <mergeCell ref="A1:I2"/>
    <mergeCell ref="F50:H50"/>
    <mergeCell ref="G82:G83"/>
    <mergeCell ref="H82:H83"/>
    <mergeCell ref="A19:I21"/>
    <mergeCell ref="E52:F52"/>
    <mergeCell ref="A137:I137"/>
    <mergeCell ref="A142:B149"/>
    <mergeCell ref="D142:I149"/>
    <mergeCell ref="F5:G5"/>
    <mergeCell ref="H5:H6"/>
    <mergeCell ref="I5:I6"/>
    <mergeCell ref="A5:E6"/>
    <mergeCell ref="A14:I16"/>
    <mergeCell ref="I42:I43"/>
    <mergeCell ref="I72:I73"/>
    <mergeCell ref="I39:I40"/>
    <mergeCell ref="I69:I70"/>
    <mergeCell ref="G52:H52"/>
    <mergeCell ref="A122:I123"/>
    <mergeCell ref="A124:I124"/>
    <mergeCell ref="A125:I128"/>
    <mergeCell ref="A135:I136"/>
    <mergeCell ref="A150:I150"/>
    <mergeCell ref="A138:E138"/>
    <mergeCell ref="A139:I140"/>
    <mergeCell ref="A790:I792"/>
    <mergeCell ref="F251:G251"/>
    <mergeCell ref="F279:G279"/>
    <mergeCell ref="F304:G304"/>
    <mergeCell ref="F317:G317"/>
    <mergeCell ref="F329:G329"/>
    <mergeCell ref="F343:G343"/>
    <mergeCell ref="A411:I413"/>
    <mergeCell ref="A305:I315"/>
    <mergeCell ref="A609:I615"/>
    <mergeCell ref="A252:I277"/>
    <mergeCell ref="A499:I504"/>
    <mergeCell ref="A509:I513"/>
    <mergeCell ref="A601:I607"/>
    <mergeCell ref="A492:I493"/>
    <mergeCell ref="A506:I507"/>
    <mergeCell ref="A318:I327"/>
    <mergeCell ref="A742:I744"/>
    <mergeCell ref="A428:I431"/>
    <mergeCell ref="A447:I452"/>
    <mergeCell ref="A454:I458"/>
    <mergeCell ref="A461:I464"/>
    <mergeCell ref="A466:I467"/>
    <mergeCell ref="A656:I658"/>
    <mergeCell ref="A152:I158"/>
    <mergeCell ref="A226:I249"/>
    <mergeCell ref="A415:I417"/>
    <mergeCell ref="A477:I479"/>
    <mergeCell ref="F151:G151"/>
    <mergeCell ref="F160:G160"/>
    <mergeCell ref="F178:G178"/>
    <mergeCell ref="F206:G206"/>
    <mergeCell ref="F225:G225"/>
    <mergeCell ref="A207:I223"/>
    <mergeCell ref="A161:I176"/>
    <mergeCell ref="A177:I177"/>
    <mergeCell ref="A179:I204"/>
    <mergeCell ref="A205:I205"/>
  </mergeCells>
  <conditionalFormatting sqref="A19:I21">
    <cfRule type="expression" dxfId="121" priority="1">
      <formula>_OK?&lt;&gt;"OK!"</formula>
    </cfRule>
    <cfRule type="expression" dxfId="120" priority="4">
      <formula>$A$19=$K$6</formula>
    </cfRule>
  </conditionalFormatting>
  <conditionalFormatting sqref="E24">
    <cfRule type="expression" dxfId="119" priority="3">
      <formula>_OK?="f"</formula>
    </cfRule>
  </conditionalFormatting>
  <conditionalFormatting sqref="E84:E93">
    <cfRule type="dataBar" priority="7">
      <dataBar>
        <cfvo type="min"/>
        <cfvo type="max"/>
        <color rgb="FFFFB628"/>
      </dataBar>
      <extLst>
        <ext xmlns:x14="http://schemas.microsoft.com/office/spreadsheetml/2009/9/main" uri="{B025F937-C7B1-47D3-B67F-A62EFF666E3E}">
          <x14:id>{FD0640FF-B27E-4627-B3FE-8C2CC34875FB}</x14:id>
        </ext>
      </extLst>
    </cfRule>
  </conditionalFormatting>
  <conditionalFormatting sqref="F84:F93">
    <cfRule type="dataBar" priority="6">
      <dataBar>
        <cfvo type="min"/>
        <cfvo type="max"/>
        <color rgb="FFFFB628"/>
      </dataBar>
      <extLst>
        <ext xmlns:x14="http://schemas.microsoft.com/office/spreadsheetml/2009/9/main" uri="{B025F937-C7B1-47D3-B67F-A62EFF666E3E}">
          <x14:id>{17F4A327-40B4-43FC-8456-AD865277F3B1}</x14:id>
        </ext>
      </extLst>
    </cfRule>
  </conditionalFormatting>
  <conditionalFormatting sqref="H5 A14:I16">
    <cfRule type="expression" dxfId="118" priority="2">
      <formula>$A$14=$K$14</formula>
    </cfRule>
  </conditionalFormatting>
  <printOptions horizontalCentered="1"/>
  <pageMargins left="0.39370078740157483" right="0.19685039370078741" top="0.39370078740157483" bottom="0.78740157480314965" header="0.31496062992125984" footer="0.31496062992125984"/>
  <pageSetup paperSize="9" orientation="portrait" r:id="rId1"/>
  <headerFooter>
    <oddFooter>&amp;L&amp;8REPORT
&amp;P von &amp;N&amp;R&amp;8&amp;F</oddFooter>
  </headerFooter>
  <rowBreaks count="10" manualBreakCount="10">
    <brk id="50" max="16383" man="1"/>
    <brk id="81" max="16383" man="1"/>
    <brk id="119" max="16383" man="1"/>
    <brk id="158" max="16383" man="1"/>
    <brk id="204" max="16383" man="1"/>
    <brk id="249" max="16383" man="1"/>
    <brk id="277" max="16383" man="1"/>
    <brk id="315" max="16383" man="1"/>
    <brk id="341" max="16383" man="1"/>
    <brk id="366" max="16383" man="1"/>
  </rowBreaks>
  <ignoredErrors>
    <ignoredError sqref="I30 I37" formula="1"/>
  </ignoredErrors>
  <drawing r:id="rId2"/>
  <extLst>
    <ext xmlns:x14="http://schemas.microsoft.com/office/spreadsheetml/2009/9/main" uri="{78C0D931-6437-407d-A8EE-F0AAD7539E65}">
      <x14:conditionalFormattings>
        <x14:conditionalFormatting xmlns:xm="http://schemas.microsoft.com/office/excel/2006/main">
          <x14:cfRule type="dataBar" id="{FD0640FF-B27E-4627-B3FE-8C2CC34875FB}">
            <x14:dataBar minLength="0" maxLength="100" border="1" negativeBarBorderColorSameAsPositive="0">
              <x14:cfvo type="autoMin"/>
              <x14:cfvo type="autoMax"/>
              <x14:borderColor rgb="FFFFB628"/>
              <x14:negativeFillColor rgb="FFFF0000"/>
              <x14:negativeBorderColor rgb="FFFF0000"/>
              <x14:axisColor rgb="FF000000"/>
            </x14:dataBar>
          </x14:cfRule>
          <xm:sqref>E84:E93</xm:sqref>
        </x14:conditionalFormatting>
        <x14:conditionalFormatting xmlns:xm="http://schemas.microsoft.com/office/excel/2006/main">
          <x14:cfRule type="dataBar" id="{17F4A327-40B4-43FC-8456-AD865277F3B1}">
            <x14:dataBar minLength="0" maxLength="100" border="1" negativeBarBorderColorSameAsPositive="0">
              <x14:cfvo type="autoMin"/>
              <x14:cfvo type="autoMax"/>
              <x14:borderColor rgb="FFFFB628"/>
              <x14:negativeFillColor rgb="FFFF0000"/>
              <x14:negativeBorderColor rgb="FFFF0000"/>
              <x14:axisColor rgb="FF000000"/>
            </x14:dataBar>
          </x14:cfRule>
          <xm:sqref>F84:F93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7">
    <tabColor theme="9" tint="0.59999389629810485"/>
  </sheetPr>
  <dimension ref="A1:Y74"/>
  <sheetViews>
    <sheetView showGridLines="0" topLeftCell="A4" zoomScaleNormal="100" workbookViewId="0">
      <selection activeCell="I47" sqref="I47:M47"/>
    </sheetView>
  </sheetViews>
  <sheetFormatPr baseColWidth="10" defaultColWidth="10.6640625" defaultRowHeight="12.75" x14ac:dyDescent="0.2"/>
  <cols>
    <col min="1" max="1" width="2.109375" style="15" customWidth="1"/>
    <col min="2" max="2" width="2.109375" style="15" hidden="1" customWidth="1"/>
    <col min="3" max="13" width="6.6640625" style="15" customWidth="1"/>
    <col min="14" max="14" width="1.77734375" style="15" customWidth="1"/>
    <col min="15" max="15" width="10.77734375" style="15" customWidth="1"/>
    <col min="16" max="16" width="10.88671875" style="15" customWidth="1"/>
    <col min="17" max="17" width="0.6640625" style="15" customWidth="1"/>
    <col min="18" max="18" width="12.33203125" style="15" customWidth="1"/>
    <col min="19" max="23" width="10.6640625" style="1889" hidden="1" customWidth="1"/>
    <col min="24" max="25" width="0" style="1889" hidden="1" customWidth="1"/>
    <col min="26" max="16384" width="10.6640625" style="15"/>
  </cols>
  <sheetData>
    <row r="1" spans="1:19" ht="18.75" x14ac:dyDescent="0.3">
      <c r="A1" s="3219" t="s">
        <v>300</v>
      </c>
      <c r="B1" s="3219"/>
      <c r="C1" s="3219"/>
      <c r="D1" s="3219"/>
      <c r="E1" s="3219"/>
      <c r="F1" s="3219"/>
      <c r="G1" s="3219"/>
      <c r="H1" s="3219"/>
      <c r="I1" s="3219"/>
      <c r="J1" s="3219"/>
      <c r="K1" s="3219"/>
      <c r="L1" s="3219"/>
      <c r="M1" s="3220"/>
      <c r="N1" s="260"/>
      <c r="O1" s="477"/>
      <c r="P1" s="478"/>
      <c r="Q1" s="478"/>
      <c r="R1" s="479"/>
    </row>
    <row r="2" spans="1:19" ht="18.75" x14ac:dyDescent="0.3">
      <c r="A2" s="259"/>
      <c r="B2" s="259"/>
      <c r="C2" s="259"/>
      <c r="D2" s="260"/>
      <c r="E2" s="260"/>
      <c r="F2" s="260"/>
      <c r="G2" s="260"/>
      <c r="H2" s="260"/>
      <c r="I2" s="260"/>
      <c r="J2" s="260"/>
      <c r="K2" s="260"/>
      <c r="L2" s="260"/>
      <c r="M2" s="260"/>
      <c r="N2" s="260"/>
      <c r="O2" s="480"/>
      <c r="R2" s="481"/>
    </row>
    <row r="3" spans="1:19" ht="22.15" customHeight="1" x14ac:dyDescent="0.3">
      <c r="A3" s="423" t="s">
        <v>93</v>
      </c>
      <c r="B3" s="423"/>
      <c r="C3" s="422"/>
      <c r="D3" s="24"/>
      <c r="E3" s="24"/>
      <c r="F3" s="424" t="s">
        <v>23</v>
      </c>
      <c r="G3" s="3287" t="str">
        <f>' K3 PP'!G1</f>
        <v xml:space="preserve">Musterprojekt Baugewerbe </v>
      </c>
      <c r="H3" s="3288"/>
      <c r="I3" s="3288"/>
      <c r="J3" s="3288"/>
      <c r="K3" s="3288"/>
      <c r="L3" s="3288"/>
      <c r="M3" s="3288"/>
      <c r="N3" s="394"/>
      <c r="O3" s="480"/>
      <c r="R3" s="481"/>
    </row>
    <row r="4" spans="1:19" ht="18" customHeight="1" x14ac:dyDescent="0.2">
      <c r="A4" s="3276" t="str">
        <f ca="1">KALKULATION!D11</f>
        <v>Nur als Testversion nutzbar!</v>
      </c>
      <c r="B4" s="3277"/>
      <c r="C4" s="3277"/>
      <c r="D4" s="3277"/>
      <c r="E4" s="3277"/>
      <c r="F4" s="3278"/>
      <c r="G4" s="3287"/>
      <c r="H4" s="3288"/>
      <c r="I4" s="3288"/>
      <c r="J4" s="3289"/>
      <c r="K4" s="3289"/>
      <c r="L4" s="3289"/>
      <c r="M4" s="3289"/>
      <c r="N4" s="394"/>
      <c r="O4" s="480"/>
      <c r="R4" s="481"/>
    </row>
    <row r="5" spans="1:19" ht="18" customHeight="1" x14ac:dyDescent="0.2">
      <c r="A5" s="3279" t="str">
        <f ca="1">IF(KALKULATION!D12&lt;&gt;0,KALKULATION!D12,"")</f>
        <v>Nur als Testversion nutzbar!</v>
      </c>
      <c r="B5" s="3280"/>
      <c r="C5" s="3280"/>
      <c r="D5" s="3280"/>
      <c r="E5" s="3280"/>
      <c r="F5" s="3281"/>
      <c r="G5" s="13" t="s">
        <v>155</v>
      </c>
      <c r="H5" s="3245" t="str">
        <f>' K3 PP'!C4</f>
        <v>Meine GZ</v>
      </c>
      <c r="I5" s="3246"/>
      <c r="J5" s="3248" t="s">
        <v>522</v>
      </c>
      <c r="K5" s="3249"/>
      <c r="L5" s="3241">
        <f>KALKULATION!F18</f>
        <v>46143</v>
      </c>
      <c r="M5" s="3242"/>
      <c r="N5" s="406"/>
      <c r="O5" s="480"/>
      <c r="R5" s="481"/>
    </row>
    <row r="6" spans="1:19" ht="18" customHeight="1" thickBot="1" x14ac:dyDescent="0.25">
      <c r="A6" s="3282" t="str">
        <f ca="1">IF(KALKULATION!D13&lt;&gt;0,KALKULATION!D13,"")</f>
        <v>Nur als Testversion nutzbar!</v>
      </c>
      <c r="B6" s="3283"/>
      <c r="C6" s="3283"/>
      <c r="D6" s="3283"/>
      <c r="E6" s="3283"/>
      <c r="F6" s="3284"/>
      <c r="G6" s="14" t="s">
        <v>156</v>
      </c>
      <c r="H6" s="3290" t="str">
        <f>' K3 PP'!G4</f>
        <v>Seine GZ</v>
      </c>
      <c r="I6" s="3290"/>
      <c r="J6" s="3247" t="s">
        <v>94</v>
      </c>
      <c r="K6" s="3247"/>
      <c r="L6" s="3247"/>
      <c r="M6" s="3247"/>
      <c r="N6" s="407"/>
      <c r="O6" s="480"/>
      <c r="R6" s="481"/>
    </row>
    <row r="7" spans="1:19" ht="22.9" customHeight="1" x14ac:dyDescent="0.2">
      <c r="A7" s="3232"/>
      <c r="B7" s="430"/>
      <c r="C7" s="3228" t="s">
        <v>58</v>
      </c>
      <c r="D7" s="3235"/>
      <c r="E7" s="3228" t="s">
        <v>217</v>
      </c>
      <c r="F7" s="3285"/>
      <c r="G7" s="3286"/>
      <c r="H7" s="3232" t="s">
        <v>96</v>
      </c>
      <c r="I7" s="3228" t="s">
        <v>312</v>
      </c>
      <c r="J7" s="3235"/>
      <c r="K7" s="3232" t="s">
        <v>60</v>
      </c>
      <c r="L7" s="3228" t="s">
        <v>311</v>
      </c>
      <c r="M7" s="3235"/>
      <c r="N7" s="408"/>
      <c r="O7" s="480"/>
      <c r="R7" s="481"/>
    </row>
    <row r="8" spans="1:19" ht="36.4" customHeight="1" x14ac:dyDescent="0.2">
      <c r="A8" s="3232"/>
      <c r="B8" s="430"/>
      <c r="C8" s="3229"/>
      <c r="D8" s="3236"/>
      <c r="E8" s="3229"/>
      <c r="F8" s="3243" t="s">
        <v>523</v>
      </c>
      <c r="G8" s="3244"/>
      <c r="H8" s="3234"/>
      <c r="I8" s="3229"/>
      <c r="J8" s="3236"/>
      <c r="K8" s="3234"/>
      <c r="L8" s="3229"/>
      <c r="M8" s="3236"/>
      <c r="N8" s="408"/>
      <c r="O8" s="480"/>
      <c r="R8" s="481"/>
    </row>
    <row r="9" spans="1:19" ht="13.15" customHeight="1" x14ac:dyDescent="0.2">
      <c r="A9" s="3232"/>
      <c r="B9" s="430"/>
      <c r="C9" s="3291"/>
      <c r="D9" s="3292"/>
      <c r="E9" s="3237" t="s">
        <v>97</v>
      </c>
      <c r="F9" s="3237" t="s">
        <v>160</v>
      </c>
      <c r="G9" s="12" t="s">
        <v>64</v>
      </c>
      <c r="H9" s="12" t="s">
        <v>64</v>
      </c>
      <c r="I9" s="3237" t="s">
        <v>163</v>
      </c>
      <c r="J9" s="12" t="s">
        <v>64</v>
      </c>
      <c r="K9" s="12" t="s">
        <v>64</v>
      </c>
      <c r="L9" s="3237" t="s">
        <v>166</v>
      </c>
      <c r="M9" s="12" t="s">
        <v>64</v>
      </c>
      <c r="N9" s="409"/>
      <c r="O9" s="480"/>
      <c r="R9" s="481"/>
    </row>
    <row r="10" spans="1:19" x14ac:dyDescent="0.2">
      <c r="A10" s="3234"/>
      <c r="B10" s="431"/>
      <c r="C10" s="3229"/>
      <c r="D10" s="3236"/>
      <c r="E10" s="3238"/>
      <c r="F10" s="3238"/>
      <c r="G10" s="18" t="s">
        <v>161</v>
      </c>
      <c r="H10" s="18" t="s">
        <v>162</v>
      </c>
      <c r="I10" s="3238"/>
      <c r="J10" s="18" t="s">
        <v>164</v>
      </c>
      <c r="K10" s="18" t="s">
        <v>165</v>
      </c>
      <c r="L10" s="3238"/>
      <c r="M10" s="18" t="s">
        <v>167</v>
      </c>
      <c r="N10" s="407"/>
      <c r="O10" s="480"/>
      <c r="R10" s="481"/>
    </row>
    <row r="11" spans="1:19" ht="13.5" thickBot="1" x14ac:dyDescent="0.25">
      <c r="A11" s="393" t="s">
        <v>6</v>
      </c>
      <c r="B11" s="393"/>
      <c r="C11" s="3294" t="s">
        <v>7</v>
      </c>
      <c r="D11" s="3294"/>
      <c r="E11" s="393" t="s">
        <v>159</v>
      </c>
      <c r="F11" s="393" t="s">
        <v>8</v>
      </c>
      <c r="G11" s="393" t="s">
        <v>9</v>
      </c>
      <c r="H11" s="393" t="s">
        <v>10</v>
      </c>
      <c r="I11" s="393" t="s">
        <v>11</v>
      </c>
      <c r="J11" s="393" t="s">
        <v>12</v>
      </c>
      <c r="K11" s="393" t="s">
        <v>0</v>
      </c>
      <c r="L11" s="393" t="s">
        <v>13</v>
      </c>
      <c r="M11" s="393" t="s">
        <v>14</v>
      </c>
      <c r="N11" s="407"/>
      <c r="O11" s="480"/>
      <c r="R11" s="481"/>
    </row>
    <row r="12" spans="1:19" ht="24" customHeight="1" thickTop="1" x14ac:dyDescent="0.2">
      <c r="A12" s="19">
        <v>1</v>
      </c>
      <c r="B12" s="19"/>
      <c r="C12" s="3295" t="s">
        <v>1116</v>
      </c>
      <c r="D12" s="3295"/>
      <c r="E12" s="20">
        <v>1</v>
      </c>
      <c r="F12" s="196">
        <f>'K2a Z f ...'!K24</f>
        <v>0</v>
      </c>
      <c r="G12" s="196">
        <f t="shared" ref="G12:G19" si="0">F12*E12</f>
        <v>0</v>
      </c>
      <c r="H12" s="193">
        <f t="shared" ref="H12:H19" si="1">G12+E12</f>
        <v>1</v>
      </c>
      <c r="I12" s="296">
        <v>0.17499999999999999</v>
      </c>
      <c r="J12" s="196">
        <f t="shared" ref="J12:J19" si="2">I12*H12</f>
        <v>0.17499999999999999</v>
      </c>
      <c r="K12" s="193">
        <f t="shared" ref="K12:K19" si="3">J12+H12</f>
        <v>1.175</v>
      </c>
      <c r="L12" s="296">
        <v>0.02</v>
      </c>
      <c r="M12" s="196">
        <f t="shared" ref="M12:M19" si="4">L12*K12</f>
        <v>2.35E-2</v>
      </c>
      <c r="N12" s="410"/>
      <c r="O12" s="482"/>
      <c r="R12" s="325"/>
      <c r="S12" s="1890"/>
    </row>
    <row r="13" spans="1:19" ht="24" customHeight="1" x14ac:dyDescent="0.2">
      <c r="A13" s="16">
        <v>2</v>
      </c>
      <c r="B13" s="19"/>
      <c r="C13" s="3295"/>
      <c r="D13" s="3295"/>
      <c r="E13" s="17">
        <v>1</v>
      </c>
      <c r="F13" s="199">
        <f>'K2a Z f ...'!K25</f>
        <v>0</v>
      </c>
      <c r="G13" s="199">
        <f t="shared" si="0"/>
        <v>0</v>
      </c>
      <c r="H13" s="193">
        <f t="shared" si="1"/>
        <v>1</v>
      </c>
      <c r="I13" s="296"/>
      <c r="J13" s="199">
        <f t="shared" si="2"/>
        <v>0</v>
      </c>
      <c r="K13" s="193">
        <f t="shared" si="3"/>
        <v>1</v>
      </c>
      <c r="L13" s="296"/>
      <c r="M13" s="199">
        <f t="shared" si="4"/>
        <v>0</v>
      </c>
      <c r="N13" s="410"/>
      <c r="O13" s="482"/>
      <c r="R13" s="325"/>
      <c r="S13" s="1890"/>
    </row>
    <row r="14" spans="1:19" ht="24" customHeight="1" x14ac:dyDescent="0.2">
      <c r="A14" s="16">
        <v>3</v>
      </c>
      <c r="B14" s="19"/>
      <c r="C14" s="3295"/>
      <c r="D14" s="3295"/>
      <c r="E14" s="17">
        <v>1</v>
      </c>
      <c r="F14" s="199">
        <f>'K2a Z f ...'!K26</f>
        <v>0</v>
      </c>
      <c r="G14" s="199">
        <f t="shared" si="0"/>
        <v>0</v>
      </c>
      <c r="H14" s="193">
        <f t="shared" si="1"/>
        <v>1</v>
      </c>
      <c r="I14" s="296"/>
      <c r="J14" s="199">
        <f t="shared" si="2"/>
        <v>0</v>
      </c>
      <c r="K14" s="193">
        <f t="shared" si="3"/>
        <v>1</v>
      </c>
      <c r="L14" s="296"/>
      <c r="M14" s="199">
        <f t="shared" si="4"/>
        <v>0</v>
      </c>
      <c r="N14" s="410"/>
      <c r="O14" s="482"/>
      <c r="R14" s="325"/>
      <c r="S14" s="1890"/>
    </row>
    <row r="15" spans="1:19" ht="24" customHeight="1" x14ac:dyDescent="0.2">
      <c r="A15" s="16">
        <v>4</v>
      </c>
      <c r="B15" s="19"/>
      <c r="C15" s="3295"/>
      <c r="D15" s="3295"/>
      <c r="E15" s="17">
        <v>1</v>
      </c>
      <c r="F15" s="199">
        <f>'K2a Z f ...'!K27</f>
        <v>0</v>
      </c>
      <c r="G15" s="199">
        <f t="shared" si="0"/>
        <v>0</v>
      </c>
      <c r="H15" s="193">
        <f t="shared" si="1"/>
        <v>1</v>
      </c>
      <c r="I15" s="296"/>
      <c r="J15" s="199">
        <f t="shared" si="2"/>
        <v>0</v>
      </c>
      <c r="K15" s="193">
        <f t="shared" si="3"/>
        <v>1</v>
      </c>
      <c r="L15" s="296"/>
      <c r="M15" s="199">
        <f t="shared" si="4"/>
        <v>0</v>
      </c>
      <c r="N15" s="410"/>
      <c r="O15" s="482"/>
      <c r="R15" s="325"/>
      <c r="S15" s="1890"/>
    </row>
    <row r="16" spans="1:19" ht="24.4" customHeight="1" x14ac:dyDescent="0.2">
      <c r="A16" s="16">
        <v>5</v>
      </c>
      <c r="B16" s="19"/>
      <c r="C16" s="3295"/>
      <c r="D16" s="3295"/>
      <c r="E16" s="17">
        <v>1</v>
      </c>
      <c r="F16" s="199">
        <f>'K2a Z f ...'!K28</f>
        <v>0</v>
      </c>
      <c r="G16" s="199">
        <f t="shared" si="0"/>
        <v>0</v>
      </c>
      <c r="H16" s="193">
        <f t="shared" si="1"/>
        <v>1</v>
      </c>
      <c r="I16" s="296"/>
      <c r="J16" s="199">
        <f t="shared" si="2"/>
        <v>0</v>
      </c>
      <c r="K16" s="193">
        <f t="shared" si="3"/>
        <v>1</v>
      </c>
      <c r="L16" s="296"/>
      <c r="M16" s="199">
        <f t="shared" si="4"/>
        <v>0</v>
      </c>
      <c r="N16" s="410"/>
      <c r="O16" s="482"/>
      <c r="R16" s="325"/>
      <c r="S16" s="1890"/>
    </row>
    <row r="17" spans="1:23" ht="24.4" customHeight="1" x14ac:dyDescent="0.2">
      <c r="A17" s="16">
        <v>6</v>
      </c>
      <c r="B17" s="19"/>
      <c r="C17" s="3295"/>
      <c r="D17" s="3295"/>
      <c r="E17" s="17">
        <v>1</v>
      </c>
      <c r="F17" s="199">
        <f>'K2a Z f ...'!K29</f>
        <v>0</v>
      </c>
      <c r="G17" s="199">
        <f t="shared" ref="G17:G18" si="5">F17*E17</f>
        <v>0</v>
      </c>
      <c r="H17" s="193">
        <f t="shared" ref="H17:H18" si="6">G17+E17</f>
        <v>1</v>
      </c>
      <c r="I17" s="296"/>
      <c r="J17" s="199">
        <f t="shared" si="2"/>
        <v>0</v>
      </c>
      <c r="K17" s="193">
        <f t="shared" ref="K17:K18" si="7">J17+H17</f>
        <v>1</v>
      </c>
      <c r="L17" s="296"/>
      <c r="M17" s="199">
        <f t="shared" si="4"/>
        <v>0</v>
      </c>
      <c r="N17" s="410"/>
      <c r="O17" s="396"/>
      <c r="R17" s="397"/>
      <c r="S17" s="1891"/>
    </row>
    <row r="18" spans="1:23" ht="24.4" customHeight="1" x14ac:dyDescent="0.2">
      <c r="A18" s="16">
        <v>7</v>
      </c>
      <c r="B18" s="19"/>
      <c r="C18" s="3295"/>
      <c r="D18" s="3295"/>
      <c r="E18" s="17">
        <v>1</v>
      </c>
      <c r="F18" s="199">
        <f>'K2a Z f ...'!K30</f>
        <v>0</v>
      </c>
      <c r="G18" s="199">
        <f t="shared" si="5"/>
        <v>0</v>
      </c>
      <c r="H18" s="193">
        <f t="shared" si="6"/>
        <v>1</v>
      </c>
      <c r="I18" s="296"/>
      <c r="J18" s="199">
        <f t="shared" si="2"/>
        <v>0</v>
      </c>
      <c r="K18" s="193">
        <f t="shared" si="7"/>
        <v>1</v>
      </c>
      <c r="L18" s="296"/>
      <c r="M18" s="199">
        <f t="shared" si="4"/>
        <v>0</v>
      </c>
      <c r="N18" s="410"/>
      <c r="O18" s="396"/>
      <c r="R18" s="397"/>
      <c r="S18" s="1891"/>
    </row>
    <row r="19" spans="1:23" ht="24" customHeight="1" thickBot="1" x14ac:dyDescent="0.25">
      <c r="A19" s="320">
        <v>8</v>
      </c>
      <c r="B19" s="320"/>
      <c r="C19" s="3224"/>
      <c r="D19" s="3224"/>
      <c r="E19" s="414">
        <v>1</v>
      </c>
      <c r="F19" s="487">
        <f>'K2a Z f ...'!K31</f>
        <v>0</v>
      </c>
      <c r="G19" s="487">
        <f t="shared" si="0"/>
        <v>0</v>
      </c>
      <c r="H19" s="321">
        <f t="shared" si="1"/>
        <v>1</v>
      </c>
      <c r="I19" s="297"/>
      <c r="J19" s="487">
        <f t="shared" si="2"/>
        <v>0</v>
      </c>
      <c r="K19" s="321">
        <f t="shared" si="3"/>
        <v>1</v>
      </c>
      <c r="L19" s="297"/>
      <c r="M19" s="487">
        <f t="shared" si="4"/>
        <v>0</v>
      </c>
      <c r="N19" s="410"/>
      <c r="O19" s="3261" t="s">
        <v>524</v>
      </c>
      <c r="P19" s="3262"/>
      <c r="Q19" s="3262"/>
      <c r="R19" s="3263"/>
      <c r="S19" s="1890"/>
    </row>
    <row r="20" spans="1:23" ht="34.5" customHeight="1" x14ac:dyDescent="0.2">
      <c r="A20" s="3232"/>
      <c r="B20" s="432"/>
      <c r="C20" s="3232" t="s">
        <v>61</v>
      </c>
      <c r="D20" s="3228" t="s">
        <v>62</v>
      </c>
      <c r="E20" s="3235"/>
      <c r="F20" s="3228" t="s">
        <v>63</v>
      </c>
      <c r="G20" s="3235"/>
      <c r="H20" s="3228" t="str">
        <f>"Ergebnis (Preis)"&amp;IF(P23="Ja","
gerundet","")</f>
        <v>Ergebnis (Preis)
gerundet</v>
      </c>
      <c r="I20" s="3253" t="s">
        <v>95</v>
      </c>
      <c r="J20" s="3254"/>
      <c r="K20" s="3254"/>
      <c r="L20" s="3254"/>
      <c r="M20" s="3255"/>
      <c r="N20" s="411"/>
      <c r="O20" s="3293" t="s">
        <v>647</v>
      </c>
      <c r="P20" s="3293"/>
      <c r="Q20" s="1228"/>
      <c r="R20" s="3250" t="s">
        <v>261</v>
      </c>
    </row>
    <row r="21" spans="1:23" ht="25.35" customHeight="1" x14ac:dyDescent="0.2">
      <c r="A21" s="3232"/>
      <c r="B21" s="432"/>
      <c r="C21" s="3234"/>
      <c r="D21" s="3229"/>
      <c r="E21" s="3236"/>
      <c r="F21" s="3229"/>
      <c r="G21" s="3236"/>
      <c r="H21" s="3229"/>
      <c r="I21" s="3256"/>
      <c r="J21" s="3257"/>
      <c r="K21" s="3257"/>
      <c r="L21" s="3257"/>
      <c r="M21" s="3258"/>
      <c r="N21" s="411"/>
      <c r="O21" s="3293"/>
      <c r="P21" s="3293"/>
      <c r="Q21" s="1229"/>
      <c r="R21" s="3251"/>
    </row>
    <row r="22" spans="1:23" ht="15" customHeight="1" x14ac:dyDescent="0.2">
      <c r="A22" s="3232"/>
      <c r="B22" s="432"/>
      <c r="C22" s="12" t="s">
        <v>64</v>
      </c>
      <c r="D22" s="3237" t="s">
        <v>169</v>
      </c>
      <c r="E22" s="12" t="s">
        <v>64</v>
      </c>
      <c r="F22" s="3237" t="s">
        <v>169</v>
      </c>
      <c r="G22" s="12" t="s">
        <v>64</v>
      </c>
      <c r="H22" s="100" t="s">
        <v>64</v>
      </c>
      <c r="I22" s="3230"/>
      <c r="J22" s="3231"/>
      <c r="K22" s="3231"/>
      <c r="L22" s="3231"/>
      <c r="M22" s="172" t="s">
        <v>65</v>
      </c>
      <c r="N22" s="412"/>
      <c r="O22" s="3293"/>
      <c r="P22" s="3293"/>
      <c r="Q22" s="1229"/>
      <c r="R22" s="3252" t="str">
        <f ca="1">IFERROR(' K3 PP'!N45,"Noch nicht errechenbar!")</f>
        <v>86,28 €/Std</v>
      </c>
    </row>
    <row r="23" spans="1:23" ht="15" customHeight="1" x14ac:dyDescent="0.2">
      <c r="A23" s="3232"/>
      <c r="B23" s="432"/>
      <c r="C23" s="18" t="s">
        <v>168</v>
      </c>
      <c r="D23" s="3238"/>
      <c r="E23" s="18" t="s">
        <v>170</v>
      </c>
      <c r="F23" s="3238"/>
      <c r="G23" s="18" t="s">
        <v>171</v>
      </c>
      <c r="H23" s="134" t="s">
        <v>172</v>
      </c>
      <c r="I23" s="3230"/>
      <c r="J23" s="3231"/>
      <c r="K23" s="3231"/>
      <c r="L23" s="3231"/>
      <c r="M23" s="135" t="s">
        <v>314</v>
      </c>
      <c r="N23" s="413"/>
      <c r="O23" s="1133" t="s">
        <v>525</v>
      </c>
      <c r="P23" s="1134" t="s">
        <v>192</v>
      </c>
      <c r="Q23" s="1229"/>
      <c r="R23" s="3252"/>
    </row>
    <row r="24" spans="1:23" ht="15.4" customHeight="1" thickBot="1" x14ac:dyDescent="0.25">
      <c r="A24" s="3233"/>
      <c r="B24" s="433"/>
      <c r="C24" s="393" t="s">
        <v>15</v>
      </c>
      <c r="D24" s="393" t="s">
        <v>16</v>
      </c>
      <c r="E24" s="393" t="s">
        <v>19</v>
      </c>
      <c r="F24" s="393" t="s">
        <v>2</v>
      </c>
      <c r="G24" s="393" t="s">
        <v>3</v>
      </c>
      <c r="H24" s="318" t="s">
        <v>4</v>
      </c>
      <c r="I24" s="3259" t="s">
        <v>179</v>
      </c>
      <c r="J24" s="3260"/>
      <c r="K24" s="3260"/>
      <c r="L24" s="3260"/>
      <c r="M24" s="319" t="s">
        <v>178</v>
      </c>
      <c r="N24" s="407"/>
      <c r="O24" s="1133" t="s">
        <v>444</v>
      </c>
      <c r="P24" s="1133" t="s">
        <v>445</v>
      </c>
      <c r="Q24" s="1230"/>
      <c r="R24" s="3239"/>
      <c r="V24" s="1889" t="s">
        <v>446</v>
      </c>
    </row>
    <row r="25" spans="1:23" ht="24.75" customHeight="1" thickTop="1" x14ac:dyDescent="0.2">
      <c r="A25" s="19">
        <v>1</v>
      </c>
      <c r="B25" s="19" t="str">
        <f>C12</f>
        <v>Alle Kostenarten</v>
      </c>
      <c r="C25" s="193">
        <f>M12+K12</f>
        <v>1.1984999999999999</v>
      </c>
      <c r="D25" s="296">
        <v>0.03</v>
      </c>
      <c r="E25" s="196">
        <f t="shared" ref="E25:E32" si="8">D25*C25</f>
        <v>3.5959999999999999E-2</v>
      </c>
      <c r="F25" s="296">
        <v>4.6350000000000002E-2</v>
      </c>
      <c r="G25" s="196">
        <f t="shared" ref="G25:G28" si="9">C25*F25</f>
        <v>5.5550000000000002E-2</v>
      </c>
      <c r="H25" s="475">
        <f>IF($P$23="Ja",ROUND(C25+E25+G25,4),C25+E25+G25)</f>
        <v>1.29</v>
      </c>
      <c r="I25" s="3225" t="str">
        <f>IF(C12=0,"",C12)</f>
        <v>Alle Kostenarten</v>
      </c>
      <c r="J25" s="3226"/>
      <c r="K25" s="3226"/>
      <c r="L25" s="3227"/>
      <c r="M25" s="525">
        <f>IF(AND(C12="",H25&lt;&gt;1),"Spalte B?",IF(H25=1,0,H25-E12))</f>
        <v>0.28999999999999998</v>
      </c>
      <c r="N25" s="405"/>
      <c r="O25" s="1135" t="str">
        <f t="shared" ref="O25:O32" si="10">IF(M25=0,"",IF(V25=D25,"Ganzzahl vorhanden",V25))</f>
        <v>Ganzzahl vorhanden</v>
      </c>
      <c r="P25" s="1135" t="str">
        <f t="shared" ref="P25:P32" si="11">IF(M25=0,"",IF(W25=F25,"Ganzzahl vorhanden",W25))</f>
        <v>Ganzzahl vorhanden</v>
      </c>
      <c r="Q25" s="1230"/>
      <c r="R25" s="3240"/>
      <c r="S25" s="1892">
        <f t="shared" ref="S25:S32" si="12">SUM(C25,E25,G25)-1</f>
        <v>0.28999999999999998</v>
      </c>
      <c r="T25" s="1893">
        <f>ROUNDUP(S25,2)</f>
        <v>0.28999999999999998</v>
      </c>
      <c r="U25" s="1893">
        <f>S25-T25</f>
        <v>0</v>
      </c>
      <c r="V25" s="1893">
        <f t="shared" ref="V25:V32" si="13">(1+T25)/C25-F25-1</f>
        <v>0.03</v>
      </c>
      <c r="W25" s="1893">
        <f t="shared" ref="W25:W32" si="14">(1+T25)/C25-D25-1</f>
        <v>4.6350000000000002E-2</v>
      </c>
    </row>
    <row r="26" spans="1:23" ht="24.4" customHeight="1" x14ac:dyDescent="0.2">
      <c r="A26" s="16">
        <v>2</v>
      </c>
      <c r="B26" s="19">
        <f t="shared" ref="B26:B32" si="15">C13</f>
        <v>0</v>
      </c>
      <c r="C26" s="193">
        <f>M13+K13</f>
        <v>1</v>
      </c>
      <c r="D26" s="296"/>
      <c r="E26" s="199">
        <f t="shared" si="8"/>
        <v>0</v>
      </c>
      <c r="F26" s="296"/>
      <c r="G26" s="199">
        <f t="shared" si="9"/>
        <v>0</v>
      </c>
      <c r="H26" s="475">
        <f t="shared" ref="H26:H32" si="16">IF($P$23="Ja",ROUND(C26+E26+G26,4),C26+E26+G26)</f>
        <v>1</v>
      </c>
      <c r="I26" s="3221" t="str">
        <f>IF(C13=0,"",C13)</f>
        <v/>
      </c>
      <c r="J26" s="3222"/>
      <c r="K26" s="3222"/>
      <c r="L26" s="3223"/>
      <c r="M26" s="525">
        <f t="shared" ref="M26:M32" si="17">IF(AND(C13="",H26&lt;&gt;1),"Spalte B?",IF(H26=1,0,H26-E13))</f>
        <v>0</v>
      </c>
      <c r="N26" s="405"/>
      <c r="O26" s="1135" t="str">
        <f t="shared" si="10"/>
        <v/>
      </c>
      <c r="P26" s="1135" t="str">
        <f t="shared" si="11"/>
        <v/>
      </c>
      <c r="Q26" s="1230"/>
      <c r="R26" s="1149"/>
      <c r="S26" s="1892">
        <f t="shared" si="12"/>
        <v>0</v>
      </c>
      <c r="T26" s="1893">
        <f t="shared" ref="T26:T32" si="18">ROUNDUP(S26,2)</f>
        <v>0</v>
      </c>
      <c r="U26" s="1893">
        <f t="shared" ref="U26:U32" si="19">S26-T26</f>
        <v>0</v>
      </c>
      <c r="V26" s="1893">
        <f t="shared" si="13"/>
        <v>0</v>
      </c>
      <c r="W26" s="1893">
        <f t="shared" si="14"/>
        <v>0</v>
      </c>
    </row>
    <row r="27" spans="1:23" ht="24.4" customHeight="1" x14ac:dyDescent="0.2">
      <c r="A27" s="16">
        <v>3</v>
      </c>
      <c r="B27" s="19">
        <f t="shared" si="15"/>
        <v>0</v>
      </c>
      <c r="C27" s="193">
        <f>M14+K14</f>
        <v>1</v>
      </c>
      <c r="D27" s="296"/>
      <c r="E27" s="199">
        <f t="shared" si="8"/>
        <v>0</v>
      </c>
      <c r="F27" s="296"/>
      <c r="G27" s="199">
        <f t="shared" si="9"/>
        <v>0</v>
      </c>
      <c r="H27" s="475">
        <f t="shared" si="16"/>
        <v>1</v>
      </c>
      <c r="I27" s="3221" t="str">
        <f>IF(C14=0,"",C14)</f>
        <v/>
      </c>
      <c r="J27" s="3222"/>
      <c r="K27" s="3222"/>
      <c r="L27" s="3223"/>
      <c r="M27" s="525">
        <f t="shared" si="17"/>
        <v>0</v>
      </c>
      <c r="N27" s="405"/>
      <c r="O27" s="1135" t="str">
        <f t="shared" si="10"/>
        <v/>
      </c>
      <c r="P27" s="1135" t="str">
        <f t="shared" si="11"/>
        <v/>
      </c>
      <c r="Q27" s="1231"/>
      <c r="R27" s="1149"/>
      <c r="S27" s="1892">
        <f t="shared" si="12"/>
        <v>0</v>
      </c>
      <c r="T27" s="1893">
        <f t="shared" si="18"/>
        <v>0</v>
      </c>
      <c r="U27" s="1893">
        <f t="shared" si="19"/>
        <v>0</v>
      </c>
      <c r="V27" s="1893">
        <f t="shared" si="13"/>
        <v>0</v>
      </c>
      <c r="W27" s="1893">
        <f t="shared" si="14"/>
        <v>0</v>
      </c>
    </row>
    <row r="28" spans="1:23" ht="24.4" customHeight="1" x14ac:dyDescent="0.2">
      <c r="A28" s="16">
        <v>4</v>
      </c>
      <c r="B28" s="19">
        <f t="shared" si="15"/>
        <v>0</v>
      </c>
      <c r="C28" s="193">
        <f>M15+K15</f>
        <v>1</v>
      </c>
      <c r="D28" s="296"/>
      <c r="E28" s="199">
        <f t="shared" si="8"/>
        <v>0</v>
      </c>
      <c r="F28" s="296"/>
      <c r="G28" s="199">
        <f t="shared" si="9"/>
        <v>0</v>
      </c>
      <c r="H28" s="475">
        <f t="shared" si="16"/>
        <v>1</v>
      </c>
      <c r="I28" s="3221" t="str">
        <f>IF(C15=0,"",C15)</f>
        <v/>
      </c>
      <c r="J28" s="3222"/>
      <c r="K28" s="3222"/>
      <c r="L28" s="3223"/>
      <c r="M28" s="525">
        <f t="shared" si="17"/>
        <v>0</v>
      </c>
      <c r="N28" s="405"/>
      <c r="O28" s="1135" t="str">
        <f t="shared" si="10"/>
        <v/>
      </c>
      <c r="P28" s="1135" t="str">
        <f t="shared" si="11"/>
        <v/>
      </c>
      <c r="Q28" s="1232"/>
      <c r="R28" s="1149"/>
      <c r="S28" s="1892">
        <f t="shared" si="12"/>
        <v>0</v>
      </c>
      <c r="T28" s="1893">
        <f t="shared" si="18"/>
        <v>0</v>
      </c>
      <c r="U28" s="1893">
        <f t="shared" si="19"/>
        <v>0</v>
      </c>
      <c r="V28" s="1893">
        <f t="shared" si="13"/>
        <v>0</v>
      </c>
      <c r="W28" s="1893">
        <f t="shared" si="14"/>
        <v>0</v>
      </c>
    </row>
    <row r="29" spans="1:23" ht="24.4" customHeight="1" x14ac:dyDescent="0.2">
      <c r="A29" s="16">
        <v>5</v>
      </c>
      <c r="B29" s="19">
        <f t="shared" si="15"/>
        <v>0</v>
      </c>
      <c r="C29" s="193">
        <f t="shared" ref="C29:C31" si="20">M16+K16</f>
        <v>1</v>
      </c>
      <c r="D29" s="296"/>
      <c r="E29" s="199">
        <f t="shared" si="8"/>
        <v>0</v>
      </c>
      <c r="F29" s="296"/>
      <c r="G29" s="199">
        <f t="shared" ref="G29:G31" si="21">C29*F29</f>
        <v>0</v>
      </c>
      <c r="H29" s="475">
        <f t="shared" si="16"/>
        <v>1</v>
      </c>
      <c r="I29" s="3221" t="str">
        <f t="shared" ref="I29:I31" si="22">IF(C16=0,"",C16)</f>
        <v/>
      </c>
      <c r="J29" s="3222"/>
      <c r="K29" s="3222"/>
      <c r="L29" s="3223"/>
      <c r="M29" s="525">
        <f t="shared" si="17"/>
        <v>0</v>
      </c>
      <c r="N29" s="405"/>
      <c r="O29" s="1135" t="str">
        <f t="shared" si="10"/>
        <v/>
      </c>
      <c r="P29" s="1135" t="str">
        <f t="shared" si="11"/>
        <v/>
      </c>
      <c r="Q29" s="1231"/>
      <c r="R29" s="1150"/>
      <c r="S29" s="1892">
        <f t="shared" si="12"/>
        <v>0</v>
      </c>
      <c r="T29" s="1893">
        <f t="shared" si="18"/>
        <v>0</v>
      </c>
      <c r="U29" s="1893">
        <f t="shared" si="19"/>
        <v>0</v>
      </c>
      <c r="V29" s="1893">
        <f t="shared" si="13"/>
        <v>0</v>
      </c>
      <c r="W29" s="1893">
        <f t="shared" si="14"/>
        <v>0</v>
      </c>
    </row>
    <row r="30" spans="1:23" ht="24.4" customHeight="1" x14ac:dyDescent="0.2">
      <c r="A30" s="16">
        <v>6</v>
      </c>
      <c r="B30" s="19">
        <f t="shared" si="15"/>
        <v>0</v>
      </c>
      <c r="C30" s="193">
        <f t="shared" si="20"/>
        <v>1</v>
      </c>
      <c r="D30" s="296"/>
      <c r="E30" s="199">
        <f t="shared" si="8"/>
        <v>0</v>
      </c>
      <c r="F30" s="296"/>
      <c r="G30" s="199">
        <f t="shared" si="21"/>
        <v>0</v>
      </c>
      <c r="H30" s="475">
        <f t="shared" si="16"/>
        <v>1</v>
      </c>
      <c r="I30" s="3221" t="str">
        <f t="shared" si="22"/>
        <v/>
      </c>
      <c r="J30" s="3222"/>
      <c r="K30" s="3222"/>
      <c r="L30" s="3223"/>
      <c r="M30" s="525">
        <f t="shared" si="17"/>
        <v>0</v>
      </c>
      <c r="N30" s="405"/>
      <c r="O30" s="1135" t="str">
        <f t="shared" si="10"/>
        <v/>
      </c>
      <c r="P30" s="1135" t="str">
        <f t="shared" si="11"/>
        <v/>
      </c>
      <c r="Q30" s="1231"/>
      <c r="R30" s="1150"/>
      <c r="S30" s="1892">
        <f t="shared" si="12"/>
        <v>0</v>
      </c>
      <c r="T30" s="1893">
        <f t="shared" si="18"/>
        <v>0</v>
      </c>
      <c r="U30" s="1893">
        <f t="shared" si="19"/>
        <v>0</v>
      </c>
      <c r="V30" s="1893">
        <f t="shared" si="13"/>
        <v>0</v>
      </c>
      <c r="W30" s="1893">
        <f t="shared" si="14"/>
        <v>0</v>
      </c>
    </row>
    <row r="31" spans="1:23" ht="24.4" customHeight="1" x14ac:dyDescent="0.2">
      <c r="A31" s="16">
        <v>7</v>
      </c>
      <c r="B31" s="19">
        <f t="shared" si="15"/>
        <v>0</v>
      </c>
      <c r="C31" s="193">
        <f t="shared" si="20"/>
        <v>1</v>
      </c>
      <c r="D31" s="296"/>
      <c r="E31" s="199">
        <f t="shared" si="8"/>
        <v>0</v>
      </c>
      <c r="F31" s="296"/>
      <c r="G31" s="199">
        <f t="shared" si="21"/>
        <v>0</v>
      </c>
      <c r="H31" s="475">
        <f t="shared" si="16"/>
        <v>1</v>
      </c>
      <c r="I31" s="3221" t="str">
        <f t="shared" si="22"/>
        <v/>
      </c>
      <c r="J31" s="3222"/>
      <c r="K31" s="3222"/>
      <c r="L31" s="3223"/>
      <c r="M31" s="525">
        <f t="shared" si="17"/>
        <v>0</v>
      </c>
      <c r="N31" s="405"/>
      <c r="O31" s="1135" t="str">
        <f t="shared" si="10"/>
        <v/>
      </c>
      <c r="P31" s="1135" t="str">
        <f t="shared" si="11"/>
        <v/>
      </c>
      <c r="Q31" s="1231"/>
      <c r="R31" s="1150"/>
      <c r="S31" s="1892">
        <f t="shared" si="12"/>
        <v>0</v>
      </c>
      <c r="T31" s="1893">
        <f t="shared" si="18"/>
        <v>0</v>
      </c>
      <c r="U31" s="1893">
        <f t="shared" si="19"/>
        <v>0</v>
      </c>
      <c r="V31" s="1893">
        <f t="shared" si="13"/>
        <v>0</v>
      </c>
      <c r="W31" s="1893">
        <f t="shared" si="14"/>
        <v>0</v>
      </c>
    </row>
    <row r="32" spans="1:23" ht="24.4" customHeight="1" thickBot="1" x14ac:dyDescent="0.25">
      <c r="A32" s="320">
        <v>8</v>
      </c>
      <c r="B32" s="19">
        <f t="shared" si="15"/>
        <v>0</v>
      </c>
      <c r="C32" s="321">
        <f t="shared" ref="C32" si="23">M19+K19</f>
        <v>1</v>
      </c>
      <c r="D32" s="297"/>
      <c r="E32" s="487">
        <f t="shared" si="8"/>
        <v>0</v>
      </c>
      <c r="F32" s="297"/>
      <c r="G32" s="487">
        <f t="shared" ref="G32" si="24">C32*F32</f>
        <v>0</v>
      </c>
      <c r="H32" s="476">
        <f t="shared" si="16"/>
        <v>1</v>
      </c>
      <c r="I32" s="3273" t="str">
        <f t="shared" ref="I32" si="25">IF(C19=0,"",C19)</f>
        <v/>
      </c>
      <c r="J32" s="3274"/>
      <c r="K32" s="3274"/>
      <c r="L32" s="3275"/>
      <c r="M32" s="488">
        <f t="shared" si="17"/>
        <v>0</v>
      </c>
      <c r="N32" s="405"/>
      <c r="O32" s="1135" t="str">
        <f t="shared" si="10"/>
        <v/>
      </c>
      <c r="P32" s="1135" t="str">
        <f t="shared" si="11"/>
        <v/>
      </c>
      <c r="Q32" s="1231"/>
      <c r="R32" s="1150"/>
      <c r="S32" s="1892">
        <f t="shared" si="12"/>
        <v>0</v>
      </c>
      <c r="T32" s="1893">
        <f t="shared" si="18"/>
        <v>0</v>
      </c>
      <c r="U32" s="1893">
        <f t="shared" si="19"/>
        <v>0</v>
      </c>
      <c r="V32" s="1893">
        <f t="shared" si="13"/>
        <v>0</v>
      </c>
      <c r="W32" s="1893">
        <f t="shared" si="14"/>
        <v>0</v>
      </c>
    </row>
    <row r="33" spans="1:18" ht="52.5" customHeight="1" x14ac:dyDescent="0.2">
      <c r="A33" s="3264" t="str">
        <f>' K3 PP'!A47</f>
        <v>Lizenziert für:
Vers V4.0</v>
      </c>
      <c r="B33" s="3265"/>
      <c r="C33" s="3265"/>
      <c r="D33" s="3266" t="str">
        <f ca="1">' K3 PP'!D47</f>
        <v>Keine gültige Lizenz! Nur als Testversion nutzbar!</v>
      </c>
      <c r="E33" s="3266"/>
      <c r="F33" s="3266"/>
      <c r="G33" s="3267"/>
      <c r="H33" s="3268"/>
      <c r="I33" s="3269"/>
      <c r="J33" s="3269"/>
      <c r="K33" s="3270"/>
      <c r="L33" s="3271" t="s">
        <v>266</v>
      </c>
      <c r="M33" s="3272"/>
      <c r="N33" s="278"/>
      <c r="O33" s="1136"/>
      <c r="P33" s="1137"/>
      <c r="Q33" s="1233"/>
      <c r="R33" s="1151"/>
    </row>
    <row r="41" spans="1:18" ht="18" customHeight="1" x14ac:dyDescent="0.2"/>
    <row r="42" spans="1:18" ht="18" customHeight="1" x14ac:dyDescent="0.2"/>
    <row r="43" spans="1:18" ht="18" customHeight="1" x14ac:dyDescent="0.2"/>
    <row r="44" spans="1:18" ht="18" customHeight="1" x14ac:dyDescent="0.2"/>
    <row r="47" spans="1:18" ht="15" customHeight="1" x14ac:dyDescent="0.2"/>
    <row r="48" spans="1:18" ht="15" customHeight="1" x14ac:dyDescent="0.2"/>
    <row r="49" ht="15" customHeight="1" x14ac:dyDescent="0.2"/>
    <row r="51" ht="24.4" customHeight="1" x14ac:dyDescent="0.2"/>
    <row r="52" ht="24.4" customHeight="1" x14ac:dyDescent="0.2"/>
    <row r="53" ht="24.4" customHeight="1" x14ac:dyDescent="0.2"/>
    <row r="54" ht="24.4" customHeight="1" x14ac:dyDescent="0.2"/>
    <row r="55" ht="24.4" customHeight="1" x14ac:dyDescent="0.2"/>
    <row r="56" ht="24.4" customHeight="1" x14ac:dyDescent="0.2"/>
    <row r="63" ht="24.4" customHeight="1" x14ac:dyDescent="0.2"/>
    <row r="64" ht="24.4" customHeight="1" x14ac:dyDescent="0.2"/>
    <row r="65" spans="1:17" ht="24.4" customHeight="1" x14ac:dyDescent="0.2"/>
    <row r="66" spans="1:17" ht="24.4" customHeight="1" x14ac:dyDescent="0.2"/>
    <row r="67" spans="1:17" ht="24.4" customHeight="1" x14ac:dyDescent="0.2"/>
    <row r="68" spans="1:17" ht="24.4" customHeight="1" x14ac:dyDescent="0.2"/>
    <row r="69" spans="1:17" ht="52.5" customHeight="1" x14ac:dyDescent="0.2"/>
    <row r="70" spans="1:17" ht="15" x14ac:dyDescent="0.25">
      <c r="A70" s="178"/>
      <c r="B70" s="178"/>
      <c r="C70" s="178"/>
      <c r="D70" s="178"/>
      <c r="E70" s="178"/>
      <c r="F70" s="178"/>
      <c r="G70" s="178"/>
      <c r="H70" s="178"/>
      <c r="I70" s="178"/>
      <c r="J70" s="178"/>
      <c r="K70" s="178"/>
      <c r="L70" s="178"/>
      <c r="M70" s="178"/>
      <c r="N70" s="178"/>
      <c r="O70" s="178"/>
      <c r="P70" s="178"/>
      <c r="Q70" s="178"/>
    </row>
    <row r="71" spans="1:17" ht="15" x14ac:dyDescent="0.25">
      <c r="A71" s="178"/>
      <c r="B71" s="178"/>
      <c r="C71" s="178"/>
      <c r="D71" s="178"/>
      <c r="E71" s="178"/>
      <c r="F71" s="178"/>
      <c r="G71" s="178"/>
      <c r="H71" s="178"/>
      <c r="I71" s="178"/>
      <c r="J71" s="178"/>
      <c r="K71" s="178"/>
      <c r="L71" s="178"/>
      <c r="M71" s="178"/>
      <c r="N71" s="178"/>
      <c r="O71" s="178"/>
      <c r="P71" s="178"/>
      <c r="Q71" s="178"/>
    </row>
    <row r="72" spans="1:17" ht="15" x14ac:dyDescent="0.25">
      <c r="A72" s="178"/>
      <c r="B72" s="178"/>
      <c r="C72" s="178"/>
      <c r="D72" s="178"/>
      <c r="E72" s="178"/>
      <c r="F72" s="178"/>
      <c r="G72" s="178"/>
      <c r="H72" s="178"/>
      <c r="I72" s="178"/>
      <c r="J72" s="178"/>
      <c r="K72" s="178"/>
      <c r="L72" s="178"/>
      <c r="M72" s="178"/>
      <c r="N72" s="178"/>
      <c r="O72" s="178"/>
      <c r="P72" s="178"/>
      <c r="Q72" s="178"/>
    </row>
    <row r="73" spans="1:17" ht="15" x14ac:dyDescent="0.25">
      <c r="A73" s="178"/>
      <c r="B73" s="178"/>
      <c r="C73" s="178"/>
      <c r="D73" s="178"/>
      <c r="E73" s="178"/>
      <c r="F73" s="178"/>
      <c r="G73" s="178"/>
      <c r="H73" s="178"/>
      <c r="I73" s="178"/>
      <c r="J73" s="178"/>
      <c r="K73" s="178"/>
      <c r="L73" s="178"/>
      <c r="M73" s="178"/>
      <c r="N73" s="178"/>
      <c r="O73" s="178"/>
      <c r="P73" s="178"/>
      <c r="Q73" s="178"/>
    </row>
    <row r="74" spans="1:17" ht="15" x14ac:dyDescent="0.25">
      <c r="A74" s="178"/>
      <c r="B74" s="178"/>
      <c r="C74" s="178"/>
      <c r="D74" s="178"/>
      <c r="E74" s="178"/>
      <c r="F74" s="178"/>
      <c r="G74" s="178"/>
      <c r="H74" s="178"/>
      <c r="I74" s="178"/>
      <c r="J74" s="178"/>
      <c r="K74" s="178"/>
      <c r="L74" s="178"/>
      <c r="M74" s="178"/>
      <c r="N74" s="178"/>
      <c r="O74" s="178"/>
      <c r="P74" s="178"/>
      <c r="Q74" s="178"/>
    </row>
  </sheetData>
  <sheetProtection password="B984" sheet="1" formatColumns="0" selectLockedCells="1"/>
  <mergeCells count="60">
    <mergeCell ref="O20:P22"/>
    <mergeCell ref="C11:D11"/>
    <mergeCell ref="C16:D16"/>
    <mergeCell ref="C12:D12"/>
    <mergeCell ref="C13:D13"/>
    <mergeCell ref="C14:D14"/>
    <mergeCell ref="C15:D15"/>
    <mergeCell ref="C17:D17"/>
    <mergeCell ref="C18:D18"/>
    <mergeCell ref="D22:D23"/>
    <mergeCell ref="A4:F4"/>
    <mergeCell ref="A5:F5"/>
    <mergeCell ref="A6:F6"/>
    <mergeCell ref="F7:G7"/>
    <mergeCell ref="G3:M4"/>
    <mergeCell ref="A7:A10"/>
    <mergeCell ref="H6:I6"/>
    <mergeCell ref="C7:D8"/>
    <mergeCell ref="C9:D10"/>
    <mergeCell ref="L9:L10"/>
    <mergeCell ref="E9:E10"/>
    <mergeCell ref="F9:F10"/>
    <mergeCell ref="I9:I10"/>
    <mergeCell ref="A33:C33"/>
    <mergeCell ref="D33:G33"/>
    <mergeCell ref="H33:K33"/>
    <mergeCell ref="L33:M33"/>
    <mergeCell ref="I32:L32"/>
    <mergeCell ref="R24:R25"/>
    <mergeCell ref="L5:M5"/>
    <mergeCell ref="E7:E8"/>
    <mergeCell ref="F8:G8"/>
    <mergeCell ref="H7:H8"/>
    <mergeCell ref="K7:K8"/>
    <mergeCell ref="L7:M8"/>
    <mergeCell ref="H5:I5"/>
    <mergeCell ref="I7:J8"/>
    <mergeCell ref="J6:M6"/>
    <mergeCell ref="J5:K5"/>
    <mergeCell ref="R20:R21"/>
    <mergeCell ref="R22:R23"/>
    <mergeCell ref="I20:M21"/>
    <mergeCell ref="I24:L24"/>
    <mergeCell ref="O19:R19"/>
    <mergeCell ref="A1:M1"/>
    <mergeCell ref="I29:L29"/>
    <mergeCell ref="I30:L30"/>
    <mergeCell ref="I31:L31"/>
    <mergeCell ref="I28:L28"/>
    <mergeCell ref="C19:D19"/>
    <mergeCell ref="I26:L26"/>
    <mergeCell ref="I25:L25"/>
    <mergeCell ref="I27:L27"/>
    <mergeCell ref="H20:H21"/>
    <mergeCell ref="I22:L23"/>
    <mergeCell ref="A20:A24"/>
    <mergeCell ref="C20:C21"/>
    <mergeCell ref="D20:E21"/>
    <mergeCell ref="F20:G21"/>
    <mergeCell ref="F22:F23"/>
  </mergeCells>
  <conditionalFormatting sqref="A4:F6">
    <cfRule type="expression" dxfId="117" priority="21">
      <formula>_OK?&lt;&gt;"OK!"</formula>
    </cfRule>
  </conditionalFormatting>
  <conditionalFormatting sqref="D33:G33">
    <cfRule type="expression" dxfId="116" priority="20">
      <formula>_OK?&lt;&gt;"OK!"</formula>
    </cfRule>
  </conditionalFormatting>
  <conditionalFormatting sqref="F12:G19 J12:J19 M12:M19 E25:E32 G25:G32">
    <cfRule type="cellIs" dxfId="115" priority="1" operator="equal">
      <formula>0</formula>
    </cfRule>
  </conditionalFormatting>
  <conditionalFormatting sqref="M25:M31">
    <cfRule type="expression" dxfId="114" priority="2">
      <formula>$P$23="Ja"</formula>
    </cfRule>
  </conditionalFormatting>
  <conditionalFormatting sqref="O24:P32">
    <cfRule type="expression" dxfId="113" priority="5">
      <formula>$P$23&lt;&gt;"Ja"</formula>
    </cfRule>
  </conditionalFormatting>
  <conditionalFormatting sqref="P23">
    <cfRule type="cellIs" dxfId="112" priority="3" operator="equal">
      <formula>0</formula>
    </cfRule>
    <cfRule type="cellIs" dxfId="111" priority="14" operator="equal">
      <formula>"Ja"</formula>
    </cfRule>
    <cfRule type="cellIs" dxfId="110" priority="15" operator="equal">
      <formula>"Nein"</formula>
    </cfRule>
  </conditionalFormatting>
  <conditionalFormatting sqref="Q27:Q32">
    <cfRule type="expression" dxfId="109" priority="16">
      <formula>$P$23&lt;&gt;"Ja"</formula>
    </cfRule>
  </conditionalFormatting>
  <dataValidations count="4">
    <dataValidation type="decimal" errorStyle="warning" allowBlank="1" showInputMessage="1" showErrorMessage="1" error="Hinweis: Wert erscheint hoch (oder ist negativ)!" sqref="L12:L19 D25:D32 F25:F32" xr:uid="{CC9B17CB-BA20-410E-A562-DFE319B9BB8B}">
      <formula1>0</formula1>
      <formula2>0.08</formula2>
    </dataValidation>
    <dataValidation type="decimal" errorStyle="warning" allowBlank="1" showInputMessage="1" showErrorMessage="1" error="Hinweis: Wert erscheint hoch (oder ist negativ)!" sqref="I12:I19" xr:uid="{1B64447B-82FD-47ED-855F-4C9F7759971B}">
      <formula1>0</formula1>
      <formula2>0.2</formula2>
    </dataValidation>
    <dataValidation errorStyle="warning" allowBlank="1" showInputMessage="1" showErrorMessage="1" error="Hinweis: Wert erscheint hoch (oder ist negativ)!" sqref="F12:F19" xr:uid="{708AB70C-DF55-49DD-A7F3-E4C38C922F94}"/>
    <dataValidation type="list" allowBlank="1" showInputMessage="1" showErrorMessage="1" sqref="P23" xr:uid="{6BFA92FE-AF37-4342-8AC8-3E5AA15F057A}">
      <formula1>"Ja,Nein"</formula1>
    </dataValidation>
  </dataValidations>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&amp;L&amp;"-,Standard"&amp;8K2-Blatt "Gesamtzuschläge"
Seite: &amp;P von &amp;N&amp;R&amp;"-,Standard"&amp;8&amp;F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2222" id="{8902D9CC-708B-4412-92B2-0266F59FF243}">
            <xm:f>KALKULATION!$C$350="Nein"</xm:f>
            <x14:dxf>
              <font>
                <color theme="0"/>
              </font>
              <border>
                <left style="thin">
                  <color theme="0"/>
                </left>
                <right style="thin">
                  <color theme="0"/>
                </right>
                <bottom style="thin">
                  <color theme="0"/>
                </bottom>
                <vertical/>
                <horizontal/>
              </border>
            </x14:dxf>
          </x14:cfRule>
          <xm:sqref>R24:R25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3CEF3-8832-451B-84B5-081A3ADF352F}">
  <sheetPr codeName="Tabelle8">
    <tabColor theme="9" tint="0.59999389629810485"/>
  </sheetPr>
  <dimension ref="A1:S33"/>
  <sheetViews>
    <sheetView showGridLines="0" topLeftCell="A5" zoomScaleNormal="100" workbookViewId="0">
      <selection activeCell="I47" sqref="I47:M47"/>
    </sheetView>
  </sheetViews>
  <sheetFormatPr baseColWidth="10" defaultColWidth="10.6640625" defaultRowHeight="15" x14ac:dyDescent="0.25"/>
  <cols>
    <col min="1" max="1" width="1.5546875" style="178" customWidth="1"/>
    <col min="2" max="12" width="6.6640625" style="178" customWidth="1"/>
    <col min="13" max="13" width="3.33203125" style="178" customWidth="1"/>
    <col min="14" max="14" width="10.6640625" style="178"/>
    <col min="15" max="15" width="10.6640625" style="429" customWidth="1"/>
    <col min="16" max="16" width="10.6640625" style="429" hidden="1" customWidth="1"/>
    <col min="17" max="17" width="8.6640625" style="429" hidden="1" customWidth="1"/>
    <col min="18" max="19" width="10.6640625" style="429" customWidth="1"/>
    <col min="20" max="16384" width="10.6640625" style="178"/>
  </cols>
  <sheetData>
    <row r="1" spans="1:19" s="175" customFormat="1" ht="22.15" customHeight="1" x14ac:dyDescent="0.3">
      <c r="A1" s="425" t="s">
        <v>214</v>
      </c>
      <c r="B1" s="181"/>
      <c r="C1" s="181"/>
      <c r="D1" s="181"/>
      <c r="E1" s="182" t="s">
        <v>23</v>
      </c>
      <c r="F1" s="3351" t="str">
        <f>'K2 GZ'!G3</f>
        <v xml:space="preserve">Musterprojekt Baugewerbe </v>
      </c>
      <c r="G1" s="3352"/>
      <c r="H1" s="3352"/>
      <c r="I1" s="3352"/>
      <c r="J1" s="3352"/>
      <c r="K1" s="3352"/>
      <c r="L1" s="3352"/>
      <c r="M1" s="273"/>
      <c r="O1" s="427"/>
      <c r="P1" s="427"/>
      <c r="Q1" s="427" t="s">
        <v>976</v>
      </c>
      <c r="R1" s="427"/>
      <c r="S1" s="427"/>
    </row>
    <row r="2" spans="1:19" s="175" customFormat="1" ht="18" customHeight="1" x14ac:dyDescent="0.2">
      <c r="A2" s="3342" t="str">
        <f ca="1">KALKULATION!D11</f>
        <v>Nur als Testversion nutzbar!</v>
      </c>
      <c r="B2" s="3343"/>
      <c r="C2" s="3343"/>
      <c r="D2" s="3343"/>
      <c r="E2" s="3344"/>
      <c r="F2" s="3351"/>
      <c r="G2" s="3352"/>
      <c r="H2" s="3352"/>
      <c r="I2" s="3353"/>
      <c r="J2" s="3353"/>
      <c r="K2" s="3353"/>
      <c r="L2" s="3353"/>
      <c r="M2" s="273"/>
      <c r="O2" s="427"/>
      <c r="P2" s="427"/>
      <c r="Q2" s="427" t="s">
        <v>927</v>
      </c>
      <c r="R2" s="427"/>
      <c r="S2" s="427"/>
    </row>
    <row r="3" spans="1:19" s="175" customFormat="1" ht="18" customHeight="1" x14ac:dyDescent="0.2">
      <c r="A3" s="3348" t="str">
        <f ca="1">IF(KALKULATION!D12&lt;&gt;0,KALKULATION!D12,"")</f>
        <v>Nur als Testversion nutzbar!</v>
      </c>
      <c r="B3" s="3349"/>
      <c r="C3" s="3349"/>
      <c r="D3" s="3349"/>
      <c r="E3" s="3350"/>
      <c r="F3" s="179" t="s">
        <v>155</v>
      </c>
      <c r="G3" s="3354" t="str">
        <f>'K2 GZ'!H5</f>
        <v>Meine GZ</v>
      </c>
      <c r="H3" s="3355"/>
      <c r="I3" s="3356" t="s">
        <v>1</v>
      </c>
      <c r="J3" s="3357"/>
      <c r="K3" s="3358">
        <f>'K2 GZ'!L5</f>
        <v>46143</v>
      </c>
      <c r="L3" s="3359"/>
      <c r="M3" s="274"/>
      <c r="O3" s="427"/>
      <c r="P3" s="427"/>
      <c r="Q3" s="427"/>
      <c r="R3" s="427"/>
      <c r="S3" s="427"/>
    </row>
    <row r="4" spans="1:19" s="175" customFormat="1" ht="18" customHeight="1" thickBot="1" x14ac:dyDescent="0.25">
      <c r="A4" s="3345" t="str">
        <f ca="1">IF(KALKULATION!D13&lt;&gt;0,KALKULATION!D13,"")</f>
        <v>Nur als Testversion nutzbar!</v>
      </c>
      <c r="B4" s="3346"/>
      <c r="C4" s="3346"/>
      <c r="D4" s="3346"/>
      <c r="E4" s="3347"/>
      <c r="F4" s="180" t="s">
        <v>156</v>
      </c>
      <c r="G4" s="3360" t="str">
        <f>'K2 GZ'!H6</f>
        <v>Seine GZ</v>
      </c>
      <c r="H4" s="3360"/>
      <c r="I4" s="3361" t="s">
        <v>94</v>
      </c>
      <c r="J4" s="3361"/>
      <c r="K4" s="3361"/>
      <c r="L4" s="3361"/>
      <c r="M4" s="275"/>
      <c r="O4" s="427"/>
      <c r="P4" s="427"/>
      <c r="Q4" s="427" t="s">
        <v>302</v>
      </c>
      <c r="R4" s="427"/>
      <c r="S4" s="427"/>
    </row>
    <row r="5" spans="1:19" s="175" customFormat="1" ht="12.75" x14ac:dyDescent="0.2">
      <c r="A5" s="183"/>
      <c r="B5" s="3312" t="s">
        <v>225</v>
      </c>
      <c r="C5" s="3313"/>
      <c r="D5" s="3312" t="s">
        <v>226</v>
      </c>
      <c r="E5" s="3312" t="s">
        <v>218</v>
      </c>
      <c r="F5" s="3313"/>
      <c r="G5" s="3315" t="s">
        <v>215</v>
      </c>
      <c r="H5" s="3312" t="s">
        <v>218</v>
      </c>
      <c r="I5" s="3313"/>
      <c r="J5" s="3315" t="s">
        <v>215</v>
      </c>
      <c r="K5" s="3312" t="s">
        <v>218</v>
      </c>
      <c r="L5" s="3313"/>
      <c r="M5" s="266"/>
      <c r="O5" s="427"/>
      <c r="P5" s="427"/>
      <c r="Q5" s="1132" t="s">
        <v>926</v>
      </c>
      <c r="R5" s="427"/>
      <c r="S5" s="427"/>
    </row>
    <row r="6" spans="1:19" s="175" customFormat="1" ht="25.35" customHeight="1" x14ac:dyDescent="0.2">
      <c r="A6" s="183"/>
      <c r="B6" s="3312"/>
      <c r="C6" s="3313"/>
      <c r="D6" s="3338"/>
      <c r="E6" s="3310" t="s">
        <v>996</v>
      </c>
      <c r="F6" s="3311"/>
      <c r="G6" s="3337"/>
      <c r="H6" s="3310" t="s">
        <v>995</v>
      </c>
      <c r="I6" s="3311"/>
      <c r="J6" s="3337"/>
      <c r="K6" s="3310" t="s">
        <v>997</v>
      </c>
      <c r="L6" s="3311"/>
      <c r="M6" s="426"/>
      <c r="O6" s="427"/>
      <c r="P6" s="427"/>
      <c r="Q6" s="427"/>
      <c r="R6" s="427"/>
      <c r="S6" s="427"/>
    </row>
    <row r="7" spans="1:19" s="175" customFormat="1" ht="12.75" x14ac:dyDescent="0.2">
      <c r="A7" s="183"/>
      <c r="B7" s="3312"/>
      <c r="C7" s="3313"/>
      <c r="D7" s="3331" t="s">
        <v>97</v>
      </c>
      <c r="E7" s="3331" t="s">
        <v>160</v>
      </c>
      <c r="F7" s="176" t="s">
        <v>64</v>
      </c>
      <c r="G7" s="176" t="s">
        <v>64</v>
      </c>
      <c r="H7" s="3331" t="s">
        <v>163</v>
      </c>
      <c r="I7" s="176" t="s">
        <v>64</v>
      </c>
      <c r="J7" s="176" t="s">
        <v>64</v>
      </c>
      <c r="K7" s="3331" t="s">
        <v>166</v>
      </c>
      <c r="L7" s="176" t="s">
        <v>64</v>
      </c>
      <c r="M7" s="276"/>
      <c r="O7" s="427"/>
      <c r="P7" s="427"/>
      <c r="Q7" s="427"/>
      <c r="R7" s="427"/>
      <c r="S7" s="427"/>
    </row>
    <row r="8" spans="1:19" s="175" customFormat="1" ht="14.25" customHeight="1" x14ac:dyDescent="0.2">
      <c r="A8" s="184"/>
      <c r="B8" s="3338"/>
      <c r="C8" s="3339"/>
      <c r="D8" s="3332"/>
      <c r="E8" s="3332"/>
      <c r="F8" s="177" t="s">
        <v>161</v>
      </c>
      <c r="G8" s="177" t="s">
        <v>162</v>
      </c>
      <c r="H8" s="3332"/>
      <c r="I8" s="177" t="s">
        <v>164</v>
      </c>
      <c r="J8" s="177" t="s">
        <v>165</v>
      </c>
      <c r="K8" s="3332"/>
      <c r="L8" s="177" t="s">
        <v>167</v>
      </c>
      <c r="M8" s="277"/>
      <c r="O8" s="427"/>
      <c r="P8" s="427"/>
      <c r="Q8" s="427"/>
      <c r="R8" s="427"/>
      <c r="S8" s="427"/>
    </row>
    <row r="9" spans="1:19" s="175" customFormat="1" ht="13.35" customHeight="1" thickBot="1" x14ac:dyDescent="0.25">
      <c r="A9" s="309" t="s">
        <v>6</v>
      </c>
      <c r="B9" s="3340" t="s">
        <v>7</v>
      </c>
      <c r="C9" s="3340"/>
      <c r="D9" s="304" t="s">
        <v>159</v>
      </c>
      <c r="E9" s="304" t="s">
        <v>8</v>
      </c>
      <c r="F9" s="304" t="s">
        <v>9</v>
      </c>
      <c r="G9" s="304" t="s">
        <v>10</v>
      </c>
      <c r="H9" s="304" t="s">
        <v>11</v>
      </c>
      <c r="I9" s="304" t="s">
        <v>12</v>
      </c>
      <c r="J9" s="304" t="s">
        <v>0</v>
      </c>
      <c r="K9" s="304" t="s">
        <v>13</v>
      </c>
      <c r="L9" s="304" t="s">
        <v>14</v>
      </c>
      <c r="M9" s="277"/>
      <c r="O9" s="427"/>
      <c r="P9" s="427"/>
      <c r="Q9" s="427"/>
      <c r="R9" s="427"/>
      <c r="S9" s="427"/>
    </row>
    <row r="10" spans="1:19" s="175" customFormat="1" ht="24.4" customHeight="1" thickTop="1" x14ac:dyDescent="0.2">
      <c r="A10" s="308">
        <v>1</v>
      </c>
      <c r="B10" s="3341" t="str">
        <f>IF('K2 GZ'!C12="","",'K2 GZ'!C12)</f>
        <v>Alle Kostenarten</v>
      </c>
      <c r="C10" s="3341"/>
      <c r="D10" s="261">
        <v>1</v>
      </c>
      <c r="E10" s="279"/>
      <c r="F10" s="248">
        <f t="shared" ref="F10:F14" si="0">E10*D10</f>
        <v>0</v>
      </c>
      <c r="G10" s="194">
        <f t="shared" ref="G10:G14" si="1">F10+D10</f>
        <v>1</v>
      </c>
      <c r="H10" s="281"/>
      <c r="I10" s="248">
        <f t="shared" ref="I10:I14" si="2">G10*H10</f>
        <v>0</v>
      </c>
      <c r="J10" s="194">
        <f t="shared" ref="J10:J14" si="3">I10+G10</f>
        <v>1</v>
      </c>
      <c r="K10" s="281"/>
      <c r="L10" s="248">
        <f t="shared" ref="L10:L14" si="4">J10*K10</f>
        <v>0</v>
      </c>
      <c r="M10" s="272"/>
      <c r="O10" s="427"/>
      <c r="P10" s="427"/>
      <c r="Q10" s="427"/>
      <c r="R10" s="427"/>
      <c r="S10" s="427"/>
    </row>
    <row r="11" spans="1:19" s="175" customFormat="1" ht="24" customHeight="1" x14ac:dyDescent="0.2">
      <c r="A11" s="185">
        <v>2</v>
      </c>
      <c r="B11" s="3296" t="str">
        <f>IF('K2 GZ'!C13="","",'K2 GZ'!C13)</f>
        <v/>
      </c>
      <c r="C11" s="3296"/>
      <c r="D11" s="262">
        <v>1</v>
      </c>
      <c r="E11" s="280"/>
      <c r="F11" s="248">
        <f t="shared" si="0"/>
        <v>0</v>
      </c>
      <c r="G11" s="195">
        <f t="shared" si="1"/>
        <v>1</v>
      </c>
      <c r="H11" s="282"/>
      <c r="I11" s="248">
        <f t="shared" si="2"/>
        <v>0</v>
      </c>
      <c r="J11" s="195">
        <f t="shared" si="3"/>
        <v>1</v>
      </c>
      <c r="K11" s="282"/>
      <c r="L11" s="248">
        <f t="shared" si="4"/>
        <v>0</v>
      </c>
      <c r="M11" s="272"/>
      <c r="O11" s="427"/>
      <c r="P11" s="427"/>
      <c r="Q11" s="427"/>
      <c r="R11" s="427"/>
      <c r="S11" s="427"/>
    </row>
    <row r="12" spans="1:19" s="175" customFormat="1" ht="24" customHeight="1" x14ac:dyDescent="0.2">
      <c r="A12" s="185">
        <v>3</v>
      </c>
      <c r="B12" s="3296" t="str">
        <f>IF('K2 GZ'!C14="","",'K2 GZ'!C14)</f>
        <v/>
      </c>
      <c r="C12" s="3296"/>
      <c r="D12" s="262">
        <v>1</v>
      </c>
      <c r="E12" s="280"/>
      <c r="F12" s="248">
        <f t="shared" si="0"/>
        <v>0</v>
      </c>
      <c r="G12" s="195">
        <f t="shared" si="1"/>
        <v>1</v>
      </c>
      <c r="H12" s="282"/>
      <c r="I12" s="248">
        <f t="shared" si="2"/>
        <v>0</v>
      </c>
      <c r="J12" s="195">
        <f t="shared" si="3"/>
        <v>1</v>
      </c>
      <c r="K12" s="282"/>
      <c r="L12" s="248">
        <f t="shared" si="4"/>
        <v>0</v>
      </c>
      <c r="M12" s="272"/>
      <c r="O12" s="427"/>
      <c r="P12" s="427"/>
      <c r="Q12" s="427"/>
      <c r="R12" s="427"/>
      <c r="S12" s="427"/>
    </row>
    <row r="13" spans="1:19" s="175" customFormat="1" ht="24" customHeight="1" x14ac:dyDescent="0.2">
      <c r="A13" s="185">
        <v>4</v>
      </c>
      <c r="B13" s="3296" t="str">
        <f>IF('K2 GZ'!C15="","",'K2 GZ'!C15)</f>
        <v/>
      </c>
      <c r="C13" s="3296"/>
      <c r="D13" s="262">
        <v>1</v>
      </c>
      <c r="E13" s="280"/>
      <c r="F13" s="248">
        <f t="shared" si="0"/>
        <v>0</v>
      </c>
      <c r="G13" s="195">
        <f t="shared" si="1"/>
        <v>1</v>
      </c>
      <c r="H13" s="282"/>
      <c r="I13" s="248">
        <f t="shared" si="2"/>
        <v>0</v>
      </c>
      <c r="J13" s="195">
        <f t="shared" si="3"/>
        <v>1</v>
      </c>
      <c r="K13" s="282"/>
      <c r="L13" s="248">
        <f t="shared" si="4"/>
        <v>0</v>
      </c>
      <c r="M13" s="272"/>
      <c r="O13" s="428"/>
      <c r="P13" s="427"/>
      <c r="Q13" s="427"/>
      <c r="R13" s="427"/>
      <c r="S13" s="427"/>
    </row>
    <row r="14" spans="1:19" s="175" customFormat="1" ht="24" customHeight="1" x14ac:dyDescent="0.2">
      <c r="A14" s="185">
        <v>5</v>
      </c>
      <c r="B14" s="3296" t="str">
        <f>IF('K2 GZ'!C16="","",'K2 GZ'!C16)</f>
        <v/>
      </c>
      <c r="C14" s="3296"/>
      <c r="D14" s="262">
        <v>1</v>
      </c>
      <c r="E14" s="280"/>
      <c r="F14" s="248">
        <f t="shared" si="0"/>
        <v>0</v>
      </c>
      <c r="G14" s="195">
        <f t="shared" si="1"/>
        <v>1</v>
      </c>
      <c r="H14" s="282"/>
      <c r="I14" s="248">
        <f t="shared" si="2"/>
        <v>0</v>
      </c>
      <c r="J14" s="195">
        <f t="shared" si="3"/>
        <v>1</v>
      </c>
      <c r="K14" s="282"/>
      <c r="L14" s="248">
        <f t="shared" si="4"/>
        <v>0</v>
      </c>
      <c r="M14" s="272"/>
      <c r="O14" s="428"/>
      <c r="P14" s="427"/>
      <c r="Q14" s="427"/>
      <c r="R14" s="427"/>
      <c r="S14" s="427"/>
    </row>
    <row r="15" spans="1:19" s="175" customFormat="1" ht="24" customHeight="1" x14ac:dyDescent="0.2">
      <c r="A15" s="185">
        <v>6</v>
      </c>
      <c r="B15" s="3296" t="str">
        <f>IF('K2 GZ'!C17="","",'K2 GZ'!C17)</f>
        <v/>
      </c>
      <c r="C15" s="3296"/>
      <c r="D15" s="262">
        <v>1</v>
      </c>
      <c r="E15" s="280"/>
      <c r="F15" s="248">
        <f t="shared" ref="F15:F17" si="5">E15*D15</f>
        <v>0</v>
      </c>
      <c r="G15" s="195">
        <f t="shared" ref="G15:G17" si="6">F15+D15</f>
        <v>1</v>
      </c>
      <c r="H15" s="282"/>
      <c r="I15" s="248">
        <f t="shared" ref="I15:I17" si="7">G15*H15</f>
        <v>0</v>
      </c>
      <c r="J15" s="195">
        <f t="shared" ref="J15:J17" si="8">I15+G15</f>
        <v>1</v>
      </c>
      <c r="K15" s="282"/>
      <c r="L15" s="248">
        <f t="shared" ref="L15:L17" si="9">J15*K15</f>
        <v>0</v>
      </c>
      <c r="M15" s="272"/>
      <c r="O15" s="428"/>
      <c r="P15" s="427"/>
      <c r="Q15" s="427"/>
      <c r="R15" s="427"/>
      <c r="S15" s="427"/>
    </row>
    <row r="16" spans="1:19" s="175" customFormat="1" ht="24" customHeight="1" x14ac:dyDescent="0.2">
      <c r="A16" s="185">
        <v>7</v>
      </c>
      <c r="B16" s="3296" t="str">
        <f>IF('K2 GZ'!C18="","",'K2 GZ'!C18)</f>
        <v/>
      </c>
      <c r="C16" s="3296"/>
      <c r="D16" s="262">
        <v>1</v>
      </c>
      <c r="E16" s="280"/>
      <c r="F16" s="248">
        <f t="shared" si="5"/>
        <v>0</v>
      </c>
      <c r="G16" s="195">
        <f t="shared" si="6"/>
        <v>1</v>
      </c>
      <c r="H16" s="282"/>
      <c r="I16" s="248">
        <f t="shared" si="7"/>
        <v>0</v>
      </c>
      <c r="J16" s="195">
        <f t="shared" si="8"/>
        <v>1</v>
      </c>
      <c r="K16" s="282"/>
      <c r="L16" s="248">
        <f t="shared" si="9"/>
        <v>0</v>
      </c>
      <c r="M16" s="272"/>
      <c r="O16" s="428"/>
      <c r="P16" s="427"/>
      <c r="Q16" s="427"/>
      <c r="R16" s="427"/>
      <c r="S16" s="427"/>
    </row>
    <row r="17" spans="1:19" s="175" customFormat="1" ht="24" customHeight="1" thickBot="1" x14ac:dyDescent="0.25">
      <c r="A17" s="416">
        <v>8</v>
      </c>
      <c r="B17" s="3314" t="str">
        <f>IF('K2 GZ'!C19="","",'K2 GZ'!C19)</f>
        <v/>
      </c>
      <c r="C17" s="3314"/>
      <c r="D17" s="417">
        <v>1</v>
      </c>
      <c r="E17" s="418"/>
      <c r="F17" s="419">
        <f t="shared" si="5"/>
        <v>0</v>
      </c>
      <c r="G17" s="420">
        <f t="shared" si="6"/>
        <v>1</v>
      </c>
      <c r="H17" s="421"/>
      <c r="I17" s="419">
        <f t="shared" si="7"/>
        <v>0</v>
      </c>
      <c r="J17" s="420">
        <f t="shared" si="8"/>
        <v>1</v>
      </c>
      <c r="K17" s="421"/>
      <c r="L17" s="419">
        <f t="shared" si="9"/>
        <v>0</v>
      </c>
      <c r="M17" s="272"/>
      <c r="O17" s="428"/>
      <c r="P17" s="427"/>
      <c r="Q17" s="427"/>
      <c r="R17" s="427"/>
      <c r="S17" s="427"/>
    </row>
    <row r="18" spans="1:19" s="175" customFormat="1" ht="19.149999999999999" customHeight="1" thickBot="1" x14ac:dyDescent="0.25">
      <c r="A18" s="415"/>
      <c r="B18" s="3302" t="s">
        <v>282</v>
      </c>
      <c r="C18" s="3303"/>
      <c r="D18" s="3303"/>
      <c r="E18" s="3370" t="s">
        <v>927</v>
      </c>
      <c r="F18" s="3370"/>
      <c r="G18" s="3370"/>
      <c r="H18" s="3371"/>
      <c r="I18" s="3299" t="s">
        <v>301</v>
      </c>
      <c r="J18" s="3300"/>
      <c r="K18" s="3301"/>
      <c r="L18" s="1213" t="s">
        <v>302</v>
      </c>
      <c r="M18" s="283"/>
      <c r="N18" s="3368" t="s">
        <v>262</v>
      </c>
      <c r="O18" s="428"/>
      <c r="P18" s="427"/>
      <c r="Q18" s="427"/>
      <c r="R18" s="427"/>
      <c r="S18" s="427"/>
    </row>
    <row r="19" spans="1:19" s="175" customFormat="1" ht="14.65" customHeight="1" x14ac:dyDescent="0.2">
      <c r="A19" s="183"/>
      <c r="B19" s="3315" t="s">
        <v>304</v>
      </c>
      <c r="C19" s="3312" t="s">
        <v>309</v>
      </c>
      <c r="D19" s="3312" t="s">
        <v>218</v>
      </c>
      <c r="E19" s="3313"/>
      <c r="F19" s="3312" t="s">
        <v>218</v>
      </c>
      <c r="G19" s="3313"/>
      <c r="H19" s="3312" t="s">
        <v>218</v>
      </c>
      <c r="I19" s="3313"/>
      <c r="J19" s="3312" t="s">
        <v>305</v>
      </c>
      <c r="K19" s="3364" t="s">
        <v>216</v>
      </c>
      <c r="L19" s="3365"/>
      <c r="N19" s="3369"/>
      <c r="O19" s="427"/>
      <c r="P19" s="427"/>
      <c r="Q19" s="427"/>
      <c r="R19" s="427"/>
      <c r="S19" s="427"/>
    </row>
    <row r="20" spans="1:19" s="175" customFormat="1" ht="25.5" customHeight="1" x14ac:dyDescent="0.2">
      <c r="A20" s="183"/>
      <c r="B20" s="3315"/>
      <c r="C20" s="3312"/>
      <c r="D20" s="3310" t="s">
        <v>998</v>
      </c>
      <c r="E20" s="3311"/>
      <c r="F20" s="3310" t="s">
        <v>999</v>
      </c>
      <c r="G20" s="3311"/>
      <c r="H20" s="3310"/>
      <c r="I20" s="3311"/>
      <c r="J20" s="3312"/>
      <c r="K20" s="3366"/>
      <c r="L20" s="3367"/>
      <c r="M20" s="284"/>
      <c r="N20" s="483" t="s">
        <v>263</v>
      </c>
      <c r="O20" s="427"/>
      <c r="P20" s="427"/>
      <c r="Q20" s="427"/>
      <c r="R20" s="427"/>
      <c r="S20" s="427"/>
    </row>
    <row r="21" spans="1:19" s="175" customFormat="1" ht="25.35" customHeight="1" x14ac:dyDescent="0.2">
      <c r="A21" s="285"/>
      <c r="B21" s="286" t="s">
        <v>308</v>
      </c>
      <c r="C21" s="286" t="s">
        <v>308</v>
      </c>
      <c r="D21" s="3331" t="str">
        <f>IF($E$18=$Q$1,"%-Satz auf M","%-Satz (%-tuell auf-zurech.)")</f>
        <v>%-Satz (%-tuell auf-zurech.)</v>
      </c>
      <c r="E21" s="176" t="s">
        <v>308</v>
      </c>
      <c r="F21" s="3331" t="str">
        <f>IF($E$18=$Q$1,"%-Satz auf M","%-Satz (%-tuell auf-zurech.)")</f>
        <v>%-Satz (%-tuell auf-zurech.)</v>
      </c>
      <c r="G21" s="176" t="s">
        <v>308</v>
      </c>
      <c r="H21" s="3331" t="str">
        <f>IF($E$18=$Q$1,"%-Satz auf M","%-Satz (%-tuell auf-zurech.)")</f>
        <v>%-Satz (%-tuell auf-zurech.)</v>
      </c>
      <c r="I21" s="176" t="s">
        <v>308</v>
      </c>
      <c r="J21" s="306" t="s">
        <v>308</v>
      </c>
      <c r="K21" s="307"/>
      <c r="L21" s="287"/>
      <c r="M21" s="288"/>
      <c r="N21" s="3362" t="str">
        <f ca="1">'K2 GZ'!R22</f>
        <v>86,28 €/Std</v>
      </c>
      <c r="O21" s="427"/>
      <c r="P21" s="427"/>
      <c r="Q21" s="427"/>
      <c r="R21" s="427"/>
      <c r="S21" s="427"/>
    </row>
    <row r="22" spans="1:19" s="175" customFormat="1" ht="25.35" customHeight="1" x14ac:dyDescent="0.2">
      <c r="A22" s="285"/>
      <c r="B22" s="3327" t="s">
        <v>303</v>
      </c>
      <c r="C22" s="289" t="str">
        <f>IF(L18=$Q$5,"100%","M = L")</f>
        <v>M = L</v>
      </c>
      <c r="D22" s="3332"/>
      <c r="E22" s="3333" t="s">
        <v>447</v>
      </c>
      <c r="F22" s="3332"/>
      <c r="G22" s="3335" t="str">
        <f>IF($E$18=$Q$1,"Q=
MxP/100","Q=
(M+O) x P/100")</f>
        <v>Q=
(M+O) x P/100</v>
      </c>
      <c r="H22" s="3332"/>
      <c r="I22" s="3335" t="str">
        <f>IF($E$18=$Q$1,"S=
MxP/100","S=
(M+O+Q) x R/100")</f>
        <v>S=
(M+O+Q) x R/100</v>
      </c>
      <c r="J22" s="3325" t="s">
        <v>306</v>
      </c>
      <c r="K22" s="3304" t="s">
        <v>313</v>
      </c>
      <c r="L22" s="3305"/>
      <c r="M22" s="277"/>
      <c r="N22" s="3363"/>
      <c r="O22" s="427"/>
      <c r="P22" s="427"/>
      <c r="Q22" s="427"/>
      <c r="R22" s="427"/>
      <c r="S22" s="427"/>
    </row>
    <row r="23" spans="1:19" s="175" customFormat="1" ht="13.5" customHeight="1" thickBot="1" x14ac:dyDescent="0.25">
      <c r="A23" s="311"/>
      <c r="B23" s="3328"/>
      <c r="C23" s="304" t="s">
        <v>16</v>
      </c>
      <c r="D23" s="304" t="s">
        <v>19</v>
      </c>
      <c r="E23" s="3334"/>
      <c r="F23" s="304" t="s">
        <v>3</v>
      </c>
      <c r="G23" s="3336"/>
      <c r="H23" s="305" t="s">
        <v>178</v>
      </c>
      <c r="I23" s="3336"/>
      <c r="J23" s="3326"/>
      <c r="K23" s="3308" t="s">
        <v>310</v>
      </c>
      <c r="L23" s="3309"/>
      <c r="M23" s="277"/>
      <c r="N23" s="484" t="s">
        <v>264</v>
      </c>
      <c r="O23" s="427"/>
      <c r="P23" s="427"/>
      <c r="Q23" s="427"/>
      <c r="R23" s="427"/>
      <c r="S23" s="427"/>
    </row>
    <row r="24" spans="1:19" s="175" customFormat="1" ht="25.5" customHeight="1" thickTop="1" x14ac:dyDescent="0.2">
      <c r="A24" s="310">
        <v>1</v>
      </c>
      <c r="B24" s="300">
        <f>J10+L10</f>
        <v>1</v>
      </c>
      <c r="C24" s="295">
        <f>IF(C$22="M = L",B24,1)</f>
        <v>1</v>
      </c>
      <c r="D24" s="301"/>
      <c r="E24" s="302">
        <f>C24*D24</f>
        <v>0</v>
      </c>
      <c r="F24" s="301"/>
      <c r="G24" s="302">
        <f>IF($E$18=$Q$1,$C24*F24,($C24+E24)*F24)</f>
        <v>0</v>
      </c>
      <c r="H24" s="301"/>
      <c r="I24" s="303">
        <f>IF($E$18=$Q$1,$C24*H24,($C24+E24+G24)*H24)</f>
        <v>0</v>
      </c>
      <c r="J24" s="303">
        <f>E24+G24+I24</f>
        <v>0</v>
      </c>
      <c r="K24" s="3306">
        <f>B24+J24-1</f>
        <v>0</v>
      </c>
      <c r="L24" s="3307"/>
      <c r="N24" s="485">
        <f>IFERROR('K2 GZ'!M25,"Nicht errechenbar")</f>
        <v>0.28999999999999998</v>
      </c>
      <c r="O24" s="427"/>
      <c r="P24" s="427"/>
      <c r="Q24" s="427"/>
      <c r="R24" s="427"/>
      <c r="S24" s="427"/>
    </row>
    <row r="25" spans="1:19" s="175" customFormat="1" ht="25.5" customHeight="1" x14ac:dyDescent="0.2">
      <c r="A25" s="292">
        <v>2</v>
      </c>
      <c r="B25" s="299">
        <f>J11+L11</f>
        <v>1</v>
      </c>
      <c r="C25" s="295">
        <f t="shared" ref="C25:C31" si="10">IF(C$22="M = L",B25,1)</f>
        <v>1</v>
      </c>
      <c r="D25" s="298"/>
      <c r="E25" s="290">
        <f t="shared" ref="E25:E28" si="11">C25*D25</f>
        <v>0</v>
      </c>
      <c r="F25" s="298"/>
      <c r="G25" s="290">
        <f>IF($E$18=$Q$1,$C25*F25,($C25+E25)*F25)</f>
        <v>0</v>
      </c>
      <c r="H25" s="298"/>
      <c r="I25" s="291">
        <f>IF($E$18=$Q$1,$C25*H25,($C25+E25+G25)*H25)</f>
        <v>0</v>
      </c>
      <c r="J25" s="291">
        <f t="shared" ref="J25:J28" si="12">E25+G25+I25</f>
        <v>0</v>
      </c>
      <c r="K25" s="3297">
        <f t="shared" ref="K25:K31" si="13">B25+J25-1</f>
        <v>0</v>
      </c>
      <c r="L25" s="3298"/>
      <c r="M25" s="293"/>
      <c r="N25" s="486">
        <f>IFERROR('K2 GZ'!M26,"Nicht errechenbar")</f>
        <v>0</v>
      </c>
      <c r="O25" s="427"/>
      <c r="P25" s="427"/>
      <c r="Q25" s="427"/>
      <c r="R25" s="427"/>
      <c r="S25" s="427"/>
    </row>
    <row r="26" spans="1:19" s="175" customFormat="1" ht="25.5" customHeight="1" x14ac:dyDescent="0.2">
      <c r="A26" s="294">
        <v>3</v>
      </c>
      <c r="B26" s="299">
        <f>J12+L12</f>
        <v>1</v>
      </c>
      <c r="C26" s="295">
        <f t="shared" si="10"/>
        <v>1</v>
      </c>
      <c r="D26" s="298"/>
      <c r="E26" s="290">
        <f t="shared" si="11"/>
        <v>0</v>
      </c>
      <c r="F26" s="298"/>
      <c r="G26" s="290">
        <f>IF($E$18=$Q$1,$C26*F26,($C26+E26)*F26)</f>
        <v>0</v>
      </c>
      <c r="H26" s="298"/>
      <c r="I26" s="291">
        <f>IF($E$18=$Q$1,$C26*H26,($C26+E26+G26)*H26)</f>
        <v>0</v>
      </c>
      <c r="J26" s="291">
        <f t="shared" si="12"/>
        <v>0</v>
      </c>
      <c r="K26" s="3297">
        <f t="shared" si="13"/>
        <v>0</v>
      </c>
      <c r="L26" s="3298"/>
      <c r="M26" s="293"/>
      <c r="N26" s="485">
        <f>IFERROR('K2 GZ'!M27,"Nicht errechenbar")</f>
        <v>0</v>
      </c>
      <c r="O26" s="427"/>
      <c r="P26" s="427"/>
      <c r="Q26" s="427"/>
      <c r="R26" s="427"/>
      <c r="S26" s="427"/>
    </row>
    <row r="27" spans="1:19" s="175" customFormat="1" ht="25.5" customHeight="1" x14ac:dyDescent="0.2">
      <c r="A27" s="294">
        <v>4</v>
      </c>
      <c r="B27" s="299">
        <f>J13+L13</f>
        <v>1</v>
      </c>
      <c r="C27" s="295">
        <f t="shared" si="10"/>
        <v>1</v>
      </c>
      <c r="D27" s="298"/>
      <c r="E27" s="290">
        <f t="shared" si="11"/>
        <v>0</v>
      </c>
      <c r="F27" s="298"/>
      <c r="G27" s="290">
        <f>IF($E$18=$Q$1,$C27*F27,($C27+E27)*F27)</f>
        <v>0</v>
      </c>
      <c r="H27" s="298"/>
      <c r="I27" s="291">
        <f>IF($E$18=$Q$1,$C27*H27,($C27+E27+G27)*H27)</f>
        <v>0</v>
      </c>
      <c r="J27" s="291">
        <f t="shared" si="12"/>
        <v>0</v>
      </c>
      <c r="K27" s="3297">
        <f t="shared" si="13"/>
        <v>0</v>
      </c>
      <c r="L27" s="3298"/>
      <c r="M27" s="293"/>
      <c r="N27" s="486">
        <f>IFERROR('K2 GZ'!M28,"Nicht errechenbar")</f>
        <v>0</v>
      </c>
      <c r="O27" s="427"/>
      <c r="P27" s="427"/>
      <c r="Q27" s="427"/>
      <c r="R27" s="427"/>
      <c r="S27" s="427"/>
    </row>
    <row r="28" spans="1:19" ht="25.5" customHeight="1" x14ac:dyDescent="0.25">
      <c r="A28" s="294">
        <v>5</v>
      </c>
      <c r="B28" s="299">
        <f>J14+L14</f>
        <v>1</v>
      </c>
      <c r="C28" s="295">
        <f t="shared" si="10"/>
        <v>1</v>
      </c>
      <c r="D28" s="298"/>
      <c r="E28" s="290">
        <f t="shared" si="11"/>
        <v>0</v>
      </c>
      <c r="F28" s="298"/>
      <c r="G28" s="290">
        <f>IF($E$18=$Q$1,$C28*F28,($C28+E28)*F28)</f>
        <v>0</v>
      </c>
      <c r="H28" s="298"/>
      <c r="I28" s="291">
        <f>IF($E$18=$Q$1,$C28*H28,($C28+E28+G28)*H28)</f>
        <v>0</v>
      </c>
      <c r="J28" s="291">
        <f t="shared" si="12"/>
        <v>0</v>
      </c>
      <c r="K28" s="3297">
        <f t="shared" si="13"/>
        <v>0</v>
      </c>
      <c r="L28" s="3298"/>
      <c r="M28" s="293"/>
      <c r="N28" s="485">
        <f>IFERROR('K2 GZ'!M29,"Nicht errechenbar")</f>
        <v>0</v>
      </c>
      <c r="O28" s="427"/>
      <c r="P28" s="427"/>
    </row>
    <row r="29" spans="1:19" ht="25.5" customHeight="1" x14ac:dyDescent="0.25">
      <c r="A29" s="294">
        <v>6</v>
      </c>
      <c r="B29" s="299">
        <f t="shared" ref="B29:B30" si="14">J15+L15</f>
        <v>1</v>
      </c>
      <c r="C29" s="295">
        <f t="shared" si="10"/>
        <v>1</v>
      </c>
      <c r="D29" s="298"/>
      <c r="E29" s="290">
        <f t="shared" ref="E29:E30" si="15">C29*D29</f>
        <v>0</v>
      </c>
      <c r="F29" s="298"/>
      <c r="G29" s="290">
        <f t="shared" ref="G29:G30" si="16">IF($E$18=$Q$1,$C29*F29,($C29+E29)*F29)</f>
        <v>0</v>
      </c>
      <c r="H29" s="298"/>
      <c r="I29" s="291">
        <f t="shared" ref="I29:I30" si="17">IF($E$18=$Q$1,$C29*H29,($C29+E29+G29)*H29)</f>
        <v>0</v>
      </c>
      <c r="J29" s="291">
        <f t="shared" ref="J29:J30" si="18">E29+G29+I29</f>
        <v>0</v>
      </c>
      <c r="K29" s="3297">
        <f t="shared" si="13"/>
        <v>0</v>
      </c>
      <c r="L29" s="3298"/>
      <c r="M29" s="293"/>
      <c r="N29" s="485">
        <f>IFERROR('K2 GZ'!M30,"Nicht errechenbar")</f>
        <v>0</v>
      </c>
      <c r="O29" s="427"/>
      <c r="P29" s="427"/>
    </row>
    <row r="30" spans="1:19" ht="25.5" customHeight="1" x14ac:dyDescent="0.25">
      <c r="A30" s="294">
        <v>7</v>
      </c>
      <c r="B30" s="299">
        <f t="shared" si="14"/>
        <v>1</v>
      </c>
      <c r="C30" s="295">
        <f t="shared" si="10"/>
        <v>1</v>
      </c>
      <c r="D30" s="298"/>
      <c r="E30" s="290">
        <f t="shared" si="15"/>
        <v>0</v>
      </c>
      <c r="F30" s="298"/>
      <c r="G30" s="290">
        <f t="shared" si="16"/>
        <v>0</v>
      </c>
      <c r="H30" s="298"/>
      <c r="I30" s="291">
        <f t="shared" si="17"/>
        <v>0</v>
      </c>
      <c r="J30" s="291">
        <f t="shared" si="18"/>
        <v>0</v>
      </c>
      <c r="K30" s="3297">
        <f t="shared" si="13"/>
        <v>0</v>
      </c>
      <c r="L30" s="3298"/>
      <c r="M30" s="293"/>
      <c r="N30" s="485">
        <f>IFERROR('K2 GZ'!M31,"Nicht errechenbar")</f>
        <v>0</v>
      </c>
      <c r="O30" s="427"/>
      <c r="P30" s="427"/>
    </row>
    <row r="31" spans="1:19" ht="25.5" customHeight="1" thickBot="1" x14ac:dyDescent="0.3">
      <c r="A31" s="312">
        <v>8</v>
      </c>
      <c r="B31" s="313">
        <f t="shared" ref="B31" si="19">J17+L17</f>
        <v>1</v>
      </c>
      <c r="C31" s="314">
        <f t="shared" si="10"/>
        <v>1</v>
      </c>
      <c r="D31" s="315"/>
      <c r="E31" s="316">
        <f t="shared" ref="E31" si="20">C31*D31</f>
        <v>0</v>
      </c>
      <c r="F31" s="315"/>
      <c r="G31" s="316">
        <f t="shared" ref="G31" si="21">IF($E$18=$Q$1,$C31*F31,($C31+E31)*F31)</f>
        <v>0</v>
      </c>
      <c r="H31" s="315"/>
      <c r="I31" s="317">
        <f t="shared" ref="I31" si="22">IF($E$18=$Q$1,$C31*H31,($C31+E31+G31)*H31)</f>
        <v>0</v>
      </c>
      <c r="J31" s="317">
        <f t="shared" ref="J31" si="23">E31+G31+I31</f>
        <v>0</v>
      </c>
      <c r="K31" s="3329">
        <f t="shared" si="13"/>
        <v>0</v>
      </c>
      <c r="L31" s="3330"/>
      <c r="M31" s="293"/>
      <c r="N31" s="485">
        <f>IFERROR('K2 GZ'!M32,"Nicht errechenbar")</f>
        <v>0</v>
      </c>
      <c r="O31" s="427"/>
      <c r="P31" s="427"/>
    </row>
    <row r="32" spans="1:19" ht="48" customHeight="1" x14ac:dyDescent="0.25">
      <c r="A32" s="3316" t="str">
        <f>' K3 PP'!A47</f>
        <v>Lizenziert für:
Vers V4.0</v>
      </c>
      <c r="B32" s="3317"/>
      <c r="C32" s="3318" t="str">
        <f ca="1">' K3 PP'!D47</f>
        <v>Keine gültige Lizenz! Nur als Testversion nutzbar!</v>
      </c>
      <c r="D32" s="3319"/>
      <c r="E32" s="3319"/>
      <c r="F32" s="3320"/>
      <c r="G32" s="3321"/>
      <c r="H32" s="3322"/>
      <c r="I32" s="3322"/>
      <c r="J32" s="3323"/>
      <c r="K32" s="3271" t="s">
        <v>307</v>
      </c>
      <c r="L32" s="3324"/>
      <c r="M32" s="293"/>
      <c r="N32" s="175"/>
    </row>
    <row r="33" spans="13:15" ht="14.25" customHeight="1" x14ac:dyDescent="0.25">
      <c r="M33" s="278"/>
      <c r="O33" s="427"/>
    </row>
  </sheetData>
  <sheetProtection password="B984" sheet="1" formatColumns="0" selectLockedCells="1"/>
  <mergeCells count="69">
    <mergeCell ref="N21:N22"/>
    <mergeCell ref="F21:F22"/>
    <mergeCell ref="F19:G19"/>
    <mergeCell ref="J19:J20"/>
    <mergeCell ref="K19:L20"/>
    <mergeCell ref="N18:N19"/>
    <mergeCell ref="E18:H18"/>
    <mergeCell ref="F20:G20"/>
    <mergeCell ref="D19:E19"/>
    <mergeCell ref="A2:E2"/>
    <mergeCell ref="A4:E4"/>
    <mergeCell ref="A3:E3"/>
    <mergeCell ref="H7:H8"/>
    <mergeCell ref="D7:D8"/>
    <mergeCell ref="G5:G6"/>
    <mergeCell ref="E6:F6"/>
    <mergeCell ref="F1:L2"/>
    <mergeCell ref="G3:H3"/>
    <mergeCell ref="I3:J3"/>
    <mergeCell ref="K3:L3"/>
    <mergeCell ref="G4:H4"/>
    <mergeCell ref="I4:L4"/>
    <mergeCell ref="B13:C13"/>
    <mergeCell ref="B14:C14"/>
    <mergeCell ref="H6:I6"/>
    <mergeCell ref="E7:E8"/>
    <mergeCell ref="K6:L6"/>
    <mergeCell ref="K7:K8"/>
    <mergeCell ref="J5:J6"/>
    <mergeCell ref="K5:L5"/>
    <mergeCell ref="B5:C8"/>
    <mergeCell ref="D5:D6"/>
    <mergeCell ref="E5:F5"/>
    <mergeCell ref="B9:C9"/>
    <mergeCell ref="H5:I5"/>
    <mergeCell ref="B12:C12"/>
    <mergeCell ref="B10:C10"/>
    <mergeCell ref="B11:C11"/>
    <mergeCell ref="A32:B32"/>
    <mergeCell ref="C32:F32"/>
    <mergeCell ref="G32:J32"/>
    <mergeCell ref="K32:L32"/>
    <mergeCell ref="J22:J23"/>
    <mergeCell ref="B22:B23"/>
    <mergeCell ref="K26:L26"/>
    <mergeCell ref="K27:L27"/>
    <mergeCell ref="K28:L28"/>
    <mergeCell ref="K31:L31"/>
    <mergeCell ref="D21:D22"/>
    <mergeCell ref="H21:H22"/>
    <mergeCell ref="E22:E23"/>
    <mergeCell ref="G22:G23"/>
    <mergeCell ref="I22:I23"/>
    <mergeCell ref="B15:C15"/>
    <mergeCell ref="B16:C16"/>
    <mergeCell ref="K29:L29"/>
    <mergeCell ref="K30:L30"/>
    <mergeCell ref="I18:K18"/>
    <mergeCell ref="B18:D18"/>
    <mergeCell ref="K22:L22"/>
    <mergeCell ref="K24:L24"/>
    <mergeCell ref="K25:L25"/>
    <mergeCell ref="K23:L23"/>
    <mergeCell ref="D20:E20"/>
    <mergeCell ref="H19:I19"/>
    <mergeCell ref="H20:I20"/>
    <mergeCell ref="B17:C17"/>
    <mergeCell ref="B19:B20"/>
    <mergeCell ref="C19:C20"/>
  </mergeCells>
  <conditionalFormatting sqref="A2:E4">
    <cfRule type="expression" dxfId="107" priority="4">
      <formula>_OK?&lt;&gt;"OK!"</formula>
    </cfRule>
  </conditionalFormatting>
  <conditionalFormatting sqref="C32">
    <cfRule type="expression" dxfId="106" priority="3">
      <formula>_OK?&lt;&gt;"OK!"</formula>
    </cfRule>
  </conditionalFormatting>
  <conditionalFormatting sqref="E24:E31 I24:J31">
    <cfRule type="cellIs" dxfId="105" priority="2" operator="equal">
      <formula>0</formula>
    </cfRule>
  </conditionalFormatting>
  <conditionalFormatting sqref="G24:G31">
    <cfRule type="cellIs" dxfId="104" priority="1" operator="equal">
      <formula>0</formula>
    </cfRule>
  </conditionalFormatting>
  <dataValidations count="2">
    <dataValidation type="list" showInputMessage="1" showErrorMessage="1" sqref="E18:H18" xr:uid="{E6B1BEC2-BD57-4B38-AFC7-2FDC9538CEFA}">
      <formula1>$Q$1:$Q$2</formula1>
    </dataValidation>
    <dataValidation type="list" allowBlank="1" showInputMessage="1" showErrorMessage="1" error="Bitte aus Dropdown wählen!" sqref="L18" xr:uid="{554018C8-D022-42DA-B3A6-49C978C71518}">
      <formula1>$Q$4:$Q$5</formula1>
    </dataValidation>
  </dataValidations>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&amp;L&amp;"-,Standard"&amp;9K2-Blatt "Gesamtzuschläge"
Seite: &amp;P&amp;R&amp;"-,Standard"&amp;9&amp;F</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9">
    <tabColor rgb="FFFFC000"/>
  </sheetPr>
  <dimension ref="A1:AA48"/>
  <sheetViews>
    <sheetView showGridLines="0" topLeftCell="A10" zoomScaleNormal="100" workbookViewId="0">
      <selection activeCell="I47" sqref="I47:M47"/>
    </sheetView>
  </sheetViews>
  <sheetFormatPr baseColWidth="10" defaultRowHeight="15" x14ac:dyDescent="0.2"/>
  <cols>
    <col min="1" max="1" width="2.5546875" style="32" customWidth="1"/>
    <col min="2" max="5" width="4.33203125" customWidth="1"/>
    <col min="6" max="7" width="4.5546875" customWidth="1"/>
    <col min="8" max="8" width="5.77734375" customWidth="1"/>
    <col min="9" max="14" width="4.5546875" customWidth="1"/>
    <col min="15" max="16" width="5.33203125" customWidth="1"/>
    <col min="17" max="17" width="3.109375" customWidth="1"/>
    <col min="18" max="18" width="2.5546875" customWidth="1"/>
    <col min="19" max="20" width="5.33203125" customWidth="1"/>
    <col min="21" max="26" width="10.6640625" style="1848" hidden="1" customWidth="1"/>
    <col min="27" max="27" width="10.6640625" style="1326" hidden="1" customWidth="1"/>
    <col min="28" max="28" width="10.6640625" customWidth="1"/>
  </cols>
  <sheetData>
    <row r="1" spans="1:20" ht="18.75" x14ac:dyDescent="0.3">
      <c r="A1" s="31" t="s">
        <v>21</v>
      </c>
      <c r="B1" s="3509" t="s">
        <v>22</v>
      </c>
      <c r="C1" s="3509"/>
      <c r="D1" s="3509"/>
      <c r="E1" s="3510"/>
      <c r="F1" s="424" t="s">
        <v>187</v>
      </c>
      <c r="G1" s="3505" t="str">
        <f>IF(KALKULATION!D14="","N.N.",KALKULATION!D14)</f>
        <v xml:space="preserve">Musterprojekt Baugewerbe </v>
      </c>
      <c r="H1" s="3505"/>
      <c r="I1" s="3505"/>
      <c r="J1" s="3505"/>
      <c r="K1" s="3505"/>
      <c r="L1" s="3505"/>
      <c r="M1" s="3505"/>
      <c r="N1" s="3505"/>
      <c r="O1" s="3505"/>
      <c r="P1" s="3506"/>
      <c r="Q1" s="734"/>
      <c r="R1" s="787"/>
      <c r="S1" s="734"/>
      <c r="T1" s="734"/>
    </row>
    <row r="2" spans="1:20" x14ac:dyDescent="0.2">
      <c r="A2" s="3378"/>
      <c r="B2" s="3402" t="s">
        <v>57</v>
      </c>
      <c r="C2" s="3403"/>
      <c r="D2" s="3403"/>
      <c r="E2" s="3403"/>
      <c r="F2" s="3404" t="str">
        <f>IF(KALKULATION!D16="","N.N.",KALKULATION!D16)</f>
        <v>MLP Baugewerbe/Bauindustrie</v>
      </c>
      <c r="G2" s="3404"/>
      <c r="H2" s="3404"/>
      <c r="I2" s="3404"/>
      <c r="J2" s="3405"/>
      <c r="K2" s="3374" t="s">
        <v>24</v>
      </c>
      <c r="L2" s="3375"/>
      <c r="M2" s="3375"/>
      <c r="N2" s="3375"/>
      <c r="O2" s="3375"/>
      <c r="P2" s="3389"/>
      <c r="Q2" s="563"/>
      <c r="R2" s="788"/>
      <c r="S2" s="563"/>
      <c r="T2" s="563"/>
    </row>
    <row r="3" spans="1:20" x14ac:dyDescent="0.2">
      <c r="A3" s="3378"/>
      <c r="B3" s="3264"/>
      <c r="C3" s="3265"/>
      <c r="D3" s="3265"/>
      <c r="E3" s="3265"/>
      <c r="F3" s="3406"/>
      <c r="G3" s="3406"/>
      <c r="H3" s="3406"/>
      <c r="I3" s="3406"/>
      <c r="J3" s="3407"/>
      <c r="K3" s="3380" t="str">
        <f ca="1">KALKULATION!D11</f>
        <v>Nur als Testversion nutzbar!</v>
      </c>
      <c r="L3" s="3381"/>
      <c r="M3" s="3381"/>
      <c r="N3" s="3381"/>
      <c r="O3" s="3381"/>
      <c r="P3" s="3384"/>
      <c r="Q3" s="561"/>
      <c r="R3" s="789"/>
      <c r="S3" s="561"/>
      <c r="T3" s="561"/>
    </row>
    <row r="4" spans="1:20" x14ac:dyDescent="0.2">
      <c r="A4" s="3378"/>
      <c r="B4" s="77" t="s">
        <v>155</v>
      </c>
      <c r="C4" s="3400" t="str">
        <f>IF(KALKULATION!B18="","N.N.",KALKULATION!B18)</f>
        <v>Meine GZ</v>
      </c>
      <c r="D4" s="3400"/>
      <c r="E4" s="3401"/>
      <c r="F4" s="77" t="s">
        <v>156</v>
      </c>
      <c r="G4" s="3400" t="str">
        <f>IF(KALKULATION!B19="","N.N.",KALKULATION!B19)</f>
        <v>Seine GZ</v>
      </c>
      <c r="H4" s="3400"/>
      <c r="I4" s="3400"/>
      <c r="J4" s="3401"/>
      <c r="K4" s="3414" t="str">
        <f ca="1">IF(KALKULATION!D12&lt;&gt;0,KALKULATION!D12,"")</f>
        <v>Nur als Testversion nutzbar!</v>
      </c>
      <c r="L4" s="3415"/>
      <c r="M4" s="3415"/>
      <c r="N4" s="3415"/>
      <c r="O4" s="3415"/>
      <c r="P4" s="3416"/>
      <c r="Q4" s="564"/>
      <c r="R4" s="790"/>
      <c r="S4" s="564"/>
      <c r="T4" s="564"/>
    </row>
    <row r="5" spans="1:20" x14ac:dyDescent="0.2">
      <c r="A5" s="3378"/>
      <c r="B5" s="3523" t="s">
        <v>621</v>
      </c>
      <c r="C5" s="3379"/>
      <c r="D5" s="3379"/>
      <c r="E5" s="3524"/>
      <c r="F5" s="3477" t="s">
        <v>622</v>
      </c>
      <c r="G5" s="3417"/>
      <c r="H5" s="3417"/>
      <c r="I5" s="3417"/>
      <c r="J5" s="3478"/>
      <c r="K5" s="3414" t="str">
        <f ca="1">IF(KALKULATION!D13&lt;&gt;0,KALKULATION!D13,"")</f>
        <v>Nur als Testversion nutzbar!</v>
      </c>
      <c r="L5" s="3415"/>
      <c r="M5" s="3415"/>
      <c r="N5" s="3415"/>
      <c r="O5" s="3415"/>
      <c r="P5" s="3416"/>
      <c r="Q5" s="564"/>
      <c r="R5" s="790"/>
      <c r="S5" s="564"/>
      <c r="T5" s="564"/>
    </row>
    <row r="6" spans="1:20" x14ac:dyDescent="0.2">
      <c r="A6" s="3378"/>
      <c r="B6" s="3525" t="str">
        <f>KALKULATION!C28</f>
        <v>Lohn</v>
      </c>
      <c r="C6" s="3526"/>
      <c r="D6" s="3526"/>
      <c r="E6" s="3527"/>
      <c r="F6" s="3528" t="str">
        <f>KALKULATION!C29</f>
        <v>Montage</v>
      </c>
      <c r="G6" s="3529"/>
      <c r="H6" s="3529"/>
      <c r="I6" s="3529"/>
      <c r="J6" s="3530"/>
      <c r="K6" s="3417" t="s">
        <v>1</v>
      </c>
      <c r="L6" s="3417"/>
      <c r="M6" s="3408">
        <f>KALKULATION!F18</f>
        <v>46143</v>
      </c>
      <c r="N6" s="3408"/>
      <c r="O6" s="3408"/>
      <c r="P6" s="3409"/>
      <c r="Q6" s="735"/>
      <c r="R6" s="791"/>
      <c r="S6" s="735"/>
      <c r="T6" s="735"/>
    </row>
    <row r="7" spans="1:20" x14ac:dyDescent="0.2">
      <c r="A7" s="3378"/>
      <c r="B7" s="3410" t="s">
        <v>126</v>
      </c>
      <c r="C7" s="3411"/>
      <c r="D7" s="3411"/>
      <c r="E7" s="3411"/>
      <c r="F7" s="3418"/>
      <c r="G7" s="3412"/>
      <c r="H7" s="3412"/>
      <c r="I7" s="3412"/>
      <c r="J7" s="3413"/>
      <c r="K7" s="3412" t="s">
        <v>140</v>
      </c>
      <c r="L7" s="3412"/>
      <c r="M7" s="3412"/>
      <c r="N7" s="3412"/>
      <c r="O7" s="3412"/>
      <c r="P7" s="3413"/>
      <c r="Q7" s="560"/>
      <c r="R7" s="792"/>
      <c r="S7" s="560"/>
      <c r="T7" s="560"/>
    </row>
    <row r="8" spans="1:20" ht="15.75" thickBot="1" x14ac:dyDescent="0.25">
      <c r="A8" s="3378"/>
      <c r="B8" s="3386" t="str">
        <f ca="1">Stammdaten!B3</f>
        <v>KollV f Bauindustrie und Baugewerbe (Arbeiter)</v>
      </c>
      <c r="C8" s="3387"/>
      <c r="D8" s="3387"/>
      <c r="E8" s="3387"/>
      <c r="F8" s="3387"/>
      <c r="G8" s="3387"/>
      <c r="H8" s="3387"/>
      <c r="I8" s="3387"/>
      <c r="J8" s="3387"/>
      <c r="K8" s="3387"/>
      <c r="L8" s="3388"/>
      <c r="M8" s="3390" t="s">
        <v>26</v>
      </c>
      <c r="N8" s="3391"/>
      <c r="O8" s="3419">
        <f ca="1">Stammdaten!B4</f>
        <v>46143</v>
      </c>
      <c r="P8" s="3420"/>
      <c r="Q8" s="406"/>
      <c r="R8" s="793"/>
      <c r="S8" s="406"/>
      <c r="T8" s="406"/>
    </row>
    <row r="9" spans="1:20" x14ac:dyDescent="0.2">
      <c r="A9" s="79">
        <v>1</v>
      </c>
      <c r="B9" s="3421" t="s">
        <v>106</v>
      </c>
      <c r="C9" s="3422"/>
      <c r="D9" s="3422"/>
      <c r="E9" s="3423"/>
      <c r="F9" s="3398" t="s">
        <v>107</v>
      </c>
      <c r="G9" s="3399"/>
      <c r="H9" s="78" t="s">
        <v>27</v>
      </c>
      <c r="I9" s="3511" t="s">
        <v>28</v>
      </c>
      <c r="J9" s="3512"/>
      <c r="K9" s="3422" t="s">
        <v>108</v>
      </c>
      <c r="L9" s="3422"/>
      <c r="M9" s="3422"/>
      <c r="N9" s="3422"/>
      <c r="O9" s="3422"/>
      <c r="P9" s="28">
        <f ca="1">KALKULATION!C87</f>
        <v>39</v>
      </c>
      <c r="Q9" s="736"/>
      <c r="R9" s="794"/>
      <c r="S9" s="736"/>
      <c r="T9" s="736"/>
    </row>
    <row r="10" spans="1:20" x14ac:dyDescent="0.2">
      <c r="A10" s="43" t="s">
        <v>29</v>
      </c>
      <c r="B10" s="3392" t="str">
        <f>IF(KALKULATION!A36=0,"",KALKULATION!A36)</f>
        <v>IIa.    Vorarbeiter</v>
      </c>
      <c r="C10" s="3393"/>
      <c r="D10" s="3393"/>
      <c r="E10" s="3446"/>
      <c r="F10" s="3513">
        <f ca="1">IFERROR((VLOOKUP(B10,Stammdaten!A$7:D$33,4,FALSE)),"")</f>
        <v>21.96</v>
      </c>
      <c r="G10" s="3513"/>
      <c r="H10" s="149">
        <f ca="1">IF(KALKULATION!F36=0,"",KALKULATION!F36)</f>
        <v>0.1429</v>
      </c>
      <c r="I10" s="3382">
        <f ca="1">IFERROR(IF(PRODUCT(F10,H10)=0,"",F10*H10),"")</f>
        <v>3.14</v>
      </c>
      <c r="J10" s="3385"/>
      <c r="K10" s="3379" t="s">
        <v>141</v>
      </c>
      <c r="L10" s="3379"/>
      <c r="M10" s="3379"/>
      <c r="N10" s="3379"/>
      <c r="O10" s="466" t="s">
        <v>30</v>
      </c>
      <c r="P10" s="470" t="s">
        <v>18</v>
      </c>
      <c r="Q10" s="737"/>
      <c r="R10" s="795"/>
      <c r="S10" s="737"/>
      <c r="T10" s="737"/>
    </row>
    <row r="11" spans="1:20" x14ac:dyDescent="0.2">
      <c r="A11" s="43" t="s">
        <v>31</v>
      </c>
      <c r="B11" s="3380" t="str">
        <f>IF(KALKULATION!A37=0,"",KALKULATION!A37)</f>
        <v>IIb.   Facharbeiter</v>
      </c>
      <c r="C11" s="3381"/>
      <c r="D11" s="3381"/>
      <c r="E11" s="3384"/>
      <c r="F11" s="3382">
        <f ca="1">IFERROR((VLOOKUP(B11,Stammdaten!A$7:D$33,4,FALSE)),"")</f>
        <v>19.989999999999998</v>
      </c>
      <c r="G11" s="3385"/>
      <c r="H11" s="149">
        <f ca="1">IF(KALKULATION!F37=0,"",KALKULATION!F37)</f>
        <v>0.42859999999999998</v>
      </c>
      <c r="I11" s="3382">
        <f t="shared" ref="I11:I18" ca="1" si="0">IFERROR(IF(PRODUCT(F11,H11)=0,"",F11*H11),"")</f>
        <v>8.57</v>
      </c>
      <c r="J11" s="3383"/>
      <c r="K11" s="3392" t="str">
        <f ca="1">IF(KALKULATION!S80="","",KALKULATION!S80)</f>
        <v>Überstunde 50%</v>
      </c>
      <c r="L11" s="3393"/>
      <c r="M11" s="3393"/>
      <c r="N11" s="3393"/>
      <c r="O11" s="471">
        <f ca="1">IF(OR(K11="",KALKULATION!U80=""),"",KALKULATION!U80)</f>
        <v>0.5</v>
      </c>
      <c r="P11" s="467">
        <f ca="1">IF(OR(K11="",KALKULATION!T80=""),"",KALKULATION!T80)</f>
        <v>3</v>
      </c>
      <c r="Q11" s="738"/>
      <c r="R11" s="796"/>
      <c r="S11" s="738"/>
      <c r="T11" s="738"/>
    </row>
    <row r="12" spans="1:20" x14ac:dyDescent="0.2">
      <c r="A12" s="43" t="s">
        <v>32</v>
      </c>
      <c r="B12" s="3380" t="str">
        <f>IF(KALKULATION!A38=0,"",KALKULATION!A38)</f>
        <v>IV.   Bauhilfsarbeiter</v>
      </c>
      <c r="C12" s="3381"/>
      <c r="D12" s="3381"/>
      <c r="E12" s="3384"/>
      <c r="F12" s="3382">
        <f ca="1">IFERROR((VLOOKUP(B12,Stammdaten!A$7:D$33,4,FALSE)),"")</f>
        <v>17.03</v>
      </c>
      <c r="G12" s="3385"/>
      <c r="H12" s="149">
        <f ca="1">IF(KALKULATION!F38=0,"",KALKULATION!F38)</f>
        <v>0.42859999999999998</v>
      </c>
      <c r="I12" s="3382">
        <f t="shared" ca="1" si="0"/>
        <v>7.3</v>
      </c>
      <c r="J12" s="3383"/>
      <c r="K12" s="3380" t="str">
        <f ca="1">IF(KALKULATION!S81="","",KALKULATION!S81)</f>
        <v/>
      </c>
      <c r="L12" s="3381"/>
      <c r="M12" s="3381"/>
      <c r="N12" s="3381"/>
      <c r="O12" s="472" t="str">
        <f ca="1">IF(OR(K12="",KALKULATION!U81=""),"",KALKULATION!U81)</f>
        <v/>
      </c>
      <c r="P12" s="468" t="str">
        <f ca="1">IF(OR(K12="",KALKULATION!T81=""),"",KALKULATION!T81)</f>
        <v/>
      </c>
      <c r="Q12" s="738"/>
      <c r="R12" s="796"/>
      <c r="S12" s="738"/>
      <c r="T12" s="738"/>
    </row>
    <row r="13" spans="1:20" x14ac:dyDescent="0.2">
      <c r="A13" s="43" t="s">
        <v>33</v>
      </c>
      <c r="B13" s="3380" t="str">
        <f>IF(KALKULATION!A39=0,"",KALKULATION!A39)</f>
        <v/>
      </c>
      <c r="C13" s="3381"/>
      <c r="D13" s="3381"/>
      <c r="E13" s="3384"/>
      <c r="F13" s="3382" t="str">
        <f ca="1">IFERROR((VLOOKUP(B13,Stammdaten!A$7:D$33,4,FALSE)),"")</f>
        <v/>
      </c>
      <c r="G13" s="3385"/>
      <c r="H13" s="149" t="str">
        <f ca="1">IF(KALKULATION!F39=0,"",KALKULATION!F39)</f>
        <v/>
      </c>
      <c r="I13" s="3382" t="str">
        <f t="shared" ca="1" si="0"/>
        <v/>
      </c>
      <c r="J13" s="3383"/>
      <c r="K13" s="3380" t="str">
        <f ca="1">IF(KALKULATION!S82="","",KALKULATION!S82)</f>
        <v/>
      </c>
      <c r="L13" s="3381"/>
      <c r="M13" s="3381"/>
      <c r="N13" s="3381"/>
      <c r="O13" s="472" t="str">
        <f ca="1">IF(OR(K13="",KALKULATION!U82=""),"",KALKULATION!U82)</f>
        <v/>
      </c>
      <c r="P13" s="468" t="str">
        <f ca="1">IF(OR(K13="",KALKULATION!T82=""),"",KALKULATION!T82)</f>
        <v/>
      </c>
      <c r="Q13" s="738"/>
      <c r="R13" s="796"/>
      <c r="S13" s="738"/>
      <c r="T13" s="738"/>
    </row>
    <row r="14" spans="1:20" x14ac:dyDescent="0.2">
      <c r="A14" s="43" t="s">
        <v>34</v>
      </c>
      <c r="B14" s="3380" t="str">
        <f>IF(KALKULATION!A40=0,"",KALKULATION!A40)</f>
        <v/>
      </c>
      <c r="C14" s="3381"/>
      <c r="D14" s="3381"/>
      <c r="E14" s="3384"/>
      <c r="F14" s="3382" t="str">
        <f ca="1">IFERROR((VLOOKUP(B14,Stammdaten!A$7:D$33,4,FALSE)),"")</f>
        <v/>
      </c>
      <c r="G14" s="3385"/>
      <c r="H14" s="149" t="str">
        <f ca="1">IF(KALKULATION!F40=0,"",KALKULATION!F40)</f>
        <v/>
      </c>
      <c r="I14" s="3382" t="str">
        <f t="shared" ca="1" si="0"/>
        <v/>
      </c>
      <c r="J14" s="3383"/>
      <c r="K14" s="3380" t="str">
        <f>IF(KALKULATION!C93=0,"",KALKULATION!A93)</f>
        <v/>
      </c>
      <c r="L14" s="3381"/>
      <c r="M14" s="3381"/>
      <c r="N14" s="3381"/>
      <c r="O14" s="472" t="str">
        <f ca="1">IF(OR(K14="",KALKULATION!U83=""),"",KALKULATION!U83)</f>
        <v/>
      </c>
      <c r="P14" s="468" t="str">
        <f>IF(KALKULATION!C93=0,"",KALKULATION!C93)</f>
        <v/>
      </c>
      <c r="Q14" s="738"/>
      <c r="R14" s="796"/>
      <c r="S14" s="738"/>
      <c r="T14" s="738"/>
    </row>
    <row r="15" spans="1:20" x14ac:dyDescent="0.2">
      <c r="A15" s="43" t="s">
        <v>35</v>
      </c>
      <c r="B15" s="3380" t="str">
        <f>IF(KALKULATION!A41=0,"",KALKULATION!A41)</f>
        <v/>
      </c>
      <c r="C15" s="3381"/>
      <c r="D15" s="3381"/>
      <c r="E15" s="3384"/>
      <c r="F15" s="3382" t="str">
        <f ca="1">IFERROR((VLOOKUP(B15,Stammdaten!A$7:D$33,4,FALSE)),"")</f>
        <v/>
      </c>
      <c r="G15" s="3385"/>
      <c r="H15" s="149" t="str">
        <f ca="1">IF(KALKULATION!F41=0,"",KALKULATION!F41)</f>
        <v/>
      </c>
      <c r="I15" s="3382" t="str">
        <f t="shared" ca="1" si="0"/>
        <v/>
      </c>
      <c r="J15" s="3383"/>
      <c r="K15" s="3380" t="str">
        <f ca="1">IF(KALKULATION!S84="","",KALKULATION!S84)</f>
        <v/>
      </c>
      <c r="L15" s="3381"/>
      <c r="M15" s="3381"/>
      <c r="N15" s="3381"/>
      <c r="O15" s="472" t="str">
        <f ca="1">IF(OR(K15="",KALKULATION!U84=""),"",KALKULATION!U84)</f>
        <v/>
      </c>
      <c r="P15" s="468" t="str">
        <f ca="1">IF(OR(K15="",KALKULATION!T84=""),"",KALKULATION!T84)</f>
        <v/>
      </c>
      <c r="Q15" s="738"/>
      <c r="R15" s="796"/>
      <c r="S15" s="738"/>
      <c r="T15" s="738"/>
    </row>
    <row r="16" spans="1:20" x14ac:dyDescent="0.2">
      <c r="A16" s="43" t="s">
        <v>36</v>
      </c>
      <c r="B16" s="3380" t="str">
        <f>IF(KALKULATION!A42=0,"",KALKULATION!A42)</f>
        <v/>
      </c>
      <c r="C16" s="3381"/>
      <c r="D16" s="3381"/>
      <c r="E16" s="3384"/>
      <c r="F16" s="3382" t="str">
        <f ca="1">IFERROR((VLOOKUP(B16,Stammdaten!A$7:D$33,4,FALSE)),"")</f>
        <v/>
      </c>
      <c r="G16" s="3385"/>
      <c r="H16" s="149" t="str">
        <f ca="1">IF(KALKULATION!F42=0,"",KALKULATION!F42)</f>
        <v/>
      </c>
      <c r="I16" s="3382" t="str">
        <f t="shared" ca="1" si="0"/>
        <v/>
      </c>
      <c r="J16" s="3383"/>
      <c r="K16" s="3464" t="str">
        <f>IFERROR(IF(KALKULATION!H110=0,"","Erfasst sind Verr.Std für:"&amp;KALKULATION!A101&amp;" "&amp;KALKULATION!A102&amp;" "&amp;KALKULATION!A103&amp;" "&amp;KALKULATION!A107&amp;" "&amp;KALKULATION!A108&amp;" "&amp;KALKULATION!A109),"")</f>
        <v/>
      </c>
      <c r="L16" s="3465"/>
      <c r="M16" s="3465"/>
      <c r="N16" s="3466"/>
      <c r="O16" s="81"/>
      <c r="P16" s="80"/>
      <c r="Q16" s="739"/>
      <c r="R16" s="797"/>
      <c r="S16" s="739"/>
      <c r="T16" s="738"/>
    </row>
    <row r="17" spans="1:21" x14ac:dyDescent="0.2">
      <c r="A17" s="43" t="s">
        <v>37</v>
      </c>
      <c r="B17" s="3380" t="str">
        <f>IF(KALKULATION!A43=0,"",KALKULATION!A43)</f>
        <v/>
      </c>
      <c r="C17" s="3381"/>
      <c r="D17" s="3381"/>
      <c r="E17" s="3384"/>
      <c r="F17" s="3382" t="str">
        <f ca="1">IFERROR((VLOOKUP(B17,Stammdaten!A$7:D$33,4,FALSE)),"")</f>
        <v/>
      </c>
      <c r="G17" s="3385"/>
      <c r="H17" s="149" t="str">
        <f ca="1">IF(KALKULATION!F43=0,"",KALKULATION!F43)</f>
        <v/>
      </c>
      <c r="I17" s="3382" t="str">
        <f t="shared" ca="1" si="0"/>
        <v/>
      </c>
      <c r="J17" s="3383"/>
      <c r="K17" s="3464"/>
      <c r="L17" s="3465"/>
      <c r="M17" s="3465"/>
      <c r="N17" s="3466"/>
      <c r="O17" s="81"/>
      <c r="P17" s="80"/>
      <c r="Q17" s="739"/>
      <c r="R17" s="797"/>
      <c r="S17" s="739"/>
      <c r="T17" s="738"/>
    </row>
    <row r="18" spans="1:21" ht="15.75" thickBot="1" x14ac:dyDescent="0.25">
      <c r="A18" s="43" t="s">
        <v>38</v>
      </c>
      <c r="B18" s="3380" t="str">
        <f>IF(KALKULATION!A44=0,"",KALKULATION!A44)</f>
        <v/>
      </c>
      <c r="C18" s="3381"/>
      <c r="D18" s="3381"/>
      <c r="E18" s="3384"/>
      <c r="F18" s="3394" t="str">
        <f ca="1">IFERROR((VLOOKUP(B18,Stammdaten!A$7:D$33,4,FALSE)),"")</f>
        <v/>
      </c>
      <c r="G18" s="3428"/>
      <c r="H18" s="149" t="str">
        <f ca="1">IF(KALKULATION!F44=0,"",KALKULATION!F44)</f>
        <v/>
      </c>
      <c r="I18" s="3394" t="str">
        <f t="shared" ca="1" si="0"/>
        <v/>
      </c>
      <c r="J18" s="3395"/>
      <c r="K18" s="3467"/>
      <c r="L18" s="3468"/>
      <c r="M18" s="3468"/>
      <c r="N18" s="3469"/>
      <c r="O18" s="82"/>
      <c r="P18" s="469"/>
      <c r="Q18" s="739"/>
      <c r="R18" s="797"/>
      <c r="S18" s="739"/>
      <c r="T18" s="738"/>
    </row>
    <row r="19" spans="1:21" x14ac:dyDescent="0.2">
      <c r="A19" s="43">
        <v>2</v>
      </c>
      <c r="B19" s="3424" t="s">
        <v>39</v>
      </c>
      <c r="C19" s="3425"/>
      <c r="D19" s="3425"/>
      <c r="E19" s="3425"/>
      <c r="F19" s="3425"/>
      <c r="G19" s="3425"/>
      <c r="H19" s="1167">
        <f ca="1">SUM(H10:H18)</f>
        <v>1</v>
      </c>
      <c r="I19" s="3376">
        <f ca="1">IF(AND(_OK?="OK!",_OK_KV?="OK_KV!"),SUM(I10:J18),KALKULATION!G45)</f>
        <v>20</v>
      </c>
      <c r="J19" s="3377"/>
      <c r="K19" s="3441" t="s">
        <v>265</v>
      </c>
      <c r="L19" s="3441"/>
      <c r="M19" s="3441"/>
      <c r="N19" s="3441"/>
      <c r="O19" s="3441"/>
      <c r="P19" s="1168">
        <f ca="1">KALKULATION!C95</f>
        <v>42</v>
      </c>
      <c r="Q19" s="742"/>
      <c r="R19" s="798"/>
      <c r="S19" s="739"/>
      <c r="T19" s="738"/>
    </row>
    <row r="20" spans="1:21" x14ac:dyDescent="0.2">
      <c r="A20" s="43"/>
      <c r="B20" s="2726"/>
      <c r="C20" s="3440"/>
      <c r="D20" s="3440"/>
      <c r="E20" s="3440"/>
      <c r="F20" s="3440"/>
      <c r="G20" s="3440"/>
      <c r="H20" s="3440"/>
      <c r="I20" s="3440"/>
      <c r="J20" s="3440"/>
      <c r="K20" s="3440"/>
      <c r="L20" s="2727"/>
      <c r="M20" s="3433" t="s">
        <v>6</v>
      </c>
      <c r="N20" s="3434"/>
      <c r="O20" s="3435" t="s">
        <v>7</v>
      </c>
      <c r="P20" s="3434"/>
      <c r="Q20" s="743"/>
      <c r="R20" s="799"/>
      <c r="S20" s="739"/>
      <c r="T20" s="738"/>
    </row>
    <row r="21" spans="1:21" x14ac:dyDescent="0.2">
      <c r="A21" s="43">
        <v>3</v>
      </c>
      <c r="B21" s="144" t="s">
        <v>39</v>
      </c>
      <c r="C21" s="145"/>
      <c r="D21" s="145"/>
      <c r="E21" s="145"/>
      <c r="F21" s="145"/>
      <c r="G21" s="145"/>
      <c r="H21" s="202"/>
      <c r="I21" s="202"/>
      <c r="J21" s="202"/>
      <c r="K21" s="202"/>
      <c r="L21" s="202"/>
      <c r="M21" s="202"/>
      <c r="N21" s="203"/>
      <c r="O21" s="3436">
        <f ca="1">I19/H19</f>
        <v>20</v>
      </c>
      <c r="P21" s="3437"/>
      <c r="Q21" s="740"/>
      <c r="R21" s="800"/>
      <c r="S21" s="739"/>
      <c r="T21" s="738"/>
    </row>
    <row r="22" spans="1:21" ht="15.75" thickBot="1" x14ac:dyDescent="0.25">
      <c r="A22" s="43">
        <v>4</v>
      </c>
      <c r="B22" s="3442" t="s">
        <v>40</v>
      </c>
      <c r="C22" s="3443"/>
      <c r="D22" s="3443"/>
      <c r="E22" s="3443"/>
      <c r="F22" s="3443"/>
      <c r="G22" s="3443"/>
      <c r="H22" s="3450" t="s">
        <v>41</v>
      </c>
      <c r="I22" s="3450"/>
      <c r="J22" s="3451"/>
      <c r="K22" s="3470">
        <f ca="1">KALKULATION!G72</f>
        <v>0.12</v>
      </c>
      <c r="L22" s="3471"/>
      <c r="M22" s="3444"/>
      <c r="N22" s="3445"/>
      <c r="O22" s="3438">
        <f ca="1">IF(_OK?="OK!",K22*O21,ROUND(K22*O21,0))</f>
        <v>2</v>
      </c>
      <c r="P22" s="3439"/>
      <c r="Q22" s="562"/>
      <c r="R22" s="801"/>
      <c r="S22" s="739"/>
      <c r="T22" s="738"/>
    </row>
    <row r="23" spans="1:21" x14ac:dyDescent="0.2">
      <c r="A23" s="43">
        <v>5</v>
      </c>
      <c r="B23" s="3459" t="s">
        <v>142</v>
      </c>
      <c r="C23" s="3460"/>
      <c r="D23" s="3460"/>
      <c r="E23" s="3460"/>
      <c r="F23" s="3460"/>
      <c r="G23" s="3460"/>
      <c r="H23" s="3452" t="s">
        <v>181</v>
      </c>
      <c r="I23" s="3453"/>
      <c r="J23" s="3453"/>
      <c r="K23" s="3453"/>
      <c r="L23" s="3453"/>
      <c r="M23" s="3453"/>
      <c r="N23" s="3454"/>
      <c r="O23" s="3396">
        <f ca="1">SUM(O21:P22)</f>
        <v>22</v>
      </c>
      <c r="P23" s="3397"/>
      <c r="Q23" s="740"/>
      <c r="R23" s="800"/>
      <c r="S23" s="739"/>
      <c r="T23" s="738"/>
    </row>
    <row r="24" spans="1:21" x14ac:dyDescent="0.2">
      <c r="A24" s="43">
        <v>6</v>
      </c>
      <c r="B24" s="3374" t="s">
        <v>109</v>
      </c>
      <c r="C24" s="3375"/>
      <c r="D24" s="3375"/>
      <c r="E24" s="3375"/>
      <c r="F24" s="3375"/>
      <c r="G24" s="3375"/>
      <c r="H24" s="3455" t="s">
        <v>87</v>
      </c>
      <c r="I24" s="3455"/>
      <c r="J24" s="3456"/>
      <c r="K24" s="3429">
        <f ca="1">KALKULATION!H73</f>
        <v>0.14399999999999999</v>
      </c>
      <c r="L24" s="3430"/>
      <c r="M24" s="3457"/>
      <c r="N24" s="3458"/>
      <c r="O24" s="3382">
        <f ca="1">K24*O23</f>
        <v>3.17</v>
      </c>
      <c r="P24" s="3385"/>
      <c r="Q24" s="562"/>
      <c r="R24" s="801"/>
      <c r="S24" s="739"/>
      <c r="T24" s="738"/>
    </row>
    <row r="25" spans="1:21" x14ac:dyDescent="0.2">
      <c r="A25" s="43">
        <v>7</v>
      </c>
      <c r="B25" s="3374" t="s">
        <v>136</v>
      </c>
      <c r="C25" s="3375"/>
      <c r="D25" s="3375"/>
      <c r="E25" s="3375"/>
      <c r="F25" s="3375"/>
      <c r="G25" s="3375"/>
      <c r="H25" s="3455" t="s">
        <v>87</v>
      </c>
      <c r="I25" s="3455"/>
      <c r="J25" s="3456"/>
      <c r="K25" s="3431">
        <f ca="1">KALKULATION!H167</f>
        <v>0.03</v>
      </c>
      <c r="L25" s="3432"/>
      <c r="M25" s="3457"/>
      <c r="N25" s="3458"/>
      <c r="O25" s="3382">
        <f ca="1">K25*O23</f>
        <v>0.66</v>
      </c>
      <c r="P25" s="3385"/>
      <c r="Q25" s="562"/>
      <c r="R25" s="801"/>
      <c r="S25" s="739"/>
      <c r="T25" s="738"/>
    </row>
    <row r="26" spans="1:21" x14ac:dyDescent="0.2">
      <c r="A26" s="43">
        <v>8</v>
      </c>
      <c r="B26" s="3374" t="s">
        <v>67</v>
      </c>
      <c r="C26" s="3375"/>
      <c r="D26" s="3375"/>
      <c r="E26" s="3375"/>
      <c r="F26" s="3375"/>
      <c r="G26" s="3375"/>
      <c r="H26" s="3455" t="s">
        <v>87</v>
      </c>
      <c r="I26" s="3455"/>
      <c r="J26" s="3456"/>
      <c r="K26" s="3431">
        <f ca="1">KALKULATION!H115</f>
        <v>4.2999999999999997E-2</v>
      </c>
      <c r="L26" s="3432"/>
      <c r="M26" s="3457"/>
      <c r="N26" s="3458"/>
      <c r="O26" s="3382">
        <f ca="1">K26*O23</f>
        <v>0.95</v>
      </c>
      <c r="P26" s="3385"/>
      <c r="Q26" s="562"/>
      <c r="R26" s="801"/>
      <c r="S26" s="739"/>
      <c r="T26" s="738"/>
    </row>
    <row r="27" spans="1:21" ht="15.75" thickBot="1" x14ac:dyDescent="0.25">
      <c r="A27" s="43">
        <v>9</v>
      </c>
      <c r="B27" s="3447" t="s">
        <v>103</v>
      </c>
      <c r="C27" s="3448"/>
      <c r="D27" s="3448"/>
      <c r="E27" s="3448"/>
      <c r="F27" s="3448"/>
      <c r="G27" s="3448"/>
      <c r="H27" s="3448"/>
      <c r="I27" s="3448"/>
      <c r="J27" s="3448"/>
      <c r="K27" s="3448"/>
      <c r="L27" s="3448"/>
      <c r="M27" s="3448"/>
      <c r="N27" s="3449"/>
      <c r="O27" s="3394">
        <f ca="1">KALKULATION!H228</f>
        <v>1.4</v>
      </c>
      <c r="P27" s="3428"/>
      <c r="Q27" s="562"/>
      <c r="R27" s="801"/>
      <c r="S27" s="739"/>
      <c r="T27" s="738"/>
    </row>
    <row r="28" spans="1:21" x14ac:dyDescent="0.2">
      <c r="A28" s="43">
        <v>10</v>
      </c>
      <c r="B28" s="3459" t="s">
        <v>42</v>
      </c>
      <c r="C28" s="3460"/>
      <c r="D28" s="3460"/>
      <c r="E28" s="3460"/>
      <c r="F28" s="3460"/>
      <c r="G28" s="3460"/>
      <c r="H28" s="3453" t="s">
        <v>182</v>
      </c>
      <c r="I28" s="3453"/>
      <c r="J28" s="3453"/>
      <c r="K28" s="3453"/>
      <c r="L28" s="3453"/>
      <c r="M28" s="3453"/>
      <c r="N28" s="3454"/>
      <c r="O28" s="3396">
        <f ca="1">IF(_OK?="OK!",SUM(O23:P27),ROUND(SUM(O23:P27),0))</f>
        <v>28</v>
      </c>
      <c r="P28" s="3397"/>
      <c r="Q28" s="740"/>
      <c r="R28" s="800"/>
      <c r="S28" s="739"/>
      <c r="T28" s="738"/>
    </row>
    <row r="29" spans="1:21" x14ac:dyDescent="0.2">
      <c r="A29" s="43">
        <v>11</v>
      </c>
      <c r="B29" s="3480" t="s">
        <v>104</v>
      </c>
      <c r="C29" s="2280"/>
      <c r="D29" s="2280"/>
      <c r="E29" s="2280"/>
      <c r="F29" s="2280"/>
      <c r="G29" s="2280"/>
      <c r="H29" s="2280"/>
      <c r="I29" s="2280"/>
      <c r="J29" s="2280"/>
      <c r="K29" s="2280"/>
      <c r="L29" s="2280"/>
      <c r="M29" s="2280"/>
      <c r="N29" s="2280"/>
      <c r="O29" s="3382">
        <f ca="1">KALKULATION!G227</f>
        <v>1.9</v>
      </c>
      <c r="P29" s="3385"/>
      <c r="Q29" s="562"/>
      <c r="R29" s="801"/>
      <c r="S29" s="562"/>
      <c r="T29" s="738"/>
    </row>
    <row r="30" spans="1:21" x14ac:dyDescent="0.2">
      <c r="A30" s="43">
        <v>12</v>
      </c>
      <c r="B30" s="3374" t="s">
        <v>43</v>
      </c>
      <c r="C30" s="3375"/>
      <c r="D30" s="3375"/>
      <c r="E30" s="3375"/>
      <c r="F30" s="3375"/>
      <c r="G30" s="3375"/>
      <c r="H30" s="3455" t="s">
        <v>44</v>
      </c>
      <c r="I30" s="3455"/>
      <c r="J30" s="3456"/>
      <c r="K30" s="3431">
        <f ca="1">KALKULATION!H236</f>
        <v>0.28999999999999998</v>
      </c>
      <c r="L30" s="3432"/>
      <c r="M30" s="3457"/>
      <c r="N30" s="3458"/>
      <c r="O30" s="3382">
        <f ca="1">K30*O28</f>
        <v>8.1199999999999992</v>
      </c>
      <c r="P30" s="3385"/>
      <c r="Q30" s="562"/>
      <c r="R30" s="801"/>
      <c r="S30" s="562"/>
      <c r="T30" s="738"/>
    </row>
    <row r="31" spans="1:21" ht="15.75" x14ac:dyDescent="0.25">
      <c r="A31" s="43">
        <v>13</v>
      </c>
      <c r="B31" s="3374" t="s">
        <v>45</v>
      </c>
      <c r="C31" s="3375"/>
      <c r="D31" s="3375"/>
      <c r="E31" s="3375"/>
      <c r="F31" s="3375"/>
      <c r="G31" s="3375"/>
      <c r="H31" s="3455" t="s">
        <v>44</v>
      </c>
      <c r="I31" s="3455"/>
      <c r="J31" s="3456"/>
      <c r="K31" s="3431">
        <f ca="1">KALKULATION!H265</f>
        <v>0.77</v>
      </c>
      <c r="L31" s="3432"/>
      <c r="M31" s="3457"/>
      <c r="N31" s="3458"/>
      <c r="O31" s="3382">
        <f ca="1">K31*O28</f>
        <v>21.56</v>
      </c>
      <c r="P31" s="3385"/>
      <c r="Q31" s="562"/>
      <c r="R31" s="801"/>
      <c r="S31" s="562"/>
      <c r="T31" s="738"/>
      <c r="U31" s="1831" t="s">
        <v>392</v>
      </c>
    </row>
    <row r="32" spans="1:21" ht="15.75" thickBot="1" x14ac:dyDescent="0.25">
      <c r="A32" s="43">
        <v>14</v>
      </c>
      <c r="B32" s="3473" t="s">
        <v>46</v>
      </c>
      <c r="C32" s="3474"/>
      <c r="D32" s="3474"/>
      <c r="E32" s="3474"/>
      <c r="F32" s="3474"/>
      <c r="G32" s="3474"/>
      <c r="H32" s="3475" t="s">
        <v>44</v>
      </c>
      <c r="I32" s="3475"/>
      <c r="J32" s="3476"/>
      <c r="K32" s="3470">
        <f ca="1">O32/O28</f>
        <v>2.5000000000000001E-3</v>
      </c>
      <c r="L32" s="3471"/>
      <c r="M32" s="3497"/>
      <c r="N32" s="3498"/>
      <c r="O32" s="3394">
        <f ca="1">KALKULATION!H276</f>
        <v>7.0000000000000007E-2</v>
      </c>
      <c r="P32" s="3428"/>
      <c r="Q32" s="562"/>
      <c r="R32" s="801"/>
      <c r="S32" s="562"/>
      <c r="T32" s="738"/>
    </row>
    <row r="33" spans="1:27" x14ac:dyDescent="0.2">
      <c r="A33" s="43">
        <v>15</v>
      </c>
      <c r="B33" s="3459" t="s">
        <v>47</v>
      </c>
      <c r="C33" s="3460"/>
      <c r="D33" s="3460"/>
      <c r="E33" s="3460"/>
      <c r="F33" s="3460"/>
      <c r="G33" s="3460"/>
      <c r="H33" s="3453" t="s">
        <v>105</v>
      </c>
      <c r="I33" s="3453"/>
      <c r="J33" s="3453"/>
      <c r="K33" s="3453"/>
      <c r="L33" s="3453"/>
      <c r="M33" s="3453"/>
      <c r="N33" s="3453"/>
      <c r="O33" s="3396">
        <f ca="1">IF(_OK?="OK!",SUM(O28:P32),ROUND(SUM(O28:P32),0))</f>
        <v>60</v>
      </c>
      <c r="P33" s="3397"/>
      <c r="Q33" s="740"/>
      <c r="R33" s="800"/>
      <c r="S33" s="562"/>
      <c r="T33" s="738"/>
    </row>
    <row r="34" spans="1:27" x14ac:dyDescent="0.2">
      <c r="A34" s="43">
        <v>16</v>
      </c>
      <c r="B34" s="3499" t="s">
        <v>48</v>
      </c>
      <c r="C34" s="3500"/>
      <c r="D34" s="3500"/>
      <c r="E34" s="3500"/>
      <c r="F34" s="3500"/>
      <c r="G34" s="3500"/>
      <c r="H34" s="3481" t="str">
        <f>IF(_Anzeige_Prozent=_Nein,"in % auf B15","in % auf B15 + in € = ∑")</f>
        <v>in % auf B15 + in € = ∑</v>
      </c>
      <c r="I34" s="3481"/>
      <c r="J34" s="3482"/>
      <c r="K34" s="3495">
        <f>IF(_Anzeige_Prozent=_Nein,SUM(KALKULATION!E306,KALKULATION!F308/' K3 PP'!O33),KALKULATION!E306)</f>
        <v>0.06</v>
      </c>
      <c r="L34" s="3496"/>
      <c r="M34" s="3382">
        <f ca="1">IF(_Anzeige_Prozent=_Nein,"",KALKULATION!F308)</f>
        <v>2.2599999999999998</v>
      </c>
      <c r="N34" s="3385"/>
      <c r="O34" s="3487">
        <f ca="1">KALKULATION!H308</f>
        <v>5.86</v>
      </c>
      <c r="P34" s="3488"/>
      <c r="Q34" s="562"/>
      <c r="R34" s="801"/>
      <c r="S34" s="562"/>
      <c r="T34" s="562"/>
    </row>
    <row r="35" spans="1:27" ht="24.4" customHeight="1" x14ac:dyDescent="0.2">
      <c r="A35" s="43">
        <v>17</v>
      </c>
      <c r="B35" s="3523" t="s">
        <v>89</v>
      </c>
      <c r="C35" s="3379"/>
      <c r="D35" s="3379"/>
      <c r="E35" s="3379"/>
      <c r="F35" s="3379"/>
      <c r="G35" s="3379"/>
      <c r="H35" s="3379"/>
      <c r="I35" s="3379"/>
      <c r="J35" s="3524"/>
      <c r="K35" s="3491" t="str">
        <f>IF(SUM(K36:L38)&lt;&gt;0,"Umlage in % (U%) auf B15","")</f>
        <v/>
      </c>
      <c r="L35" s="3492"/>
      <c r="M35" s="3483" t="str">
        <f>IF(SUM(K36:L38)&lt;&gt;0,"Umlage in €/Std (inkl % in €)","Umlage in €/Std)")</f>
        <v>Umlage in €/Std)</v>
      </c>
      <c r="N35" s="3484"/>
      <c r="O35" s="3489"/>
      <c r="P35" s="3490"/>
      <c r="Q35" s="562"/>
      <c r="R35" s="801"/>
      <c r="S35" s="562"/>
      <c r="T35" s="562"/>
    </row>
    <row r="36" spans="1:27" x14ac:dyDescent="0.2">
      <c r="A36" s="79" t="s">
        <v>49</v>
      </c>
      <c r="B36" s="3392" t="str">
        <f ca="1">IF(SUM(K36:N36)=0,"",KALKULATION!A336)</f>
        <v>Qualitätssicherung</v>
      </c>
      <c r="C36" s="3393"/>
      <c r="D36" s="3393"/>
      <c r="E36" s="3393"/>
      <c r="F36" s="3393"/>
      <c r="G36" s="3393"/>
      <c r="H36" s="3393"/>
      <c r="I36" s="3393"/>
      <c r="J36" s="3446"/>
      <c r="K36" s="3518">
        <f>IF(KALKULATION!A336="","",IF(_Anzeige_Prozent=_Nein,"",KALKULATION!G336))</f>
        <v>0</v>
      </c>
      <c r="L36" s="3519"/>
      <c r="M36" s="3489">
        <f ca="1">IF(KALKULATION!A336="","",SUM(KALKULATION!F336,KALKULATION!H336))</f>
        <v>1.02</v>
      </c>
      <c r="N36" s="3490"/>
      <c r="O36" s="3382"/>
      <c r="P36" s="3385"/>
      <c r="Q36" s="562"/>
      <c r="R36" s="801"/>
      <c r="S36" s="562"/>
      <c r="T36" s="562"/>
    </row>
    <row r="37" spans="1:27" ht="15.75" x14ac:dyDescent="0.25">
      <c r="A37" s="79" t="s">
        <v>50</v>
      </c>
      <c r="B37" s="3380" t="str">
        <f>IF(SUM(K37:N37)=0,"",KALKULATION!A337)</f>
        <v/>
      </c>
      <c r="C37" s="3381"/>
      <c r="D37" s="3381"/>
      <c r="E37" s="3381"/>
      <c r="F37" s="3381"/>
      <c r="G37" s="3381"/>
      <c r="H37" s="3381"/>
      <c r="I37" s="3381"/>
      <c r="J37" s="3384"/>
      <c r="K37" s="3493" t="str">
        <f>IF(KALKULATION!A337="","",IF(_Anzeige_Prozent=_Nein,"",KALKULATION!G337))</f>
        <v/>
      </c>
      <c r="L37" s="3494"/>
      <c r="M37" s="3382" t="str">
        <f>IF(KALKULATION!A337="","",SUM(KALKULATION!F337,KALKULATION!H337))</f>
        <v/>
      </c>
      <c r="N37" s="3385"/>
      <c r="O37" s="3382"/>
      <c r="P37" s="3385"/>
      <c r="Q37" s="562"/>
      <c r="R37" s="801"/>
      <c r="S37" s="562"/>
      <c r="T37" s="562"/>
      <c r="V37" s="1849" t="s">
        <v>614</v>
      </c>
      <c r="X37" s="1850" t="s">
        <v>551</v>
      </c>
      <c r="Y37" s="1850" t="s">
        <v>616</v>
      </c>
      <c r="Z37" s="1272"/>
      <c r="AA37" s="250"/>
    </row>
    <row r="38" spans="1:27" ht="15.75" thickBot="1" x14ac:dyDescent="0.25">
      <c r="A38" s="79" t="s">
        <v>51</v>
      </c>
      <c r="B38" s="3386" t="str">
        <f>IF(SUM(K38:N38)=0,"",KALKULATION!A338)</f>
        <v/>
      </c>
      <c r="C38" s="3387"/>
      <c r="D38" s="3387"/>
      <c r="E38" s="3387"/>
      <c r="F38" s="3387"/>
      <c r="G38" s="3387"/>
      <c r="H38" s="3387"/>
      <c r="I38" s="3387"/>
      <c r="J38" s="3388"/>
      <c r="K38" s="3426" t="str">
        <f>IF(KALKULATION!A338="","",IF(_Anzeige_Prozent=_Nein,"",KALKULATION!G338))</f>
        <v/>
      </c>
      <c r="L38" s="3427"/>
      <c r="M38" s="3394" t="str">
        <f>IF(KALKULATION!A338="","",SUM(KALKULATION!F338,KALKULATION!H338))</f>
        <v/>
      </c>
      <c r="N38" s="3428"/>
      <c r="O38" s="3394"/>
      <c r="P38" s="3428"/>
      <c r="Q38" s="562"/>
      <c r="R38" s="801"/>
      <c r="S38" s="562"/>
      <c r="T38" s="562"/>
      <c r="U38" s="1851" t="s">
        <v>613</v>
      </c>
      <c r="V38" s="1852" t="s">
        <v>609</v>
      </c>
      <c r="W38" s="1850" t="s">
        <v>550</v>
      </c>
      <c r="X38" s="1850" t="s">
        <v>615</v>
      </c>
      <c r="Y38" s="1850" t="s">
        <v>124</v>
      </c>
      <c r="Z38" s="1850" t="s">
        <v>731</v>
      </c>
      <c r="AA38" s="1850" t="s">
        <v>732</v>
      </c>
    </row>
    <row r="39" spans="1:27" ht="15.75" x14ac:dyDescent="0.25">
      <c r="A39" s="43">
        <v>18</v>
      </c>
      <c r="B39" s="1152" t="s">
        <v>896</v>
      </c>
      <c r="C39" s="1153"/>
      <c r="D39" s="1153"/>
      <c r="E39" s="1153"/>
      <c r="F39" s="1154"/>
      <c r="G39" s="1154"/>
      <c r="H39" s="1155"/>
      <c r="I39" s="1156"/>
      <c r="J39" s="1156"/>
      <c r="K39" s="1156"/>
      <c r="L39" s="1157"/>
      <c r="M39" s="3372">
        <f ca="1">IF(SUM(M36:N38)&gt;0,SUM(M36:N38),"")</f>
        <v>1.02</v>
      </c>
      <c r="N39" s="3373"/>
      <c r="O39" s="3372">
        <f ca="1">IF(KALKULATION!C392="",SUM(' K3 PP'!O33:P34),KALKULATION!C392)</f>
        <v>65.86</v>
      </c>
      <c r="P39" s="3373"/>
      <c r="Q39" s="740"/>
      <c r="R39" s="800"/>
      <c r="S39" s="740"/>
      <c r="T39" s="740"/>
      <c r="U39" s="1853">
        <f ca="1">SUM(O33,O34)</f>
        <v>65.86</v>
      </c>
      <c r="V39" s="1854" t="str">
        <f>KALKULATION!H384</f>
        <v/>
      </c>
      <c r="W39" s="1853">
        <f ca="1">SUM(O33,O34)</f>
        <v>65.86</v>
      </c>
      <c r="X39" s="1855">
        <f ca="1">O39-W39</f>
        <v>0</v>
      </c>
      <c r="Z39" s="1272"/>
      <c r="AA39" s="1272"/>
    </row>
    <row r="40" spans="1:27" ht="27.95" customHeight="1" x14ac:dyDescent="0.25">
      <c r="A40" s="43">
        <v>19</v>
      </c>
      <c r="B40" s="3461" t="str">
        <f>KALKULATION!M33&amp;IF(KALKULATION!F29&lt;&gt;""," "&amp;KALKULATION!F29,"")</f>
        <v>Mittellohnkosten</v>
      </c>
      <c r="C40" s="3462"/>
      <c r="D40" s="3462"/>
      <c r="E40" s="3462"/>
      <c r="F40" s="3462"/>
      <c r="G40" s="3462"/>
      <c r="H40" s="3462"/>
      <c r="I40" s="3462"/>
      <c r="J40" s="3463"/>
      <c r="K40" s="3472" t="s">
        <v>185</v>
      </c>
      <c r="L40" s="3045"/>
      <c r="M40" s="1163" t="str">
        <f ca="1">IF(X39=0,"","ge-rundet")</f>
        <v/>
      </c>
      <c r="N40" s="3507" t="str">
        <f ca="1">IF(ABS(X45)&lt;0.02,Y42&amp;Z42&amp;AA42,KALKULATION!$M$287)</f>
        <v>66,88 €/Std</v>
      </c>
      <c r="O40" s="3507"/>
      <c r="P40" s="3508"/>
      <c r="Q40" s="744"/>
      <c r="R40" s="802"/>
      <c r="S40" s="744"/>
      <c r="T40" s="744"/>
      <c r="U40" s="1853">
        <f ca="1">SUM(M39:P39)</f>
        <v>66.88</v>
      </c>
      <c r="V40" s="1853"/>
      <c r="W40" s="1853"/>
      <c r="X40" s="1856"/>
      <c r="Z40" s="1857">
        <f ca="1">U40/60</f>
        <v>1.115</v>
      </c>
      <c r="AA40" s="1857" t="e">
        <f ca="1">U39*KALKULATION!$N$363</f>
        <v>#VALUE!</v>
      </c>
    </row>
    <row r="41" spans="1:27" ht="15" hidden="1" customHeight="1" x14ac:dyDescent="0.25">
      <c r="A41" s="43"/>
      <c r="B41" s="102" t="s">
        <v>55</v>
      </c>
      <c r="C41" s="4"/>
      <c r="D41" s="4"/>
      <c r="E41" s="4"/>
      <c r="F41" s="4"/>
      <c r="G41" s="4"/>
      <c r="H41" s="5"/>
      <c r="I41" s="1"/>
      <c r="K41" s="3"/>
      <c r="L41" s="3"/>
      <c r="M41" s="25"/>
      <c r="N41" s="26"/>
      <c r="O41" s="26"/>
      <c r="P41" s="27"/>
      <c r="Q41" s="741"/>
      <c r="R41" s="803"/>
      <c r="S41" s="741"/>
      <c r="T41" s="741"/>
      <c r="U41" s="1858"/>
      <c r="X41" s="1856"/>
      <c r="Z41" s="1858"/>
      <c r="AA41" s="1272"/>
    </row>
    <row r="42" spans="1:27" ht="15.75" x14ac:dyDescent="0.25">
      <c r="A42" s="43"/>
      <c r="B42" s="3477" t="s">
        <v>54</v>
      </c>
      <c r="C42" s="3417"/>
      <c r="D42" s="3417"/>
      <c r="E42" s="3417"/>
      <c r="F42" s="3417"/>
      <c r="G42" s="3417"/>
      <c r="H42" s="3478"/>
      <c r="I42" s="3514" t="s">
        <v>52</v>
      </c>
      <c r="J42" s="3515"/>
      <c r="K42" s="3514" t="s">
        <v>53</v>
      </c>
      <c r="L42" s="3515"/>
      <c r="M42" s="3520"/>
      <c r="N42" s="3521"/>
      <c r="O42" s="3521"/>
      <c r="P42" s="3522"/>
      <c r="Q42" s="745"/>
      <c r="R42" s="804"/>
      <c r="S42" s="745"/>
      <c r="T42" s="745"/>
      <c r="U42" s="1858"/>
      <c r="X42" s="1856"/>
      <c r="Y42" s="1859" t="str">
        <f ca="1">TEXT(U40,"0,00")&amp;" €/Std"</f>
        <v>66,88 €/Std</v>
      </c>
      <c r="Z42" s="1859" t="str">
        <f>IF(KALKULATION!$C$350=KALKULATION!$M$356,"
"&amp;TEXT(Z40,"0,00")&amp;" €/Min",IF(KALKULATION!$C$350=KALKULATION!$M$357,"
"&amp;TEXT(Z40,"0,000")&amp;" €/Min",""))</f>
        <v/>
      </c>
      <c r="AA42" s="1859" t="str">
        <f>IF(KALKULATION!$C$350=KALKULATION!$M$358,"
"&amp;TEXT(AA40,"# ##0,00")&amp;" €/Mo","")</f>
        <v/>
      </c>
    </row>
    <row r="43" spans="1:27" ht="16.5" thickBot="1" x14ac:dyDescent="0.3">
      <c r="A43" s="43">
        <v>20</v>
      </c>
      <c r="B43" s="3473"/>
      <c r="C43" s="3474"/>
      <c r="D43" s="3474"/>
      <c r="E43" s="3474"/>
      <c r="F43" s="3474"/>
      <c r="G43" s="3474"/>
      <c r="H43" s="3479"/>
      <c r="I43" s="3516">
        <f ca="1">IF(M39="","",KALKULATION!G346)</f>
        <v>0.28999999999999998</v>
      </c>
      <c r="J43" s="3517"/>
      <c r="K43" s="3516">
        <f>KALKULATION!G345</f>
        <v>0.28999999999999998</v>
      </c>
      <c r="L43" s="3517"/>
      <c r="M43" s="3438">
        <f ca="1">IF(KALKULATION!G346="","",I43*M39)</f>
        <v>0.3</v>
      </c>
      <c r="N43" s="3439"/>
      <c r="O43" s="3438">
        <f ca="1">K43*O39</f>
        <v>19.100000000000001</v>
      </c>
      <c r="P43" s="3439"/>
      <c r="Q43" s="562"/>
      <c r="R43" s="801"/>
      <c r="S43" s="562"/>
      <c r="T43" s="562"/>
      <c r="U43" s="1860">
        <f ca="1">K43*O39</f>
        <v>19.100000000000001</v>
      </c>
      <c r="W43" s="1853">
        <f ca="1">K43*W39</f>
        <v>19.100000000000001</v>
      </c>
      <c r="X43" s="1861"/>
      <c r="Z43" s="1858"/>
      <c r="AA43" s="1272"/>
    </row>
    <row r="44" spans="1:27" ht="15.75" x14ac:dyDescent="0.25">
      <c r="A44" s="43">
        <v>21</v>
      </c>
      <c r="B44" s="1152" t="s">
        <v>897</v>
      </c>
      <c r="C44" s="1158"/>
      <c r="D44" s="1158"/>
      <c r="E44" s="1158"/>
      <c r="F44" s="1158"/>
      <c r="G44" s="1159"/>
      <c r="H44" s="1155"/>
      <c r="I44" s="1156"/>
      <c r="J44" s="1156"/>
      <c r="K44" s="1156"/>
      <c r="L44" s="1157"/>
      <c r="M44" s="3372">
        <f ca="1">IFERROR(IF(M39="","",SUM(M39,M43)),"")</f>
        <v>1.32</v>
      </c>
      <c r="N44" s="3373"/>
      <c r="O44" s="3372">
        <f ca="1">IF(V44="",SUM(O39,O43),V44)</f>
        <v>84.96</v>
      </c>
      <c r="P44" s="3373"/>
      <c r="Q44" s="740"/>
      <c r="R44" s="800"/>
      <c r="S44" s="740"/>
      <c r="T44" s="740"/>
      <c r="U44" s="1850">
        <f ca="1">SUM(O39,O43)</f>
        <v>84.96</v>
      </c>
      <c r="V44" s="1854" t="str">
        <f>KALKULATION!H386</f>
        <v/>
      </c>
      <c r="W44" s="1853">
        <f ca="1">SUM(W39,W43)</f>
        <v>84.96</v>
      </c>
      <c r="X44" s="1855">
        <f ca="1">ABS(W44-O44)</f>
        <v>0</v>
      </c>
      <c r="Z44" s="1858"/>
      <c r="AA44" s="1272"/>
    </row>
    <row r="45" spans="1:27" ht="27.95" customHeight="1" x14ac:dyDescent="0.2">
      <c r="A45" s="44">
        <v>22</v>
      </c>
      <c r="B45" s="3461" t="str">
        <f>KALKULATION!M34&amp;IF(KALKULATION!F29&lt;&gt;""," "&amp;KALKULATION!F29,"")</f>
        <v>Mittellohnpreis</v>
      </c>
      <c r="C45" s="3462"/>
      <c r="D45" s="3462"/>
      <c r="E45" s="3462"/>
      <c r="F45" s="3462"/>
      <c r="G45" s="3462"/>
      <c r="H45" s="3462"/>
      <c r="I45" s="3462"/>
      <c r="J45" s="3463"/>
      <c r="K45" s="3472" t="s">
        <v>186</v>
      </c>
      <c r="L45" s="3044"/>
      <c r="M45" s="1163" t="str">
        <f ca="1">IF(X44=0,"","ge-rundet")</f>
        <v/>
      </c>
      <c r="N45" s="3507" t="str">
        <f ca="1">IF(ABS(X45)&lt;0.02,Y47&amp;Z47&amp;AA47,KALKULATION!$M$287)</f>
        <v>86,28 €/Std</v>
      </c>
      <c r="O45" s="3507"/>
      <c r="P45" s="3508"/>
      <c r="Q45" s="744"/>
      <c r="R45" s="802"/>
      <c r="S45" s="744"/>
      <c r="T45" s="744"/>
      <c r="U45" s="1853">
        <f ca="1">SUM(M44:P44)</f>
        <v>86.28</v>
      </c>
      <c r="V45" s="1853" t="str">
        <f>KALKULATION!G386</f>
        <v/>
      </c>
      <c r="W45" s="1853" t="str">
        <f>KALKULATION!C393</f>
        <v/>
      </c>
      <c r="X45" s="1855">
        <f>IF(KALKULATION!F360="",0,MAX(X39,X44))</f>
        <v>0</v>
      </c>
      <c r="Z45" s="1857">
        <f ca="1">U45/60</f>
        <v>1.4379999999999999</v>
      </c>
      <c r="AA45" s="1857" t="e">
        <f ca="1">U45*KALKULATION!N363</f>
        <v>#VALUE!</v>
      </c>
    </row>
    <row r="46" spans="1:27" hidden="1" x14ac:dyDescent="0.2">
      <c r="A46" s="101"/>
      <c r="B46" s="102" t="s">
        <v>55</v>
      </c>
      <c r="C46" s="1"/>
      <c r="D46" s="1"/>
      <c r="E46" s="1"/>
      <c r="F46" s="1"/>
      <c r="G46" s="1"/>
      <c r="H46" s="1"/>
      <c r="I46" s="1"/>
      <c r="J46" s="5"/>
      <c r="K46" s="5"/>
      <c r="M46" s="22"/>
      <c r="N46" s="22"/>
      <c r="O46" s="21"/>
      <c r="P46" s="103"/>
      <c r="R46" s="805"/>
      <c r="U46" s="1858"/>
      <c r="V46" s="1858"/>
      <c r="AA46" s="1848"/>
    </row>
    <row r="47" spans="1:27" ht="55.9" customHeight="1" x14ac:dyDescent="0.2">
      <c r="A47" s="3485" t="str">
        <f>"Lizenziert für:
"&amp;'Lizenz u lies mich'!B32</f>
        <v>Lizenziert für:
Vers V4.0</v>
      </c>
      <c r="B47" s="3486"/>
      <c r="C47" s="3486"/>
      <c r="D47" s="3503" t="str">
        <f ca="1">IF(AND(_OK?="OK!",_OK_KV?="OK_KV!"),('Lizenz u lies mich'!B29&amp;" "&amp;'Lizenz u lies mich'!O32),"Keine gültige Lizenz! Nur als Testversion nutzbar!")</f>
        <v>Keine gültige Lizenz! Nur als Testversion nutzbar!</v>
      </c>
      <c r="E47" s="3503"/>
      <c r="F47" s="3503"/>
      <c r="G47" s="3503"/>
      <c r="H47" s="3504"/>
      <c r="I47" s="3502"/>
      <c r="J47" s="3502"/>
      <c r="K47" s="3502"/>
      <c r="L47" s="3502"/>
      <c r="M47" s="3502"/>
      <c r="N47" s="3501" t="s">
        <v>260</v>
      </c>
      <c r="O47" s="3412"/>
      <c r="P47" s="3413"/>
      <c r="Q47" s="560"/>
      <c r="R47" s="792"/>
      <c r="S47" s="560"/>
      <c r="T47" s="560"/>
      <c r="U47" s="1858"/>
      <c r="V47" s="1858"/>
      <c r="Y47" s="1859" t="str">
        <f ca="1">TEXT(U45,"0,00")&amp;" €/Std"</f>
        <v>86,28 €/Std</v>
      </c>
      <c r="Z47" s="1859" t="str">
        <f>IF(KALKULATION!$C$350=KALKULATION!$M$356,"
"&amp;TEXT(Z45,"0,00")&amp;" €/Min",IF(KALKULATION!$C$350=KALKULATION!$M$357,"
"&amp;TEXT(Z45,"0,000")&amp;" €/Min",""))</f>
        <v/>
      </c>
      <c r="AA47" s="1859" t="str">
        <f>IF(KALKULATION!$C$350=KALKULATION!$M$358,"
"&amp;TEXT(AA45,"# ##0,00")&amp;" €/Mo","")</f>
        <v/>
      </c>
    </row>
    <row r="48" spans="1:27" ht="10.15" customHeight="1" x14ac:dyDescent="0.2">
      <c r="A48" s="597"/>
      <c r="B48" s="597"/>
      <c r="C48" s="597"/>
      <c r="D48" s="597"/>
      <c r="E48" s="597"/>
      <c r="F48" s="597"/>
      <c r="G48" s="597"/>
      <c r="H48" s="597"/>
      <c r="I48" s="597"/>
      <c r="J48" s="597"/>
      <c r="K48" s="597"/>
      <c r="L48" s="597"/>
      <c r="M48" s="597"/>
      <c r="N48" s="597"/>
      <c r="O48" s="597"/>
      <c r="P48" s="597"/>
      <c r="Q48" s="596"/>
      <c r="R48" s="596"/>
      <c r="S48" s="596"/>
      <c r="T48" s="596"/>
      <c r="Y48" s="1857" t="str">
        <f ca="1">Y47</f>
        <v>86,28 €/Std</v>
      </c>
      <c r="Z48" s="1857" t="str">
        <f>IF(Z47="",""," | "&amp;Z47)</f>
        <v/>
      </c>
      <c r="AA48" s="1857" t="str">
        <f>IF(AA47="",""," | "&amp;AA47)</f>
        <v/>
      </c>
    </row>
  </sheetData>
  <sheetProtection password="B984" sheet="1" formatColumns="0" selectLockedCells="1"/>
  <mergeCells count="156">
    <mergeCell ref="G1:P1"/>
    <mergeCell ref="N40:P40"/>
    <mergeCell ref="N45:P45"/>
    <mergeCell ref="F11:G11"/>
    <mergeCell ref="B1:E1"/>
    <mergeCell ref="I9:J9"/>
    <mergeCell ref="K9:O9"/>
    <mergeCell ref="F10:G10"/>
    <mergeCell ref="I42:J42"/>
    <mergeCell ref="K42:L42"/>
    <mergeCell ref="I43:J43"/>
    <mergeCell ref="K43:L43"/>
    <mergeCell ref="O35:P38"/>
    <mergeCell ref="K36:L36"/>
    <mergeCell ref="M42:P42"/>
    <mergeCell ref="B35:J35"/>
    <mergeCell ref="B37:J37"/>
    <mergeCell ref="M37:N37"/>
    <mergeCell ref="B6:E6"/>
    <mergeCell ref="F5:J5"/>
    <mergeCell ref="B5:E5"/>
    <mergeCell ref="F6:J6"/>
    <mergeCell ref="B40:J40"/>
    <mergeCell ref="H26:J26"/>
    <mergeCell ref="A47:C47"/>
    <mergeCell ref="H28:N28"/>
    <mergeCell ref="O33:P33"/>
    <mergeCell ref="O34:P34"/>
    <mergeCell ref="M36:N36"/>
    <mergeCell ref="K35:L35"/>
    <mergeCell ref="M38:N38"/>
    <mergeCell ref="K37:L37"/>
    <mergeCell ref="K34:L34"/>
    <mergeCell ref="H33:N33"/>
    <mergeCell ref="M30:N30"/>
    <mergeCell ref="M31:N31"/>
    <mergeCell ref="M32:N32"/>
    <mergeCell ref="K30:L30"/>
    <mergeCell ref="K31:L31"/>
    <mergeCell ref="K32:L32"/>
    <mergeCell ref="M39:N39"/>
    <mergeCell ref="O39:P39"/>
    <mergeCell ref="M43:N43"/>
    <mergeCell ref="B34:G34"/>
    <mergeCell ref="O28:P28"/>
    <mergeCell ref="N47:P47"/>
    <mergeCell ref="I47:M47"/>
    <mergeCell ref="D47:H47"/>
    <mergeCell ref="B45:J45"/>
    <mergeCell ref="K16:N18"/>
    <mergeCell ref="B25:G25"/>
    <mergeCell ref="B26:G26"/>
    <mergeCell ref="O26:P26"/>
    <mergeCell ref="K22:L22"/>
    <mergeCell ref="O44:P44"/>
    <mergeCell ref="K45:L45"/>
    <mergeCell ref="B31:G31"/>
    <mergeCell ref="B32:G32"/>
    <mergeCell ref="H30:J30"/>
    <mergeCell ref="H31:J31"/>
    <mergeCell ref="H32:J32"/>
    <mergeCell ref="B42:H43"/>
    <mergeCell ref="B28:G28"/>
    <mergeCell ref="B29:N29"/>
    <mergeCell ref="K40:L40"/>
    <mergeCell ref="H34:J34"/>
    <mergeCell ref="M34:N34"/>
    <mergeCell ref="B33:G33"/>
    <mergeCell ref="O43:P43"/>
    <mergeCell ref="M35:N35"/>
    <mergeCell ref="B36:J36"/>
    <mergeCell ref="B38:J38"/>
    <mergeCell ref="O27:P27"/>
    <mergeCell ref="B27:N27"/>
    <mergeCell ref="H22:J22"/>
    <mergeCell ref="H23:N23"/>
    <mergeCell ref="H24:J24"/>
    <mergeCell ref="H25:J25"/>
    <mergeCell ref="K26:L26"/>
    <mergeCell ref="B30:G30"/>
    <mergeCell ref="M24:N24"/>
    <mergeCell ref="M25:N25"/>
    <mergeCell ref="M26:N26"/>
    <mergeCell ref="B23:G23"/>
    <mergeCell ref="O25:P25"/>
    <mergeCell ref="K38:L38"/>
    <mergeCell ref="O29:P29"/>
    <mergeCell ref="O30:P30"/>
    <mergeCell ref="O31:P31"/>
    <mergeCell ref="O32:P32"/>
    <mergeCell ref="K13:N13"/>
    <mergeCell ref="I10:J10"/>
    <mergeCell ref="K24:L24"/>
    <mergeCell ref="K25:L25"/>
    <mergeCell ref="M20:N20"/>
    <mergeCell ref="K15:N15"/>
    <mergeCell ref="O20:P20"/>
    <mergeCell ref="O21:P21"/>
    <mergeCell ref="O22:P22"/>
    <mergeCell ref="B20:L20"/>
    <mergeCell ref="K19:O19"/>
    <mergeCell ref="B17:E17"/>
    <mergeCell ref="B18:E18"/>
    <mergeCell ref="F17:G17"/>
    <mergeCell ref="F18:G18"/>
    <mergeCell ref="B22:G22"/>
    <mergeCell ref="M22:N22"/>
    <mergeCell ref="B10:E10"/>
    <mergeCell ref="K12:N12"/>
    <mergeCell ref="B11:E11"/>
    <mergeCell ref="I18:J18"/>
    <mergeCell ref="I13:J13"/>
    <mergeCell ref="O23:P23"/>
    <mergeCell ref="O24:P24"/>
    <mergeCell ref="F9:G9"/>
    <mergeCell ref="C4:E4"/>
    <mergeCell ref="B2:E3"/>
    <mergeCell ref="G4:J4"/>
    <mergeCell ref="F2:J3"/>
    <mergeCell ref="M6:P6"/>
    <mergeCell ref="B7:E7"/>
    <mergeCell ref="K7:P7"/>
    <mergeCell ref="K4:P4"/>
    <mergeCell ref="K3:P3"/>
    <mergeCell ref="K5:P5"/>
    <mergeCell ref="K6:L6"/>
    <mergeCell ref="F7:J7"/>
    <mergeCell ref="O8:P8"/>
    <mergeCell ref="B9:E9"/>
    <mergeCell ref="I14:J14"/>
    <mergeCell ref="F16:G16"/>
    <mergeCell ref="B19:G19"/>
    <mergeCell ref="M44:N44"/>
    <mergeCell ref="B24:G24"/>
    <mergeCell ref="I19:J19"/>
    <mergeCell ref="A2:A8"/>
    <mergeCell ref="K10:N10"/>
    <mergeCell ref="K14:N14"/>
    <mergeCell ref="I15:J15"/>
    <mergeCell ref="I16:J16"/>
    <mergeCell ref="I17:J17"/>
    <mergeCell ref="B14:E14"/>
    <mergeCell ref="B15:E15"/>
    <mergeCell ref="B16:E16"/>
    <mergeCell ref="F12:G12"/>
    <mergeCell ref="F15:G15"/>
    <mergeCell ref="B8:L8"/>
    <mergeCell ref="K2:P2"/>
    <mergeCell ref="M8:N8"/>
    <mergeCell ref="F13:G13"/>
    <mergeCell ref="B12:E12"/>
    <mergeCell ref="B13:E13"/>
    <mergeCell ref="F14:G14"/>
    <mergeCell ref="I11:J11"/>
    <mergeCell ref="I12:J12"/>
    <mergeCell ref="K11:N11"/>
  </mergeCells>
  <conditionalFormatting sqref="B5">
    <cfRule type="expression" dxfId="103" priority="27">
      <formula>$E$5="X"</formula>
    </cfRule>
  </conditionalFormatting>
  <conditionalFormatting sqref="B6">
    <cfRule type="expression" dxfId="102" priority="26">
      <formula>$E$6="X"</formula>
    </cfRule>
  </conditionalFormatting>
  <conditionalFormatting sqref="B36:J38">
    <cfRule type="expression" dxfId="101" priority="20">
      <formula>$B36=0</formula>
    </cfRule>
  </conditionalFormatting>
  <conditionalFormatting sqref="F5">
    <cfRule type="expression" dxfId="100" priority="25">
      <formula>$J$5="X"</formula>
    </cfRule>
  </conditionalFormatting>
  <conditionalFormatting sqref="F6">
    <cfRule type="expression" dxfId="99" priority="24">
      <formula>$J$6="X"</formula>
    </cfRule>
  </conditionalFormatting>
  <conditionalFormatting sqref="K36:N38">
    <cfRule type="cellIs" dxfId="94" priority="1" operator="equal">
      <formula>0</formula>
    </cfRule>
  </conditionalFormatting>
  <conditionalFormatting sqref="K3:P5">
    <cfRule type="expression" dxfId="93" priority="21">
      <formula>OR(_OK?&lt;&gt;"OK!",_OK_KV?&lt;&gt;"OK_KV!")</formula>
    </cfRule>
  </conditionalFormatting>
  <conditionalFormatting sqref="M43:N43">
    <cfRule type="expression" dxfId="91" priority="11">
      <formula>_OK?&lt;&gt;"OK!"</formula>
    </cfRule>
  </conditionalFormatting>
  <conditionalFormatting sqref="N40:T40 N45:T45">
    <cfRule type="expression" dxfId="90" priority="17">
      <formula>_OK?&lt;&gt;"OK!"</formula>
    </cfRule>
  </conditionalFormatting>
  <conditionalFormatting sqref="O11:O15">
    <cfRule type="expression" dxfId="89" priority="6">
      <formula>$H$76="Nein"</formula>
    </cfRule>
  </conditionalFormatting>
  <conditionalFormatting sqref="O13">
    <cfRule type="expression" dxfId="88" priority="4">
      <formula>$H$76="Nein"</formula>
    </cfRule>
  </conditionalFormatting>
  <conditionalFormatting sqref="O21:R21 O23:R23 O28:R28 O33:R33 O39:T39 O43:T44 N45:T45 D47">
    <cfRule type="expression" dxfId="87" priority="18">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"Mittelpersonalpreis"
Seite: &amp;P von &amp;N&amp;R&amp;"-,Standard"&amp;8&amp;F</oddFooter>
  </headerFooter>
  <ignoredErrors>
    <ignoredError sqref="O23" 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14" id="{4C74D83D-E5B3-49A3-91A1-8B9843C24A0F}">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13" id="{773490A5-183E-4DE8-831E-AE1BD9B174C6}">
            <xm:f>KALKULATION!$F$351="Nein"</xm:f>
            <x14:dxf>
              <border>
                <top/>
                <bottom/>
                <vertical/>
                <horizontal/>
              </border>
            </x14:dxf>
          </x14:cfRule>
          <xm:sqref>K25:L26</xm:sqref>
        </x14:conditionalFormatting>
        <x14:conditionalFormatting xmlns:xm="http://schemas.microsoft.com/office/excel/2006/main">
          <x14:cfRule type="expression" priority="12" id="{8F4D9562-1B77-4121-BA19-50165E4289D5}">
            <xm:f>KALKULATION!$F$351="Nein"</xm:f>
            <x14:dxf>
              <font>
                <color theme="0"/>
              </font>
              <border>
                <left style="thin">
                  <color theme="0"/>
                </left>
                <vertical/>
                <horizontal/>
              </border>
            </x14:dxf>
          </x14:cfRule>
          <xm:sqref>K35:L38</xm:sqref>
        </x14:conditionalFormatting>
        <x14:conditionalFormatting xmlns:xm="http://schemas.microsoft.com/office/excel/2006/main">
          <x14:cfRule type="expression" priority="2" id="{1507BA69-9374-4BD8-A915-CF61BD1FE5E6}">
            <xm:f>KALKULATION!$F$351=_Nein</xm:f>
            <x14:dxf>
              <font>
                <color theme="0"/>
              </font>
            </x14:dxf>
          </x14:cfRule>
          <xm:sqref>K16:N18</xm:sqref>
        </x14:conditionalFormatting>
        <x14:conditionalFormatting xmlns:xm="http://schemas.microsoft.com/office/excel/2006/main">
          <x14:cfRule type="expression" priority="5" id="{98A1CD6F-410D-4DEE-BC51-1D00DA01722B}">
            <xm:f>KALKULATION!$H$77="Nein"</xm:f>
            <x14:dxf>
              <font>
                <color theme="0"/>
              </font>
            </x14:dxf>
          </x14:cfRule>
          <xm:sqref>K11:T15 T16:T33</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F996D-4A7A-49AA-88F0-6649C3D365CA}">
  <sheetPr codeName="Tabelle10">
    <tabColor theme="6"/>
  </sheetPr>
  <dimension ref="A1:S48"/>
  <sheetViews>
    <sheetView showGridLines="0" topLeftCell="A25" zoomScaleNormal="100" workbookViewId="0">
      <selection activeCell="I47" sqref="I47:M47"/>
    </sheetView>
  </sheetViews>
  <sheetFormatPr baseColWidth="10" defaultRowHeight="15" x14ac:dyDescent="0.2"/>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5546875" customWidth="1"/>
  </cols>
  <sheetData>
    <row r="1" spans="1:18" ht="18.75" x14ac:dyDescent="0.3">
      <c r="A1" s="31" t="s">
        <v>21</v>
      </c>
      <c r="B1" s="3509" t="s">
        <v>22</v>
      </c>
      <c r="C1" s="3509"/>
      <c r="D1" s="3509"/>
      <c r="E1" s="3510"/>
      <c r="F1" s="424" t="s">
        <v>187</v>
      </c>
      <c r="G1" s="3605" t="str">
        <f>' K3 PP'!G1:P1</f>
        <v xml:space="preserve">Musterprojekt Baugewerbe </v>
      </c>
      <c r="H1" s="3605"/>
      <c r="I1" s="3605"/>
      <c r="J1" s="3605"/>
      <c r="K1" s="3605"/>
      <c r="L1" s="3605"/>
      <c r="M1" s="3605"/>
      <c r="N1" s="3605"/>
      <c r="O1" s="3605"/>
      <c r="P1" s="3606"/>
      <c r="R1" s="781"/>
    </row>
    <row r="2" spans="1:18" x14ac:dyDescent="0.2">
      <c r="A2" s="3600"/>
      <c r="B2" s="3402" t="s">
        <v>57</v>
      </c>
      <c r="C2" s="3403"/>
      <c r="D2" s="3403"/>
      <c r="E2" s="3403"/>
      <c r="F2" s="3601" t="str">
        <f>IF(KALKULATION!D418="","Regiepersonalpreis",KALKULATION!D418)</f>
        <v>Regielohnkalkulation01</v>
      </c>
      <c r="G2" s="3601"/>
      <c r="H2" s="3601"/>
      <c r="I2" s="3601"/>
      <c r="J2" s="3602"/>
      <c r="K2" s="3374" t="s">
        <v>24</v>
      </c>
      <c r="L2" s="3375"/>
      <c r="M2" s="3375"/>
      <c r="N2" s="3375"/>
      <c r="O2" s="3375"/>
      <c r="P2" s="3389"/>
      <c r="R2" s="781"/>
    </row>
    <row r="3" spans="1:18" x14ac:dyDescent="0.2">
      <c r="A3" s="3600"/>
      <c r="B3" s="3264"/>
      <c r="C3" s="3265"/>
      <c r="D3" s="3265"/>
      <c r="E3" s="3265"/>
      <c r="F3" s="3603"/>
      <c r="G3" s="3603"/>
      <c r="H3" s="3603"/>
      <c r="I3" s="3603"/>
      <c r="J3" s="3604"/>
      <c r="K3" s="3380" t="str">
        <f ca="1">' K3 PP'!K3</f>
        <v>Nur als Testversion nutzbar!</v>
      </c>
      <c r="L3" s="3381"/>
      <c r="M3" s="3381"/>
      <c r="N3" s="3381"/>
      <c r="O3" s="3381"/>
      <c r="P3" s="3384"/>
      <c r="R3" s="781"/>
    </row>
    <row r="4" spans="1:18" x14ac:dyDescent="0.2">
      <c r="A4" s="3600"/>
      <c r="B4" s="77" t="s">
        <v>155</v>
      </c>
      <c r="C4" s="3610" t="str">
        <f>' K3 PP'!C4:E4</f>
        <v>Meine GZ</v>
      </c>
      <c r="D4" s="3610"/>
      <c r="E4" s="3611"/>
      <c r="F4" s="77" t="s">
        <v>156</v>
      </c>
      <c r="G4" s="3612" t="str">
        <f>' K3 PP'!G4:J4</f>
        <v>Seine GZ</v>
      </c>
      <c r="H4" s="3612"/>
      <c r="I4" s="3612"/>
      <c r="J4" s="3613"/>
      <c r="K4" s="3414" t="str">
        <f ca="1">' K3 PP'!K4:P4</f>
        <v>Nur als Testversion nutzbar!</v>
      </c>
      <c r="L4" s="3415"/>
      <c r="M4" s="3415"/>
      <c r="N4" s="3415"/>
      <c r="O4" s="3415"/>
      <c r="P4" s="3416"/>
      <c r="R4" s="781"/>
    </row>
    <row r="5" spans="1:18" x14ac:dyDescent="0.2">
      <c r="A5" s="3600"/>
      <c r="B5" s="3523" t="s">
        <v>621</v>
      </c>
      <c r="C5" s="3379"/>
      <c r="D5" s="3379"/>
      <c r="E5" s="3524"/>
      <c r="F5" s="3477" t="s">
        <v>622</v>
      </c>
      <c r="G5" s="3417"/>
      <c r="H5" s="3417"/>
      <c r="I5" s="3417"/>
      <c r="J5" s="3478"/>
      <c r="K5" s="3414" t="str">
        <f ca="1">' K3 PP'!K5</f>
        <v>Nur als Testversion nutzbar!</v>
      </c>
      <c r="L5" s="3415"/>
      <c r="M5" s="3415"/>
      <c r="N5" s="3415"/>
      <c r="O5" s="3415"/>
      <c r="P5" s="3416"/>
      <c r="R5" s="781"/>
    </row>
    <row r="6" spans="1:18" x14ac:dyDescent="0.2">
      <c r="A6" s="3600"/>
      <c r="B6" s="3525" t="str">
        <f>KALKULATION!C28</f>
        <v>Lohn</v>
      </c>
      <c r="C6" s="3526"/>
      <c r="D6" s="3526"/>
      <c r="E6" s="3527"/>
      <c r="F6" s="3594" t="str">
        <f>KALKULATION!C29</f>
        <v>Montage</v>
      </c>
      <c r="G6" s="3595"/>
      <c r="H6" s="3595"/>
      <c r="I6" s="3595"/>
      <c r="J6" s="3596"/>
      <c r="K6" s="3417" t="s">
        <v>1</v>
      </c>
      <c r="L6" s="3417"/>
      <c r="M6" s="3589">
        <f>' K3 PP'!M6</f>
        <v>46143</v>
      </c>
      <c r="N6" s="3589"/>
      <c r="O6" s="3589"/>
      <c r="P6" s="3590"/>
      <c r="R6" s="781"/>
    </row>
    <row r="7" spans="1:18" x14ac:dyDescent="0.2">
      <c r="A7" s="3600"/>
      <c r="B7" s="2726" t="s">
        <v>126</v>
      </c>
      <c r="C7" s="3440"/>
      <c r="D7" s="3440"/>
      <c r="E7" s="3440"/>
      <c r="F7" s="3597" t="s">
        <v>25</v>
      </c>
      <c r="G7" s="3598"/>
      <c r="H7" s="3598"/>
      <c r="I7" s="3598"/>
      <c r="J7" s="3599"/>
      <c r="K7" s="3412" t="s">
        <v>140</v>
      </c>
      <c r="L7" s="3412"/>
      <c r="M7" s="3412"/>
      <c r="N7" s="3412"/>
      <c r="O7" s="3412"/>
      <c r="P7" s="3413"/>
      <c r="R7" s="781"/>
    </row>
    <row r="8" spans="1:18" ht="15.75" thickBot="1" x14ac:dyDescent="0.25">
      <c r="A8" s="3600"/>
      <c r="B8" s="3591" t="str">
        <f ca="1">Stammdaten!B3</f>
        <v>KollV f Bauindustrie und Baugewerbe (Arbeiter)</v>
      </c>
      <c r="C8" s="3592"/>
      <c r="D8" s="3592"/>
      <c r="E8" s="3592"/>
      <c r="F8" s="3592"/>
      <c r="G8" s="3592"/>
      <c r="H8" s="3592"/>
      <c r="I8" s="3592"/>
      <c r="J8" s="3592"/>
      <c r="K8" s="3592"/>
      <c r="L8" s="3593"/>
      <c r="M8" s="3390" t="s">
        <v>26</v>
      </c>
      <c r="N8" s="3391"/>
      <c r="O8" s="3587">
        <f ca="1">Stammdaten!B4</f>
        <v>46143</v>
      </c>
      <c r="P8" s="3588"/>
      <c r="R8" s="781"/>
    </row>
    <row r="9" spans="1:18" x14ac:dyDescent="0.2">
      <c r="A9" s="79">
        <v>1</v>
      </c>
      <c r="B9" s="3421" t="s">
        <v>106</v>
      </c>
      <c r="C9" s="3422"/>
      <c r="D9" s="3422"/>
      <c r="E9" s="3423"/>
      <c r="F9" s="3398" t="s">
        <v>107</v>
      </c>
      <c r="G9" s="3399"/>
      <c r="H9" s="78" t="s">
        <v>27</v>
      </c>
      <c r="I9" s="3511" t="s">
        <v>28</v>
      </c>
      <c r="J9" s="3512"/>
      <c r="K9" s="3422" t="s">
        <v>108</v>
      </c>
      <c r="L9" s="3422"/>
      <c r="M9" s="3422"/>
      <c r="N9" s="3422"/>
      <c r="O9" s="3422"/>
      <c r="P9" s="28">
        <f ca="1">KALKULATION!C87</f>
        <v>39</v>
      </c>
      <c r="R9" s="781"/>
    </row>
    <row r="10" spans="1:18" x14ac:dyDescent="0.2">
      <c r="A10" s="43" t="s">
        <v>29</v>
      </c>
      <c r="B10" s="3607" t="str">
        <f>KALKULATION!A421</f>
        <v>IIa.    Vorarbeiter</v>
      </c>
      <c r="C10" s="3607"/>
      <c r="D10" s="3607"/>
      <c r="E10" s="3608"/>
      <c r="F10" s="3609">
        <f ca="1">IFERROR((VLOOKUP(B10,Stammdaten!A$7:D$33,4,FALSE)),"")</f>
        <v>21.96</v>
      </c>
      <c r="G10" s="3609"/>
      <c r="H10" s="30">
        <f>KALKULATION!F421</f>
        <v>1</v>
      </c>
      <c r="I10" s="3547">
        <f ca="1">IF(PRODUCT(F10,H10)=0,"",F10*H10)</f>
        <v>21.96</v>
      </c>
      <c r="J10" s="3548"/>
      <c r="K10" s="3583" t="s">
        <v>141</v>
      </c>
      <c r="L10" s="3583"/>
      <c r="M10" s="3583"/>
      <c r="N10" s="3584"/>
      <c r="O10" s="29" t="s">
        <v>30</v>
      </c>
      <c r="P10" s="6" t="s">
        <v>18</v>
      </c>
      <c r="R10" s="781"/>
    </row>
    <row r="11" spans="1:18" x14ac:dyDescent="0.2">
      <c r="A11" s="43" t="s">
        <v>31</v>
      </c>
      <c r="B11" s="3572"/>
      <c r="C11" s="3572"/>
      <c r="D11" s="3572"/>
      <c r="E11" s="3573"/>
      <c r="F11" s="3574"/>
      <c r="G11" s="3574"/>
      <c r="H11" s="33"/>
      <c r="I11" s="3575"/>
      <c r="J11" s="3576"/>
      <c r="K11" s="3585" t="str">
        <f>IF(KALKULATION!N448="","Regiestunde",KALKULATION!N448)</f>
        <v>Regiestunde</v>
      </c>
      <c r="L11" s="3586"/>
      <c r="M11" s="3586"/>
      <c r="N11" s="3586"/>
      <c r="O11" s="1034" t="str">
        <f>KALKULATION!P448</f>
        <v/>
      </c>
      <c r="P11" s="163">
        <v>1</v>
      </c>
      <c r="R11" s="781"/>
    </row>
    <row r="12" spans="1:18" x14ac:dyDescent="0.2">
      <c r="A12" s="43" t="s">
        <v>32</v>
      </c>
      <c r="B12" s="3572"/>
      <c r="C12" s="3572"/>
      <c r="D12" s="3572"/>
      <c r="E12" s="3573"/>
      <c r="F12" s="3574"/>
      <c r="G12" s="3574"/>
      <c r="H12" s="33"/>
      <c r="I12" s="3575"/>
      <c r="J12" s="3576"/>
      <c r="K12" s="3577" t="str">
        <f>IF(AND(_Anzeige_Prozent=_Ja,KALKULATION!N452&lt;&gt;""),"Erfasst sind Verr.std. für: "&amp;KALKULATION!N452,"")</f>
        <v/>
      </c>
      <c r="L12" s="3578"/>
      <c r="M12" s="3578"/>
      <c r="N12" s="3579"/>
      <c r="O12" s="556" t="str">
        <f>IF(K12=KALKULATION!B$449,TEXT(KALKULATION!E$449,"0%"),IF(K12=KALKULATION!B$453,TEXT(KALKULATION!E$453,"0,00€"),""))</f>
        <v/>
      </c>
      <c r="P12" s="557"/>
      <c r="R12" s="781"/>
    </row>
    <row r="13" spans="1:18" x14ac:dyDescent="0.2">
      <c r="A13" s="43" t="s">
        <v>33</v>
      </c>
      <c r="B13" s="3572"/>
      <c r="C13" s="3572"/>
      <c r="D13" s="3572"/>
      <c r="E13" s="3573"/>
      <c r="F13" s="3574"/>
      <c r="G13" s="3574"/>
      <c r="H13" s="33"/>
      <c r="I13" s="3575"/>
      <c r="J13" s="3576"/>
      <c r="K13" s="3577"/>
      <c r="L13" s="3578"/>
      <c r="M13" s="3578"/>
      <c r="N13" s="3579"/>
      <c r="O13" s="556" t="str">
        <f>IF(K13=KALKULATION!B$449,TEXT(KALKULATION!E$449,"0%"),IF(K13=KALKULATION!B$453,TEXT(KALKULATION!E$453,"0,00€"),""))</f>
        <v/>
      </c>
      <c r="P13" s="557"/>
      <c r="R13" s="781"/>
    </row>
    <row r="14" spans="1:18" x14ac:dyDescent="0.2">
      <c r="A14" s="43" t="s">
        <v>34</v>
      </c>
      <c r="B14" s="3572"/>
      <c r="C14" s="3572"/>
      <c r="D14" s="3572"/>
      <c r="E14" s="3573"/>
      <c r="F14" s="3574"/>
      <c r="G14" s="3574"/>
      <c r="H14" s="33"/>
      <c r="I14" s="3575"/>
      <c r="J14" s="3576"/>
      <c r="K14" s="3577"/>
      <c r="L14" s="3578"/>
      <c r="M14" s="3578"/>
      <c r="N14" s="3579"/>
      <c r="O14" s="34"/>
      <c r="P14" s="35"/>
      <c r="R14" s="781"/>
    </row>
    <row r="15" spans="1:18" x14ac:dyDescent="0.2">
      <c r="A15" s="43" t="s">
        <v>35</v>
      </c>
      <c r="B15" s="3572"/>
      <c r="C15" s="3572"/>
      <c r="D15" s="3572"/>
      <c r="E15" s="3573"/>
      <c r="F15" s="3574"/>
      <c r="G15" s="3574"/>
      <c r="H15" s="33"/>
      <c r="I15" s="3575"/>
      <c r="J15" s="3576"/>
      <c r="K15" s="3572"/>
      <c r="L15" s="3572"/>
      <c r="M15" s="3572"/>
      <c r="N15" s="3573"/>
      <c r="O15" s="34"/>
      <c r="P15" s="35"/>
      <c r="R15" s="781"/>
    </row>
    <row r="16" spans="1:18" x14ac:dyDescent="0.2">
      <c r="A16" s="43" t="s">
        <v>36</v>
      </c>
      <c r="B16" s="3572"/>
      <c r="C16" s="3572"/>
      <c r="D16" s="3572"/>
      <c r="E16" s="3573"/>
      <c r="F16" s="3574"/>
      <c r="G16" s="3574"/>
      <c r="H16" s="33"/>
      <c r="I16" s="3575"/>
      <c r="J16" s="3576"/>
      <c r="K16" s="3577"/>
      <c r="L16" s="3578"/>
      <c r="M16" s="3578"/>
      <c r="N16" s="3579"/>
      <c r="O16" s="36"/>
      <c r="P16" s="37"/>
      <c r="R16" s="781"/>
    </row>
    <row r="17" spans="1:18" x14ac:dyDescent="0.2">
      <c r="A17" s="43" t="s">
        <v>37</v>
      </c>
      <c r="B17" s="3572"/>
      <c r="C17" s="3572"/>
      <c r="D17" s="3572"/>
      <c r="E17" s="3573"/>
      <c r="F17" s="3574"/>
      <c r="G17" s="3574"/>
      <c r="H17" s="33"/>
      <c r="I17" s="3575"/>
      <c r="J17" s="3576"/>
      <c r="K17" s="3577"/>
      <c r="L17" s="3578"/>
      <c r="M17" s="3578"/>
      <c r="N17" s="3579"/>
      <c r="O17" s="36"/>
      <c r="P17" s="37"/>
      <c r="R17" s="781"/>
    </row>
    <row r="18" spans="1:18" ht="15.75" thickBot="1" x14ac:dyDescent="0.25">
      <c r="A18" s="43" t="s">
        <v>38</v>
      </c>
      <c r="B18" s="3565"/>
      <c r="C18" s="3566"/>
      <c r="D18" s="3566"/>
      <c r="E18" s="3567"/>
      <c r="F18" s="3568"/>
      <c r="G18" s="3568"/>
      <c r="H18" s="38"/>
      <c r="I18" s="3569"/>
      <c r="J18" s="3570"/>
      <c r="K18" s="3580"/>
      <c r="L18" s="3581"/>
      <c r="M18" s="3581"/>
      <c r="N18" s="3582"/>
      <c r="O18" s="39"/>
      <c r="P18" s="40"/>
      <c r="R18" s="781"/>
    </row>
    <row r="19" spans="1:18" x14ac:dyDescent="0.2">
      <c r="A19" s="43">
        <v>2</v>
      </c>
      <c r="B19" s="1169" t="s">
        <v>39</v>
      </c>
      <c r="C19" s="1170"/>
      <c r="D19" s="1171"/>
      <c r="E19" s="1171"/>
      <c r="F19" s="1171"/>
      <c r="G19" s="1171"/>
      <c r="H19" s="1167">
        <f>SUM(H10:H18)</f>
        <v>1</v>
      </c>
      <c r="I19" s="3376">
        <f ca="1">IF(AND(_OK?="OK!",_OK_KV?="OK_KV!"),SUM(I10:J18),KALKULATION!G422)</f>
        <v>22</v>
      </c>
      <c r="J19" s="3377"/>
      <c r="K19" s="3571" t="s">
        <v>143</v>
      </c>
      <c r="L19" s="3571"/>
      <c r="M19" s="3571"/>
      <c r="N19" s="3571"/>
      <c r="O19" s="3571"/>
      <c r="P19" s="1173">
        <v>1</v>
      </c>
      <c r="R19" s="781"/>
    </row>
    <row r="20" spans="1:18" x14ac:dyDescent="0.2">
      <c r="A20" s="43"/>
      <c r="B20" s="3440"/>
      <c r="C20" s="3440"/>
      <c r="D20" s="3440"/>
      <c r="E20" s="3440"/>
      <c r="F20" s="3440"/>
      <c r="G20" s="3440"/>
      <c r="H20" s="3440"/>
      <c r="I20" s="3440"/>
      <c r="J20" s="3440"/>
      <c r="K20" s="3440"/>
      <c r="L20" s="2727"/>
      <c r="M20" s="3433" t="s">
        <v>6</v>
      </c>
      <c r="N20" s="3434"/>
      <c r="O20" s="3435" t="s">
        <v>7</v>
      </c>
      <c r="P20" s="3434"/>
      <c r="R20" s="781"/>
    </row>
    <row r="21" spans="1:18" x14ac:dyDescent="0.2">
      <c r="A21" s="43">
        <v>3</v>
      </c>
      <c r="B21" s="144" t="s">
        <v>39</v>
      </c>
      <c r="C21" s="145"/>
      <c r="D21" s="145"/>
      <c r="E21" s="145"/>
      <c r="F21" s="145"/>
      <c r="G21" s="145"/>
      <c r="H21" s="3563"/>
      <c r="I21" s="3563"/>
      <c r="J21" s="3563"/>
      <c r="K21" s="3563"/>
      <c r="L21" s="3563"/>
      <c r="M21" s="3563"/>
      <c r="N21" s="3564"/>
      <c r="O21" s="3436">
        <f ca="1">I19/H19</f>
        <v>22</v>
      </c>
      <c r="P21" s="3437"/>
      <c r="R21" s="781"/>
    </row>
    <row r="22" spans="1:18" ht="15.75" thickBot="1" x14ac:dyDescent="0.25">
      <c r="A22" s="43">
        <v>4</v>
      </c>
      <c r="B22" s="3442" t="s">
        <v>40</v>
      </c>
      <c r="C22" s="3443"/>
      <c r="D22" s="3443"/>
      <c r="E22" s="3443"/>
      <c r="F22" s="3443"/>
      <c r="G22" s="3443"/>
      <c r="H22" s="3450" t="s">
        <v>41</v>
      </c>
      <c r="I22" s="3450"/>
      <c r="J22" s="3451"/>
      <c r="K22" s="3470">
        <f ca="1">KALKULATION!G434</f>
        <v>0</v>
      </c>
      <c r="L22" s="3471"/>
      <c r="M22" s="3444"/>
      <c r="N22" s="3445"/>
      <c r="O22" s="3438">
        <f ca="1">K22*O21</f>
        <v>0</v>
      </c>
      <c r="P22" s="3439"/>
      <c r="R22" s="781"/>
    </row>
    <row r="23" spans="1:18" x14ac:dyDescent="0.2">
      <c r="A23" s="43">
        <v>5</v>
      </c>
      <c r="B23" s="3459" t="s">
        <v>142</v>
      </c>
      <c r="C23" s="3460"/>
      <c r="D23" s="3460"/>
      <c r="E23" s="3460"/>
      <c r="F23" s="3460"/>
      <c r="G23" s="3460"/>
      <c r="H23" s="3531" t="s">
        <v>180</v>
      </c>
      <c r="I23" s="3453"/>
      <c r="J23" s="3453"/>
      <c r="K23" s="3453"/>
      <c r="L23" s="3453"/>
      <c r="M23" s="3453"/>
      <c r="N23" s="147"/>
      <c r="O23" s="3396">
        <f ca="1">SUM(O21:O22)</f>
        <v>22</v>
      </c>
      <c r="P23" s="3397"/>
      <c r="R23" s="781"/>
    </row>
    <row r="24" spans="1:18" x14ac:dyDescent="0.2">
      <c r="A24" s="43">
        <v>6</v>
      </c>
      <c r="B24" s="3375" t="s">
        <v>109</v>
      </c>
      <c r="C24" s="3375"/>
      <c r="D24" s="3375"/>
      <c r="E24" s="3375"/>
      <c r="F24" s="3375"/>
      <c r="G24" s="3375"/>
      <c r="H24" s="3455" t="s">
        <v>87</v>
      </c>
      <c r="I24" s="3455"/>
      <c r="J24" s="3456"/>
      <c r="K24" s="3429">
        <f ca="1">KALKULATION!H434</f>
        <v>0.14949999999999999</v>
      </c>
      <c r="L24" s="3430"/>
      <c r="M24" s="3457"/>
      <c r="N24" s="3458"/>
      <c r="O24" s="3382">
        <f ca="1">K24*O23</f>
        <v>3.29</v>
      </c>
      <c r="P24" s="3385"/>
      <c r="R24" s="781"/>
    </row>
    <row r="25" spans="1:18" x14ac:dyDescent="0.2">
      <c r="A25" s="43">
        <v>7</v>
      </c>
      <c r="B25" s="3375" t="s">
        <v>136</v>
      </c>
      <c r="C25" s="3375"/>
      <c r="D25" s="3375"/>
      <c r="E25" s="3375"/>
      <c r="F25" s="3375"/>
      <c r="G25" s="3375"/>
      <c r="H25" s="3455" t="s">
        <v>87</v>
      </c>
      <c r="I25" s="3455"/>
      <c r="J25" s="3456"/>
      <c r="K25" s="3431">
        <f>KALKULATION!H442</f>
        <v>0</v>
      </c>
      <c r="L25" s="3432"/>
      <c r="M25" s="3457"/>
      <c r="N25" s="3458"/>
      <c r="O25" s="3382">
        <f ca="1">K25*O23</f>
        <v>0</v>
      </c>
      <c r="P25" s="3385"/>
      <c r="R25" s="781"/>
    </row>
    <row r="26" spans="1:18" x14ac:dyDescent="0.2">
      <c r="A26" s="43">
        <v>8</v>
      </c>
      <c r="B26" s="3375" t="s">
        <v>67</v>
      </c>
      <c r="C26" s="3375"/>
      <c r="D26" s="3375"/>
      <c r="E26" s="3375"/>
      <c r="F26" s="3375"/>
      <c r="G26" s="3375"/>
      <c r="H26" s="3455" t="s">
        <v>87</v>
      </c>
      <c r="I26" s="3455"/>
      <c r="J26" s="3456"/>
      <c r="K26" s="3431">
        <f>IF(KALKULATION!H454="",0,KALKULATION!H454)</f>
        <v>0</v>
      </c>
      <c r="L26" s="3432"/>
      <c r="M26" s="3457"/>
      <c r="N26" s="3458"/>
      <c r="O26" s="3382">
        <f ca="1">K26*O23</f>
        <v>0</v>
      </c>
      <c r="P26" s="3385"/>
      <c r="R26" s="781"/>
    </row>
    <row r="27" spans="1:18" ht="15.75" thickBot="1" x14ac:dyDescent="0.25">
      <c r="A27" s="43">
        <v>9</v>
      </c>
      <c r="B27" s="3447" t="s">
        <v>103</v>
      </c>
      <c r="C27" s="3448"/>
      <c r="D27" s="3448"/>
      <c r="E27" s="3448"/>
      <c r="F27" s="3448"/>
      <c r="G27" s="3448"/>
      <c r="H27" s="3448"/>
      <c r="I27" s="3448"/>
      <c r="J27" s="3448"/>
      <c r="K27" s="3448"/>
      <c r="L27" s="3448"/>
      <c r="M27" s="3448"/>
      <c r="N27" s="3449"/>
      <c r="O27" s="3394">
        <f ca="1">KALKULATION!H458</f>
        <v>1.4</v>
      </c>
      <c r="P27" s="3428"/>
      <c r="R27" s="781"/>
    </row>
    <row r="28" spans="1:18" x14ac:dyDescent="0.2">
      <c r="A28" s="43">
        <v>10</v>
      </c>
      <c r="B28" s="3459" t="s">
        <v>42</v>
      </c>
      <c r="C28" s="3460"/>
      <c r="D28" s="3460"/>
      <c r="E28" s="3460"/>
      <c r="F28" s="3460"/>
      <c r="G28" s="3460"/>
      <c r="H28" s="3531" t="s">
        <v>183</v>
      </c>
      <c r="I28" s="3453"/>
      <c r="J28" s="3453"/>
      <c r="K28" s="3453"/>
      <c r="L28" s="3453"/>
      <c r="M28" s="3453"/>
      <c r="N28" s="146"/>
      <c r="O28" s="3396">
        <f ca="1">SUM(O23:P27)</f>
        <v>26.69</v>
      </c>
      <c r="P28" s="3397"/>
      <c r="R28" s="781"/>
    </row>
    <row r="29" spans="1:18" x14ac:dyDescent="0.2">
      <c r="A29" s="43">
        <v>11</v>
      </c>
      <c r="B29" s="2280" t="s">
        <v>104</v>
      </c>
      <c r="C29" s="2280"/>
      <c r="D29" s="2280"/>
      <c r="E29" s="2280"/>
      <c r="F29" s="2280"/>
      <c r="G29" s="2280"/>
      <c r="H29" s="2280"/>
      <c r="I29" s="2280"/>
      <c r="J29" s="2280"/>
      <c r="K29" s="2280"/>
      <c r="L29" s="2280"/>
      <c r="M29" s="2280"/>
      <c r="N29" s="2280"/>
      <c r="O29" s="3382">
        <f ca="1">KALKULATION!H459</f>
        <v>1.6</v>
      </c>
      <c r="P29" s="3385"/>
      <c r="R29" s="781"/>
    </row>
    <row r="30" spans="1:18" x14ac:dyDescent="0.2">
      <c r="A30" s="43">
        <v>12</v>
      </c>
      <c r="B30" s="3375" t="s">
        <v>43</v>
      </c>
      <c r="C30" s="3375"/>
      <c r="D30" s="3375"/>
      <c r="E30" s="3375"/>
      <c r="F30" s="3375"/>
      <c r="G30" s="3375"/>
      <c r="H30" s="3455" t="s">
        <v>44</v>
      </c>
      <c r="I30" s="3455"/>
      <c r="J30" s="3456"/>
      <c r="K30" s="3431">
        <f ca="1">KALKULATION!H460</f>
        <v>0.28999999999999998</v>
      </c>
      <c r="L30" s="3432"/>
      <c r="M30" s="3457"/>
      <c r="N30" s="3458"/>
      <c r="O30" s="3382">
        <f ca="1">K30*O28</f>
        <v>7.74</v>
      </c>
      <c r="P30" s="3385"/>
      <c r="R30" s="781"/>
    </row>
    <row r="31" spans="1:18" x14ac:dyDescent="0.2">
      <c r="A31" s="43">
        <v>13</v>
      </c>
      <c r="B31" s="3375" t="s">
        <v>45</v>
      </c>
      <c r="C31" s="3375"/>
      <c r="D31" s="3375"/>
      <c r="E31" s="3375"/>
      <c r="F31" s="3375"/>
      <c r="G31" s="3375"/>
      <c r="H31" s="3455" t="s">
        <v>44</v>
      </c>
      <c r="I31" s="3455"/>
      <c r="J31" s="3456"/>
      <c r="K31" s="3431">
        <f ca="1">KALKULATION!H461</f>
        <v>0.77</v>
      </c>
      <c r="L31" s="3432"/>
      <c r="M31" s="3457"/>
      <c r="N31" s="3458"/>
      <c r="O31" s="3382">
        <f ca="1">K31*O28</f>
        <v>20.55</v>
      </c>
      <c r="P31" s="3385"/>
      <c r="R31" s="781"/>
    </row>
    <row r="32" spans="1:18" ht="15.75" thickBot="1" x14ac:dyDescent="0.25">
      <c r="A32" s="43">
        <v>14</v>
      </c>
      <c r="B32" s="3473" t="s">
        <v>46</v>
      </c>
      <c r="C32" s="3474"/>
      <c r="D32" s="3474"/>
      <c r="E32" s="3474"/>
      <c r="F32" s="3474"/>
      <c r="G32" s="3474"/>
      <c r="H32" s="3475" t="s">
        <v>44</v>
      </c>
      <c r="I32" s="3475"/>
      <c r="J32" s="3476"/>
      <c r="K32" s="3470">
        <f ca="1">O32/O28</f>
        <v>2.5999999999999999E-3</v>
      </c>
      <c r="L32" s="3471"/>
      <c r="M32" s="3497"/>
      <c r="N32" s="3498"/>
      <c r="O32" s="3394">
        <f ca="1">KALKULATION!H462</f>
        <v>7.0000000000000007E-2</v>
      </c>
      <c r="P32" s="3428"/>
      <c r="R32" s="781"/>
    </row>
    <row r="33" spans="1:19" x14ac:dyDescent="0.2">
      <c r="A33" s="43">
        <v>15</v>
      </c>
      <c r="B33" s="3459" t="s">
        <v>47</v>
      </c>
      <c r="C33" s="3460"/>
      <c r="D33" s="3460"/>
      <c r="E33" s="3460"/>
      <c r="F33" s="3460"/>
      <c r="G33" s="3460"/>
      <c r="H33" s="3531" t="s">
        <v>184</v>
      </c>
      <c r="I33" s="3453"/>
      <c r="J33" s="3453"/>
      <c r="K33" s="3453"/>
      <c r="L33" s="3453"/>
      <c r="M33" s="3453"/>
      <c r="N33" s="3453"/>
      <c r="O33" s="3396">
        <f ca="1">SUM(O28:P32)</f>
        <v>56.65</v>
      </c>
      <c r="P33" s="3397"/>
      <c r="R33" s="781"/>
    </row>
    <row r="34" spans="1:19" x14ac:dyDescent="0.2">
      <c r="A34" s="43">
        <v>16</v>
      </c>
      <c r="B34" s="3500" t="s">
        <v>48</v>
      </c>
      <c r="C34" s="3500"/>
      <c r="D34" s="3500"/>
      <c r="E34" s="3500"/>
      <c r="F34" s="3500"/>
      <c r="G34" s="3500"/>
      <c r="H34" s="3481" t="str">
        <f>IF(_Anzeige_Prozent=_Nein,"in % auf B15","in % auf B15 + in € = ∑")</f>
        <v>in % auf B15 + in € = ∑</v>
      </c>
      <c r="I34" s="3481"/>
      <c r="J34" s="3482"/>
      <c r="K34" s="3495">
        <f>IF(_Anzeige_Prozent=_Nein,KALKULATION!G463+KALKULATION!H463/O33,KALKULATION!G463)</f>
        <v>0.06</v>
      </c>
      <c r="L34" s="3496"/>
      <c r="M34" s="3487">
        <f ca="1">IF(_Anzeige_Prozent=_Nein,"",KALKULATION!H463)</f>
        <v>2.2599999999999998</v>
      </c>
      <c r="N34" s="3488"/>
      <c r="O34" s="3487">
        <f ca="1">SUM(KALKULATION!H463,KALKULATION!G463*O33)</f>
        <v>5.66</v>
      </c>
      <c r="P34" s="3488"/>
      <c r="R34" s="781"/>
    </row>
    <row r="35" spans="1:19" ht="24.4" customHeight="1" x14ac:dyDescent="0.2">
      <c r="A35" s="43">
        <v>17</v>
      </c>
      <c r="B35" s="3523" t="s">
        <v>89</v>
      </c>
      <c r="C35" s="3379"/>
      <c r="D35" s="3379"/>
      <c r="E35" s="3379"/>
      <c r="F35" s="3379"/>
      <c r="G35" s="3379"/>
      <c r="H35" s="3379"/>
      <c r="I35" s="3379"/>
      <c r="J35" s="3524"/>
      <c r="K35" s="3483" t="str">
        <f>IF(SUM(K36:L38)&lt;&gt;0,"Umlage in % (U%) auf B15","")</f>
        <v/>
      </c>
      <c r="L35" s="3484"/>
      <c r="M35" s="3483" t="str">
        <f>IF(SUM(K36:L38)&lt;&gt;0,"Umlage in €/Std (inkl % in €)","Umlage in €/Std)")</f>
        <v>Umlage in €/Std)</v>
      </c>
      <c r="N35" s="3484"/>
      <c r="O35" s="3539"/>
      <c r="P35" s="3540"/>
      <c r="R35" s="781"/>
    </row>
    <row r="36" spans="1:19" x14ac:dyDescent="0.2">
      <c r="A36" s="79" t="s">
        <v>49</v>
      </c>
      <c r="B36" s="3392" t="str">
        <f>IF(SUM(K36:N36)=0,"",KALKULATION!A466)</f>
        <v/>
      </c>
      <c r="C36" s="3393"/>
      <c r="D36" s="3393"/>
      <c r="E36" s="3393"/>
      <c r="F36" s="3393"/>
      <c r="G36" s="3393"/>
      <c r="H36" s="3393"/>
      <c r="I36" s="3393"/>
      <c r="J36" s="3446"/>
      <c r="K36" s="3537" t="str">
        <f>IF(KALKULATION!A466="","",IF(_Anzeige_Prozent=_Nein,"",KALKULATION!G466))</f>
        <v/>
      </c>
      <c r="L36" s="3538"/>
      <c r="M36" s="3532" t="str">
        <f>IF(KALKULATION!A466="","",SUM(KALKULATION!F466,KALKULATION!H466))</f>
        <v/>
      </c>
      <c r="N36" s="3533"/>
      <c r="O36" s="3541"/>
      <c r="P36" s="3542"/>
      <c r="R36" s="781"/>
      <c r="S36" s="767"/>
    </row>
    <row r="37" spans="1:19" x14ac:dyDescent="0.2">
      <c r="A37" s="79" t="s">
        <v>50</v>
      </c>
      <c r="B37" s="3380" t="str">
        <f>IF(SUM(K37:N37)=0,"",KALKULATION!A467)</f>
        <v/>
      </c>
      <c r="C37" s="3381"/>
      <c r="D37" s="3381"/>
      <c r="E37" s="3381"/>
      <c r="F37" s="3381"/>
      <c r="G37" s="3381"/>
      <c r="H37" s="3381"/>
      <c r="I37" s="3381"/>
      <c r="J37" s="3384"/>
      <c r="K37" s="3545" t="str">
        <f>IF(KALKULATION!A467="","",IF(_Anzeige_Prozent=_Nein,"",KALKULATION!G467))</f>
        <v/>
      </c>
      <c r="L37" s="3546"/>
      <c r="M37" s="3547" t="str">
        <f>IF(KALKULATION!A467="","",SUM(KALKULATION!F467,KALKULATION!H467))</f>
        <v/>
      </c>
      <c r="N37" s="3548"/>
      <c r="O37" s="3541"/>
      <c r="P37" s="3542"/>
      <c r="R37" s="781"/>
    </row>
    <row r="38" spans="1:19" ht="15.75" thickBot="1" x14ac:dyDescent="0.25">
      <c r="A38" s="79" t="s">
        <v>51</v>
      </c>
      <c r="B38" s="3386" t="str">
        <f>IF(SUM(K38:N38)=0,"",KALKULATION!A468)</f>
        <v/>
      </c>
      <c r="C38" s="3387"/>
      <c r="D38" s="3387"/>
      <c r="E38" s="3387"/>
      <c r="F38" s="3387"/>
      <c r="G38" s="3387"/>
      <c r="H38" s="3387"/>
      <c r="I38" s="3387"/>
      <c r="J38" s="3388"/>
      <c r="K38" s="3549" t="str">
        <f>IF(KALKULATION!A468="","",IF(_Anzeige_Prozent=_Nein,"",KALKULATION!G468))</f>
        <v/>
      </c>
      <c r="L38" s="3550"/>
      <c r="M38" s="3551" t="str">
        <f>IF(KALKULATION!A468="","",SUM(KALKULATION!F468,KALKULATION!H468))</f>
        <v/>
      </c>
      <c r="N38" s="3552"/>
      <c r="O38" s="3543"/>
      <c r="P38" s="3544"/>
      <c r="R38" s="781"/>
    </row>
    <row r="39" spans="1:19" x14ac:dyDescent="0.2">
      <c r="A39" s="43">
        <v>18</v>
      </c>
      <c r="B39" s="1152" t="s">
        <v>896</v>
      </c>
      <c r="C39" s="1153"/>
      <c r="D39" s="1153"/>
      <c r="E39" s="1153"/>
      <c r="F39" s="1154"/>
      <c r="G39" s="1154"/>
      <c r="H39" s="1155"/>
      <c r="I39" s="1156"/>
      <c r="J39" s="1156"/>
      <c r="K39" s="1156"/>
      <c r="L39" s="1157"/>
      <c r="M39" s="3534" t="str">
        <f>IF(SUM(M36:N38)&gt;0,SUM(M36:N38),"")</f>
        <v/>
      </c>
      <c r="N39" s="3535"/>
      <c r="O39" s="3536">
        <f ca="1">SUM(O33:P34)</f>
        <v>62.31</v>
      </c>
      <c r="P39" s="3535"/>
      <c r="R39" s="781"/>
    </row>
    <row r="40" spans="1:19" ht="27.95" customHeight="1" x14ac:dyDescent="0.2">
      <c r="A40" s="43">
        <v>19</v>
      </c>
      <c r="B40" s="3461" t="str">
        <f>KALKULATION!M302</f>
        <v>Personalkosten gesamt (Regie)</v>
      </c>
      <c r="C40" s="3462"/>
      <c r="D40" s="3462"/>
      <c r="E40" s="3462"/>
      <c r="F40" s="3462"/>
      <c r="G40" s="3462"/>
      <c r="H40" s="3462"/>
      <c r="I40" s="3462"/>
      <c r="J40" s="3463"/>
      <c r="K40" s="3472" t="s">
        <v>185</v>
      </c>
      <c r="L40" s="3044"/>
      <c r="M40" s="1164"/>
      <c r="N40" s="3559">
        <f ca="1">SUM(M39:P39)</f>
        <v>62.31</v>
      </c>
      <c r="O40" s="3559"/>
      <c r="P40" s="376"/>
      <c r="R40" s="781"/>
    </row>
    <row r="41" spans="1:19" hidden="1" x14ac:dyDescent="0.2">
      <c r="A41" s="43"/>
      <c r="B41" s="102" t="s">
        <v>55</v>
      </c>
      <c r="C41" s="4"/>
      <c r="D41" s="4"/>
      <c r="E41" s="4"/>
      <c r="F41" s="4"/>
      <c r="G41" s="4"/>
      <c r="H41" s="5"/>
      <c r="I41" s="1"/>
      <c r="K41" s="3"/>
      <c r="L41" s="3"/>
      <c r="M41" s="25"/>
      <c r="N41" s="26"/>
      <c r="O41" s="26"/>
      <c r="P41" s="27"/>
      <c r="R41" s="781"/>
    </row>
    <row r="42" spans="1:19" x14ac:dyDescent="0.2">
      <c r="A42" s="43"/>
      <c r="B42" s="3477" t="s">
        <v>54</v>
      </c>
      <c r="C42" s="3417"/>
      <c r="D42" s="3417"/>
      <c r="E42" s="3417"/>
      <c r="F42" s="3417"/>
      <c r="G42" s="3417"/>
      <c r="H42" s="3478"/>
      <c r="I42" s="3514" t="s">
        <v>52</v>
      </c>
      <c r="J42" s="3515"/>
      <c r="K42" s="3514" t="s">
        <v>53</v>
      </c>
      <c r="L42" s="3515"/>
      <c r="M42" s="3560"/>
      <c r="N42" s="3561"/>
      <c r="O42" s="3561"/>
      <c r="P42" s="3562"/>
      <c r="R42" s="781"/>
    </row>
    <row r="43" spans="1:19" ht="15.75" thickBot="1" x14ac:dyDescent="0.25">
      <c r="A43" s="43">
        <v>20</v>
      </c>
      <c r="B43" s="3473"/>
      <c r="C43" s="3474"/>
      <c r="D43" s="3474"/>
      <c r="E43" s="3474"/>
      <c r="F43" s="3474"/>
      <c r="G43" s="3474"/>
      <c r="H43" s="3479"/>
      <c r="I43" s="3516" t="str">
        <f>IF(M39="","",KALKULATION!H470)</f>
        <v/>
      </c>
      <c r="J43" s="3517"/>
      <c r="K43" s="3516">
        <f>KALKULATION!H473</f>
        <v>0.28999999999999998</v>
      </c>
      <c r="L43" s="3517"/>
      <c r="M43" s="3554" t="str">
        <f>IFERROR(I43*M39,"")</f>
        <v/>
      </c>
      <c r="N43" s="3555"/>
      <c r="O43" s="3554">
        <f ca="1">K43*O39</f>
        <v>18.07</v>
      </c>
      <c r="P43" s="3555"/>
      <c r="R43" s="781"/>
    </row>
    <row r="44" spans="1:19" x14ac:dyDescent="0.2">
      <c r="A44" s="43">
        <v>21</v>
      </c>
      <c r="B44" s="1152" t="s">
        <v>897</v>
      </c>
      <c r="C44" s="1158"/>
      <c r="D44" s="1158"/>
      <c r="E44" s="1158"/>
      <c r="F44" s="1158"/>
      <c r="G44" s="1158"/>
      <c r="H44" s="1158"/>
      <c r="I44" s="1156"/>
      <c r="J44" s="1156"/>
      <c r="K44" s="1156"/>
      <c r="L44" s="1157"/>
      <c r="M44" s="3372" t="str">
        <f>IFERROR(IF(M39="","",SUM(M39,M43)),"")</f>
        <v/>
      </c>
      <c r="N44" s="3373"/>
      <c r="O44" s="3372">
        <f ca="1">SUM(O39:P43)</f>
        <v>80.38</v>
      </c>
      <c r="P44" s="3373"/>
      <c r="R44" s="781"/>
    </row>
    <row r="45" spans="1:19" ht="27.95" customHeight="1" x14ac:dyDescent="0.2">
      <c r="A45" s="44">
        <v>22</v>
      </c>
      <c r="B45" s="3556" t="str">
        <f>KALKULATION!C475</f>
        <v>Regielohnpreis gesamt für [IIa.    Vorarbeiter]</v>
      </c>
      <c r="C45" s="3557"/>
      <c r="D45" s="3557"/>
      <c r="E45" s="3557"/>
      <c r="F45" s="3557"/>
      <c r="G45" s="3557"/>
      <c r="H45" s="3557"/>
      <c r="I45" s="3557"/>
      <c r="J45" s="3558"/>
      <c r="K45" s="3472" t="s">
        <v>186</v>
      </c>
      <c r="L45" s="3044"/>
      <c r="M45" s="1165"/>
      <c r="N45" s="3553">
        <f ca="1">IFERROR(SUM(M44:P44),"??")</f>
        <v>80.38</v>
      </c>
      <c r="O45" s="3553"/>
      <c r="P45" s="1166"/>
      <c r="R45" s="781"/>
    </row>
    <row r="46" spans="1:19" hidden="1" x14ac:dyDescent="0.2">
      <c r="A46" s="101"/>
      <c r="B46" s="102" t="s">
        <v>55</v>
      </c>
      <c r="C46" s="1"/>
      <c r="D46" s="1"/>
      <c r="E46" s="1"/>
      <c r="F46" s="1"/>
      <c r="G46" s="1"/>
      <c r="H46" s="1"/>
      <c r="I46" s="2"/>
      <c r="J46" s="23"/>
      <c r="K46" s="23"/>
      <c r="M46" s="22"/>
      <c r="N46" s="22"/>
      <c r="O46" s="21"/>
      <c r="R46" s="781"/>
    </row>
    <row r="47" spans="1:19" ht="55.9" customHeight="1" x14ac:dyDescent="0.2">
      <c r="A47" s="3485" t="str">
        <f>"Lizenziert für:
"&amp;'Lizenz u lies mich'!B32</f>
        <v>Lizenziert für:
Vers V4.0</v>
      </c>
      <c r="B47" s="3486"/>
      <c r="C47" s="3486"/>
      <c r="D47" s="3503" t="str">
        <f ca="1">' K3 PP'!D47</f>
        <v>Keine gültige Lizenz! Nur als Testversion nutzbar!</v>
      </c>
      <c r="E47" s="3503"/>
      <c r="F47" s="3503"/>
      <c r="G47" s="3503"/>
      <c r="H47" s="3504"/>
      <c r="I47" s="3502"/>
      <c r="J47" s="3502"/>
      <c r="K47" s="3502"/>
      <c r="L47" s="3502"/>
      <c r="M47" s="3502"/>
      <c r="N47" s="3501" t="s">
        <v>260</v>
      </c>
      <c r="O47" s="3412"/>
      <c r="P47" s="3413"/>
      <c r="R47" s="781"/>
    </row>
    <row r="48" spans="1:19" ht="10.15" customHeight="1" x14ac:dyDescent="0.2">
      <c r="A48" s="597"/>
      <c r="B48" s="597"/>
      <c r="C48" s="597"/>
      <c r="D48" s="597"/>
      <c r="E48" s="597"/>
      <c r="F48" s="597"/>
      <c r="G48" s="597"/>
      <c r="H48" s="597"/>
      <c r="I48" s="597"/>
      <c r="J48" s="597"/>
      <c r="K48" s="597"/>
      <c r="L48" s="597"/>
      <c r="M48" s="597"/>
      <c r="N48" s="597"/>
      <c r="O48" s="597"/>
      <c r="P48" s="597"/>
    </row>
  </sheetData>
  <sheetProtection password="B984" sheet="1" formatColumns="0" selectLockedCells="1"/>
  <mergeCells count="154">
    <mergeCell ref="A47:C47"/>
    <mergeCell ref="B1:E1"/>
    <mergeCell ref="A2:A8"/>
    <mergeCell ref="B2:E3"/>
    <mergeCell ref="F2:J3"/>
    <mergeCell ref="G1:P1"/>
    <mergeCell ref="B11:E11"/>
    <mergeCell ref="F11:G11"/>
    <mergeCell ref="I11:J11"/>
    <mergeCell ref="B12:E12"/>
    <mergeCell ref="F12:G12"/>
    <mergeCell ref="I12:J12"/>
    <mergeCell ref="B9:E9"/>
    <mergeCell ref="F9:G9"/>
    <mergeCell ref="I9:J9"/>
    <mergeCell ref="K9:O9"/>
    <mergeCell ref="B10:E10"/>
    <mergeCell ref="F10:G10"/>
    <mergeCell ref="I10:J10"/>
    <mergeCell ref="K2:P2"/>
    <mergeCell ref="C4:E4"/>
    <mergeCell ref="G4:J4"/>
    <mergeCell ref="B7:E7"/>
    <mergeCell ref="K7:P7"/>
    <mergeCell ref="M8:N8"/>
    <mergeCell ref="O8:P8"/>
    <mergeCell ref="K6:L6"/>
    <mergeCell ref="M6:P6"/>
    <mergeCell ref="B8:L8"/>
    <mergeCell ref="K3:P3"/>
    <mergeCell ref="B6:E6"/>
    <mergeCell ref="F5:J5"/>
    <mergeCell ref="B5:E5"/>
    <mergeCell ref="F6:J6"/>
    <mergeCell ref="F7:J7"/>
    <mergeCell ref="K4:P4"/>
    <mergeCell ref="K10:N10"/>
    <mergeCell ref="K11:N11"/>
    <mergeCell ref="B15:E15"/>
    <mergeCell ref="F15:G15"/>
    <mergeCell ref="I15:J15"/>
    <mergeCell ref="K15:N15"/>
    <mergeCell ref="B13:E13"/>
    <mergeCell ref="F13:G13"/>
    <mergeCell ref="I13:J13"/>
    <mergeCell ref="B14:E14"/>
    <mergeCell ref="F14:G14"/>
    <mergeCell ref="I14:J14"/>
    <mergeCell ref="K12:N14"/>
    <mergeCell ref="B18:E18"/>
    <mergeCell ref="F18:G18"/>
    <mergeCell ref="I18:J18"/>
    <mergeCell ref="I19:J19"/>
    <mergeCell ref="K19:O19"/>
    <mergeCell ref="B16:E16"/>
    <mergeCell ref="F16:G16"/>
    <mergeCell ref="I16:J16"/>
    <mergeCell ref="B17:E17"/>
    <mergeCell ref="F17:G17"/>
    <mergeCell ref="I17:J17"/>
    <mergeCell ref="K16:N18"/>
    <mergeCell ref="B20:L20"/>
    <mergeCell ref="M20:N20"/>
    <mergeCell ref="O20:P20"/>
    <mergeCell ref="H21:N21"/>
    <mergeCell ref="O21:P21"/>
    <mergeCell ref="B22:G22"/>
    <mergeCell ref="H22:J22"/>
    <mergeCell ref="K22:L22"/>
    <mergeCell ref="M22:N22"/>
    <mergeCell ref="O22:P22"/>
    <mergeCell ref="B30:G30"/>
    <mergeCell ref="H30:J30"/>
    <mergeCell ref="K30:L30"/>
    <mergeCell ref="M30:N30"/>
    <mergeCell ref="O30:P30"/>
    <mergeCell ref="B23:G23"/>
    <mergeCell ref="O23:P23"/>
    <mergeCell ref="H24:J24"/>
    <mergeCell ref="K24:L24"/>
    <mergeCell ref="M24:N24"/>
    <mergeCell ref="O24:P24"/>
    <mergeCell ref="B24:G24"/>
    <mergeCell ref="H23:M23"/>
    <mergeCell ref="O27:P27"/>
    <mergeCell ref="B28:G28"/>
    <mergeCell ref="H28:M28"/>
    <mergeCell ref="O28:P28"/>
    <mergeCell ref="B29:N29"/>
    <mergeCell ref="O29:P29"/>
    <mergeCell ref="H25:J25"/>
    <mergeCell ref="K25:L25"/>
    <mergeCell ref="M25:N25"/>
    <mergeCell ref="O25:P25"/>
    <mergeCell ref="H26:J26"/>
    <mergeCell ref="K26:L26"/>
    <mergeCell ref="M26:N26"/>
    <mergeCell ref="O26:P26"/>
    <mergeCell ref="B27:N27"/>
    <mergeCell ref="B25:G25"/>
    <mergeCell ref="B26:G26"/>
    <mergeCell ref="K45:L45"/>
    <mergeCell ref="N45:O45"/>
    <mergeCell ref="B40:J40"/>
    <mergeCell ref="I43:J43"/>
    <mergeCell ref="K43:L43"/>
    <mergeCell ref="M43:N43"/>
    <mergeCell ref="O43:P43"/>
    <mergeCell ref="M44:N44"/>
    <mergeCell ref="O44:P44"/>
    <mergeCell ref="B42:H43"/>
    <mergeCell ref="B45:J45"/>
    <mergeCell ref="K40:L40"/>
    <mergeCell ref="N40:O40"/>
    <mergeCell ref="I42:J42"/>
    <mergeCell ref="K42:L42"/>
    <mergeCell ref="M42:P42"/>
    <mergeCell ref="O32:P32"/>
    <mergeCell ref="B33:G33"/>
    <mergeCell ref="N47:P47"/>
    <mergeCell ref="I47:M47"/>
    <mergeCell ref="D47:H47"/>
    <mergeCell ref="K5:P5"/>
    <mergeCell ref="K36:L36"/>
    <mergeCell ref="M34:N34"/>
    <mergeCell ref="M35:N35"/>
    <mergeCell ref="O35:P38"/>
    <mergeCell ref="B36:J36"/>
    <mergeCell ref="B37:J37"/>
    <mergeCell ref="K37:L37"/>
    <mergeCell ref="M37:N37"/>
    <mergeCell ref="B38:J38"/>
    <mergeCell ref="K38:L38"/>
    <mergeCell ref="M38:N38"/>
    <mergeCell ref="B32:G32"/>
    <mergeCell ref="H32:J32"/>
    <mergeCell ref="K32:L32"/>
    <mergeCell ref="M32:N32"/>
    <mergeCell ref="B31:G31"/>
    <mergeCell ref="H31:J31"/>
    <mergeCell ref="K31:L31"/>
    <mergeCell ref="M31:N31"/>
    <mergeCell ref="O31:P31"/>
    <mergeCell ref="H33:N33"/>
    <mergeCell ref="O33:P33"/>
    <mergeCell ref="M36:N36"/>
    <mergeCell ref="M39:N39"/>
    <mergeCell ref="B35:J35"/>
    <mergeCell ref="K35:L35"/>
    <mergeCell ref="B34:G34"/>
    <mergeCell ref="H34:J34"/>
    <mergeCell ref="K34:L34"/>
    <mergeCell ref="O39:P39"/>
    <mergeCell ref="O34:P34"/>
  </mergeCells>
  <conditionalFormatting sqref="B5">
    <cfRule type="expression" dxfId="86" priority="16">
      <formula>$E$5="X"</formula>
    </cfRule>
  </conditionalFormatting>
  <conditionalFormatting sqref="B6">
    <cfRule type="expression" dxfId="85" priority="15">
      <formula>$E$6="X"</formula>
    </cfRule>
  </conditionalFormatting>
  <conditionalFormatting sqref="B36:J38">
    <cfRule type="expression" dxfId="84" priority="11">
      <formula>$B36=0</formula>
    </cfRule>
  </conditionalFormatting>
  <conditionalFormatting sqref="F5">
    <cfRule type="expression" dxfId="83" priority="14">
      <formula>$J$5="X"</formula>
    </cfRule>
  </conditionalFormatting>
  <conditionalFormatting sqref="F6">
    <cfRule type="expression" dxfId="82" priority="13">
      <formula>$J$6="X"</formula>
    </cfRule>
  </conditionalFormatting>
  <conditionalFormatting sqref="I19:J19 O21:P21 D47:H47">
    <cfRule type="expression" dxfId="80" priority="10">
      <formula>_OK?&lt;&gt;"OK!"</formula>
    </cfRule>
  </conditionalFormatting>
  <conditionalFormatting sqref="K12 O12:P13">
    <cfRule type="uniqueValues" dxfId="79" priority="4"/>
  </conditionalFormatting>
  <conditionalFormatting sqref="K16">
    <cfRule type="uniqueValues" dxfId="78" priority="2"/>
  </conditionalFormatting>
  <conditionalFormatting sqref="K36:N38">
    <cfRule type="cellIs" dxfId="75" priority="1" operator="equal">
      <formula>0</formula>
    </cfRule>
  </conditionalFormatting>
  <conditionalFormatting sqref="N40:O40 N45:O45 K3:P5">
    <cfRule type="expression" dxfId="74" priority="12">
      <formula>OR(_OK?&lt;&gt;"OK!",_OK_KV?&lt;&gt;"OK_KV!")</formula>
    </cfRule>
  </conditionalFormatting>
  <conditionalFormatting sqref="N40:O40 N45:O45">
    <cfRule type="expression" dxfId="73" priority="9">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ignoredErrors>
    <ignoredError sqref="O23" 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8" id="{CB0A6BD6-5C0C-45C0-B045-08B67D4F4298}">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6" id="{30C53637-5740-4B34-8F66-BE402E719454}">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5" id="{612C2067-269D-4C0D-B2C0-968E7FE15633}">
            <xm:f>KALKULATION!$F$351="Nein"</xm:f>
            <x14:dxf>
              <font>
                <color theme="0"/>
              </font>
              <border>
                <left style="thin">
                  <color theme="0"/>
                </left>
                <vertical/>
                <horizontal/>
              </border>
            </x14:dxf>
          </x14:cfRule>
          <xm:sqref>K35:L38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8 I m O T 5 x u B Y G n A A A A + Q A A A B I A H A B D b 2 5 m a W c v U G F j a 2 F n Z S 5 4 b W w g o h g A K K A U A A A A A A A A A A A A A A A A A A A A A A A A A A A A h Y / N C o J A G E V f R W b v / E l R 8 j k S b R O C I t r K O O m Q j u G M j e / W o k f q F R L K a t f y X s 6 F c x + 3 O 6 R D U w d X 1 V n d m g Q x T F G g j G w L b c o E 9 e 4 U L l A q Y J v L c 1 6 q Y I S N j Q e r E 1 Q 5 d 4 k J 8 d 5 j H + G 2 K w m n l J F j t t n J S j V 5 q I 1 1 u Z E K f V b F / x U S c H j J C I 7 n D M / Y k m M W U Q Z k 6 i H T 5 s v w U R l T I D 8 l r P v a 9 Z 0 S h Q p X e y B T B P K + I Z 5 Q S w M E F A A C A A g A 8 I m O T 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P C J j k 8 o i k e 4 D g A A A B E A A A A T A B w A R m 9 y b X V s Y X M v U 2 V j d G l v b j E u b S C i G A A o o B Q A A A A A A A A A A A A A A A A A A A A A A A A A A A A r T k 0 u y c z P U w i G 0 I b W A F B L A Q I t A B Q A A g A I A P C J j k + c b g W B p w A A A P k A A A A S A A A A A A A A A A A A A A A A A A A A A A B D b 2 5 m a W c v U G F j a 2 F n Z S 5 4 b W x Q S w E C L Q A U A A I A C A D w i Y 5 P D 8 r p q 6 Q A A A D p A A A A E w A A A A A A A A A A A A A A A A D z A A A A W 0 N v b n R l b n R f V H l w Z X N d L n h t b F B L A Q I t A B Q A A g A I A P C J j k 8 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d V y F W 7 o Z l Q o O Z n B d L R x u q A A A A A A I A A A A A A A N m A A D A A A A A E A A A A O D M 5 N I s F B l L 7 v e u W P m h Q P o A A A A A B I A A A K A A A A A Q A A A A E L m p D r 7 x L d T 2 Q Y b + a 3 E j n l A A A A C B l w M r C o 1 t b U x p G G i p 6 f p 6 D L w n W p z Y C t G i 4 z E Z z n S + u v H Z P V L L X X 1 j L O b / y k r M W R s A C 5 2 e M b 4 v 6 g 3 T z p i P A 2 7 3 Q q l 2 R u Q i y 2 B x D q v s k u C z L h Q A A A C f + 9 4 c h J s o i + b R 8 H B 2 G S G / r F N E 4 w = = < / D a t a M a s h u p > 
</file>

<file path=customXml/itemProps1.xml><?xml version="1.0" encoding="utf-8"?>
<ds:datastoreItem xmlns:ds="http://schemas.openxmlformats.org/officeDocument/2006/customXml" ds:itemID="{B2D5EEA0-35C9-4959-AD19-0509F5C81D8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39</vt:i4>
      </vt:variant>
    </vt:vector>
  </HeadingPairs>
  <TitlesOfParts>
    <vt:vector size="54" baseType="lpstr">
      <vt:lpstr>Lizenz u lies mich</vt:lpstr>
      <vt:lpstr>L-Rechner</vt:lpstr>
      <vt:lpstr>Stammdaten</vt:lpstr>
      <vt:lpstr>KALKULATION</vt:lpstr>
      <vt:lpstr>Report</vt:lpstr>
      <vt:lpstr>K2 GZ</vt:lpstr>
      <vt:lpstr>K2a Z f ...</vt:lpstr>
      <vt:lpstr> K3 PP</vt:lpstr>
      <vt:lpstr> K3 Regie1</vt:lpstr>
      <vt:lpstr> K3 Regie2</vt:lpstr>
      <vt:lpstr> K3 Regie3</vt:lpstr>
      <vt:lpstr> K3 Regie4</vt:lpstr>
      <vt:lpstr> K3 Regie5</vt:lpstr>
      <vt:lpstr> K3 Regie6</vt:lpstr>
      <vt:lpstr>TEXT</vt:lpstr>
      <vt:lpstr>_Anzeige_Prozent</vt:lpstr>
      <vt:lpstr>_FELD_REGIE</vt:lpstr>
      <vt:lpstr>_Ja</vt:lpstr>
      <vt:lpstr>_KV_AKV_Entg.</vt:lpstr>
      <vt:lpstr>_KV_Entgelt</vt:lpstr>
      <vt:lpstr>_Nein</vt:lpstr>
      <vt:lpstr>_OK?</vt:lpstr>
      <vt:lpstr>_OK_KV?</vt:lpstr>
      <vt:lpstr>_ProdPers</vt:lpstr>
      <vt:lpstr>_Test</vt:lpstr>
      <vt:lpstr>_Verband</vt:lpstr>
      <vt:lpstr>_Verband_KollV2</vt:lpstr>
      <vt:lpstr>_Verband_KollV3</vt:lpstr>
      <vt:lpstr>_Verband_KollV4</vt:lpstr>
      <vt:lpstr>_Verband_KollV5</vt:lpstr>
      <vt:lpstr>AufzahlungsSTD</vt:lpstr>
      <vt:lpstr>AufzahlungsStdEURO</vt:lpstr>
      <vt:lpstr>DD_Aufrunden</vt:lpstr>
      <vt:lpstr>DD_JN</vt:lpstr>
      <vt:lpstr>DD_KV_AKV</vt:lpstr>
      <vt:lpstr>DienstreiseSTD</vt:lpstr>
      <vt:lpstr>DienstreiseTAG</vt:lpstr>
      <vt:lpstr>DienstreiseWOCHE</vt:lpstr>
      <vt:lpstr>' K3 PP'!Druckbereich</vt:lpstr>
      <vt:lpstr>' K3 Regie1'!Druckbereich</vt:lpstr>
      <vt:lpstr>' K3 Regie2'!Druckbereich</vt:lpstr>
      <vt:lpstr>' K3 Regie3'!Druckbereich</vt:lpstr>
      <vt:lpstr>' K3 Regie4'!Druckbereich</vt:lpstr>
      <vt:lpstr>' K3 Regie5'!Druckbereich</vt:lpstr>
      <vt:lpstr>' K3 Regie6'!Druckbereich</vt:lpstr>
      <vt:lpstr>'K2 GZ'!Druckbereich</vt:lpstr>
      <vt:lpstr>'K2a Z f ...'!Druckbereich</vt:lpstr>
      <vt:lpstr>KALKULATION!Druckbereich</vt:lpstr>
      <vt:lpstr>Report!Druckbereich</vt:lpstr>
      <vt:lpstr>Stammdaten!Druckbereich</vt:lpstr>
      <vt:lpstr>ErschwernisZul</vt:lpstr>
      <vt:lpstr>K2GZWerte</vt:lpstr>
      <vt:lpstr>KVBezeichnung</vt:lpstr>
      <vt:lpstr>MehrarbeitsStd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K3 Kalkulatonsprogramm nach ÖNORM B 2061:2020</dc:title>
  <dc:creator>Andreas Kropik</dc:creator>
  <cp:keywords>Preisermittlung für Bauleistungen Kalkulationsformblatt K3</cp:keywords>
  <cp:lastModifiedBy>Manuela Kropik-Zeilinger</cp:lastModifiedBy>
  <cp:lastPrinted>2024-03-31T19:09:47Z</cp:lastPrinted>
  <dcterms:created xsi:type="dcterms:W3CDTF">2003-03-04T08:55:28Z</dcterms:created>
  <dcterms:modified xsi:type="dcterms:W3CDTF">2026-04-30T13:34:03Z</dcterms:modified>
  <cp:contentStatus/>
</cp:coreProperties>
</file>