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812D28EE-F110-4DCF-A983-C0A827DBE663}"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H884" i="19"/>
  <c r="E879" i="19"/>
  <c r="E883" i="19"/>
  <c r="D883" i="19"/>
  <c r="B880" i="19"/>
  <c r="C880" i="19"/>
  <c r="D879" i="19"/>
  <c r="C883" i="19"/>
  <c r="B879" i="19"/>
  <c r="B881" i="19"/>
  <c r="C879" i="19"/>
  <c r="C882" i="19"/>
  <c r="H882" i="19"/>
  <c r="B883" i="19"/>
  <c r="D884" i="19"/>
  <c r="H881" i="19"/>
  <c r="E882" i="19"/>
  <c r="H879" i="19"/>
  <c r="D880" i="19"/>
  <c r="H883" i="19"/>
  <c r="D881" i="19"/>
  <c r="C881" i="19"/>
  <c r="E884" i="19"/>
  <c r="B882" i="19"/>
  <c r="E881" i="19"/>
  <c r="H880" i="19"/>
  <c r="E880" i="19"/>
  <c r="B884" i="19"/>
  <c r="D882" i="19"/>
  <c r="C884"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S80" i="19"/>
  <c r="A884"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1" i="19"/>
  <c r="S82" i="19"/>
  <c r="S83" i="19"/>
  <c r="S84"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30" i="32" s="1"/>
  <c r="E30" i="32" s="1"/>
  <c r="G30" i="32" s="1"/>
  <c r="I30" i="32" s="1"/>
  <c r="J30" i="32" s="1"/>
  <c r="C29" i="32"/>
  <c r="E29" i="32" s="1"/>
  <c r="G31" i="32"/>
  <c r="I31" i="32" s="1"/>
  <c r="E31" i="32"/>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B3" i="17"/>
  <c r="B60" i="17"/>
  <c r="B4" i="17"/>
  <c r="D4" i="17"/>
  <c r="D99" i="17"/>
  <c r="B59" i="17"/>
  <c r="H11" i="17" l="1"/>
  <c r="A2" i="17" s="1"/>
  <c r="D142" i="33" s="1"/>
  <c r="D33" i="17"/>
  <c r="O8" i="40"/>
  <c r="B8" i="40"/>
  <c r="C24" i="32"/>
  <c r="C27" i="32"/>
  <c r="E27" i="32" s="1"/>
  <c r="C28" i="32"/>
  <c r="E28" i="32" s="1"/>
  <c r="B26" i="32"/>
  <c r="B25" i="32"/>
  <c r="I6" i="17"/>
  <c r="A3" i="17" l="1"/>
  <c r="C26" i="32"/>
  <c r="E26" i="32" s="1"/>
  <c r="C25" i="32"/>
  <c r="E25" i="32" s="1"/>
  <c r="G28" i="32"/>
  <c r="G17" i="20"/>
  <c r="H17" i="20" s="1"/>
  <c r="G27" i="32"/>
  <c r="I27" i="32" s="1"/>
  <c r="E24" i="32"/>
  <c r="B10" i="27"/>
  <c r="B10" i="37"/>
  <c r="B10" i="34"/>
  <c r="B10" i="28"/>
  <c r="J17" i="20" l="1"/>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1" i="19"/>
  <c r="A882"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4" i="19"/>
  <c r="G879" i="19"/>
  <c r="G880" i="19"/>
  <c r="G881" i="19"/>
  <c r="G883" i="19"/>
  <c r="G882"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E29" i="17"/>
  <c r="C44" i="17"/>
  <c r="B77" i="17"/>
  <c r="A58" i="17"/>
  <c r="A107" i="17"/>
  <c r="E28" i="17"/>
  <c r="A26" i="17"/>
  <c r="E8" i="17"/>
  <c r="C107" i="17"/>
  <c r="C116" i="17"/>
  <c r="C20" i="17"/>
  <c r="C88" i="17"/>
  <c r="C25" i="17"/>
  <c r="C19" i="17"/>
  <c r="A54" i="17"/>
  <c r="C122" i="17"/>
  <c r="A86" i="17"/>
  <c r="C41" i="17"/>
  <c r="B92" i="17"/>
  <c r="E20" i="17"/>
  <c r="C50" i="17"/>
  <c r="B74" i="17"/>
  <c r="B18" i="17"/>
  <c r="C81" i="17"/>
  <c r="B46" i="17"/>
  <c r="B73" i="17"/>
  <c r="B78" i="17"/>
  <c r="B40" i="17"/>
  <c r="B45" i="17"/>
  <c r="A123" i="17"/>
  <c r="A11" i="17"/>
  <c r="B93" i="17"/>
  <c r="B51" i="17"/>
  <c r="B125" i="17"/>
  <c r="C43" i="17"/>
  <c r="B72" i="17"/>
  <c r="A77" i="17"/>
  <c r="B110" i="17"/>
  <c r="A110" i="17"/>
  <c r="E26" i="17"/>
  <c r="C92" i="17"/>
  <c r="C53" i="17"/>
  <c r="A106" i="17"/>
  <c r="B83" i="17"/>
  <c r="E23" i="17"/>
  <c r="C45" i="17"/>
  <c r="A111" i="17"/>
  <c r="A90" i="17"/>
  <c r="C71" i="17"/>
  <c r="C108" i="17"/>
  <c r="A23" i="17"/>
  <c r="A18" i="17"/>
  <c r="E11" i="17"/>
  <c r="A53" i="17"/>
  <c r="A79" i="17"/>
  <c r="A46" i="17"/>
  <c r="B57" i="17"/>
  <c r="A84" i="17"/>
  <c r="B80" i="17"/>
  <c r="B41" i="17"/>
  <c r="B32" i="17"/>
  <c r="E31" i="17"/>
  <c r="A15" i="17"/>
  <c r="A124" i="17"/>
  <c r="C12" i="17"/>
  <c r="B25" i="17"/>
  <c r="A28" i="17"/>
  <c r="C9" i="17"/>
  <c r="A43" i="17"/>
  <c r="B28" i="17"/>
  <c r="C72" i="17"/>
  <c r="C84" i="17"/>
  <c r="C90" i="17"/>
  <c r="A74" i="17"/>
  <c r="A9" i="17"/>
  <c r="A12" i="17"/>
  <c r="A44" i="17"/>
  <c r="B91" i="17"/>
  <c r="C15" i="17"/>
  <c r="A71" i="17"/>
  <c r="A109" i="17"/>
  <c r="E19" i="17"/>
  <c r="A126" i="17"/>
  <c r="C85" i="17"/>
  <c r="C102" i="17"/>
  <c r="A13" i="17"/>
  <c r="A103" i="17"/>
  <c r="C87" i="17"/>
  <c r="C27" i="17"/>
  <c r="A78" i="17"/>
  <c r="A30" i="17"/>
  <c r="C77" i="17"/>
  <c r="C86" i="17"/>
  <c r="A40" i="17"/>
  <c r="B12" i="17"/>
  <c r="B87" i="17"/>
  <c r="A45" i="17"/>
  <c r="C11" i="17"/>
  <c r="A118" i="17"/>
  <c r="C123" i="17"/>
  <c r="A21" i="17"/>
  <c r="C40" i="17"/>
  <c r="C83" i="17"/>
  <c r="C70" i="17"/>
  <c r="A93" i="17"/>
  <c r="C82" i="17"/>
  <c r="C13" i="17"/>
  <c r="C32" i="17"/>
  <c r="B86" i="17"/>
  <c r="B84" i="17"/>
  <c r="C46" i="17"/>
  <c r="C112" i="17"/>
  <c r="A14" i="17"/>
  <c r="A47" i="17"/>
  <c r="B11" i="17"/>
  <c r="A27" i="17"/>
  <c r="A41" i="17"/>
  <c r="B81" i="17"/>
  <c r="A91" i="17"/>
  <c r="C30" i="17"/>
  <c r="C93" i="17"/>
  <c r="A112" i="17"/>
  <c r="C23" i="17"/>
  <c r="A81" i="17"/>
  <c r="C17" i="17"/>
  <c r="E30" i="17"/>
  <c r="C31" i="17"/>
  <c r="A61" i="17"/>
  <c r="A89" i="17"/>
  <c r="A94" i="17"/>
  <c r="A29" i="17"/>
  <c r="A95" i="17"/>
  <c r="C111" i="17"/>
  <c r="C16" i="17"/>
  <c r="B71" i="17"/>
  <c r="E13" i="17"/>
  <c r="C117" i="17"/>
  <c r="A17" i="17"/>
  <c r="C21" i="17"/>
  <c r="C103" i="17"/>
  <c r="C24" i="17"/>
  <c r="E25" i="17"/>
  <c r="B70" i="17"/>
  <c r="A60" i="17"/>
  <c r="E16" i="17"/>
  <c r="A22" i="17"/>
  <c r="E21" i="17"/>
  <c r="C76" i="17"/>
  <c r="B88" i="17"/>
  <c r="B27" i="17"/>
  <c r="A10" i="17"/>
  <c r="B85" i="17"/>
  <c r="C127" i="17"/>
  <c r="B50" i="17"/>
  <c r="C105" i="17"/>
  <c r="A24" i="17"/>
  <c r="A127" i="17"/>
  <c r="A19" i="17"/>
  <c r="C26" i="17"/>
  <c r="E22" i="17"/>
  <c r="B76" i="17"/>
  <c r="A87" i="17"/>
  <c r="E9" i="17"/>
  <c r="A20" i="17"/>
  <c r="A16" i="17"/>
  <c r="A72" i="17"/>
  <c r="B58" i="17"/>
  <c r="C73" i="17"/>
  <c r="E24" i="17"/>
  <c r="C42" i="17"/>
  <c r="C124" i="17"/>
  <c r="B52" i="17"/>
  <c r="C51" i="17"/>
  <c r="E17" i="17"/>
  <c r="C110" i="17"/>
  <c r="C94" i="17"/>
  <c r="C91" i="17"/>
  <c r="C10" i="17"/>
  <c r="B15" i="17"/>
  <c r="E18" i="17"/>
  <c r="A85" i="17"/>
  <c r="B21" i="17"/>
  <c r="B42" i="17"/>
  <c r="B133" i="17"/>
  <c r="C54" i="17"/>
  <c r="C89" i="17"/>
  <c r="A52" i="17"/>
  <c r="C104" i="17"/>
  <c r="B44" i="17"/>
  <c r="B47" i="17"/>
  <c r="A32" i="17"/>
  <c r="E12" i="17"/>
  <c r="C79" i="17"/>
  <c r="E15" i="17"/>
  <c r="B53" i="17"/>
  <c r="E27" i="17"/>
  <c r="A31" i="17"/>
  <c r="B23" i="17"/>
  <c r="E10" i="17"/>
  <c r="B82" i="17"/>
  <c r="E14" i="17"/>
  <c r="C80" i="17"/>
  <c r="A83" i="17"/>
  <c r="A73" i="17"/>
  <c r="A82" i="17"/>
  <c r="A80" i="17"/>
  <c r="C18" i="17"/>
  <c r="B89" i="17"/>
  <c r="C47" i="17"/>
  <c r="B79" i="17"/>
  <c r="E7" i="17"/>
  <c r="C125" i="17"/>
  <c r="A75" i="17"/>
  <c r="C75" i="17"/>
  <c r="A42" i="17"/>
  <c r="A92" i="17"/>
  <c r="A59" i="17"/>
  <c r="C14" i="17"/>
  <c r="C28" i="17"/>
  <c r="C106" i="17"/>
  <c r="A88" i="17"/>
  <c r="B90" i="17"/>
  <c r="A117" i="17"/>
  <c r="C7" i="17"/>
  <c r="B39" i="17"/>
  <c r="A125" i="17"/>
  <c r="A8" i="17"/>
  <c r="B54" i="17"/>
  <c r="C118" i="17"/>
  <c r="C8" i="17"/>
  <c r="B95" i="17"/>
  <c r="A105" i="17"/>
  <c r="C95" i="17"/>
  <c r="A104" i="17"/>
  <c r="B17" i="17"/>
  <c r="B24" i="17"/>
  <c r="B75" i="17"/>
  <c r="C74" i="17"/>
  <c r="A76" i="17"/>
  <c r="B61" i="17"/>
  <c r="C29" i="17"/>
  <c r="C22" i="17"/>
  <c r="A25" i="17"/>
  <c r="B43" i="17"/>
  <c r="C78" i="17"/>
  <c r="C52" i="17"/>
  <c r="C126" i="17"/>
  <c r="B99" i="17"/>
  <c r="E32" i="17"/>
  <c r="A108" i="17"/>
  <c r="C109" i="17"/>
  <c r="A51" i="17"/>
  <c r="B94"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12" i="17"/>
  <c r="B103" i="17"/>
  <c r="B102" i="17"/>
  <c r="B29" i="17"/>
  <c r="B108" i="17"/>
  <c r="B126" i="17"/>
  <c r="B14" i="17"/>
  <c r="B116" i="17"/>
  <c r="B109" i="17"/>
  <c r="H14" i="29" l="1"/>
  <c r="Q16" i="29"/>
  <c r="J237" i="19" s="1"/>
  <c r="I5" i="17"/>
  <c r="O8" i="38"/>
  <c r="H34" i="19"/>
  <c r="J32" i="19" s="1"/>
  <c r="O8" i="37"/>
  <c r="O8" i="34"/>
  <c r="D102" i="17"/>
  <c r="D103" i="17"/>
  <c r="D112" i="17"/>
  <c r="D126" i="17"/>
  <c r="D14" i="17"/>
  <c r="F14" i="17" s="1"/>
  <c r="D108" i="17"/>
  <c r="D29" i="17"/>
  <c r="F29" i="17" s="1"/>
  <c r="D109" i="17"/>
  <c r="D116" i="17"/>
  <c r="O8" i="27"/>
  <c r="O8" i="28"/>
  <c r="O8" i="16"/>
  <c r="B26" i="17"/>
  <c r="B13" i="17"/>
  <c r="B122" i="17"/>
  <c r="B124" i="17"/>
  <c r="B111" i="17"/>
  <c r="B117" i="17"/>
  <c r="B127" i="17"/>
  <c r="B31" i="17"/>
  <c r="B19" i="17"/>
  <c r="B10" i="17"/>
  <c r="B123" i="17"/>
  <c r="B20" i="17"/>
  <c r="B16" i="17"/>
  <c r="B104" i="17"/>
  <c r="B106" i="17"/>
  <c r="B118" i="17"/>
  <c r="A39" i="17"/>
  <c r="B22" i="17"/>
  <c r="B105" i="17"/>
  <c r="B107" i="17"/>
  <c r="B8" i="17"/>
  <c r="B30" i="17"/>
  <c r="B9"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3" i="19"/>
  <c r="M85" i="19"/>
  <c r="M87" i="19"/>
  <c r="M80" i="19"/>
  <c r="M86" i="19"/>
  <c r="M82" i="19"/>
  <c r="M84" i="19"/>
  <c r="M81" i="19"/>
  <c r="A122" i="17"/>
  <c r="M178"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4" i="19"/>
  <c r="M183" i="19"/>
  <c r="M187" i="19"/>
  <c r="M181" i="19"/>
  <c r="M182" i="19"/>
  <c r="M188" i="19"/>
  <c r="C157" i="17"/>
  <c r="M180" i="19"/>
  <c r="M179" i="19"/>
  <c r="M185" i="19"/>
  <c r="M79" i="19"/>
  <c r="M186" i="19"/>
  <c r="M189"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61" i="19"/>
  <c r="J195" i="19" s="1"/>
  <c r="E450" i="19"/>
  <c r="E256" i="19"/>
  <c r="A57" i="17"/>
  <c r="AE69" i="19" l="1"/>
  <c r="AF69" i="19" s="1"/>
  <c r="A57" i="19"/>
  <c r="C485" i="33"/>
  <c r="A492" i="33" s="1"/>
  <c r="A486" i="33" s="1"/>
  <c r="J124" i="19"/>
  <c r="J175" i="19"/>
  <c r="J208" i="19"/>
  <c r="H61" i="19"/>
  <c r="C68" i="19" s="1"/>
  <c r="J184" i="19"/>
  <c r="J174" i="19"/>
  <c r="J176" i="19"/>
  <c r="J137" i="19"/>
  <c r="J123"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E137" i="19" l="1"/>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30" i="19"/>
  <c r="M142" i="19"/>
  <c r="M122" i="19"/>
  <c r="M136"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27" i="19"/>
  <c r="M145" i="19"/>
  <c r="M129" i="19"/>
  <c r="M120" i="19"/>
  <c r="M128" i="19"/>
  <c r="M123" i="19"/>
  <c r="M139" i="19"/>
  <c r="M133" i="19"/>
  <c r="M125" i="19"/>
  <c r="M126" i="19"/>
  <c r="M141" i="19"/>
  <c r="M121" i="19"/>
  <c r="M138" i="19"/>
  <c r="M143" i="19"/>
  <c r="M140" i="19"/>
  <c r="M135" i="19"/>
  <c r="M124" i="19"/>
  <c r="M137" i="19"/>
  <c r="M131" i="19"/>
  <c r="M134" i="19"/>
  <c r="M132" i="19"/>
  <c r="C158" i="17"/>
  <c r="M144" i="19"/>
  <c r="A227" i="19" l="1"/>
  <c r="M361" i="19"/>
  <c r="N361" i="19" s="1"/>
  <c r="N363" i="19" s="1"/>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146" i="19" l="1"/>
  <c r="N147" i="19"/>
  <c r="O362" i="19"/>
  <c r="J350" i="19" s="1"/>
  <c r="B330" i="19"/>
  <c r="H327" i="19"/>
  <c r="J319" i="19"/>
  <c r="A535" i="33"/>
  <c r="C697" i="33"/>
  <c r="E243" i="19"/>
  <c r="H243" i="19" s="1"/>
  <c r="F256" i="19"/>
  <c r="E156" i="17"/>
  <c r="C159" i="17"/>
  <c r="F602" i="19" l="1"/>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B7" i="17"/>
  <c r="F332" i="19"/>
  <c r="F331" i="19"/>
  <c r="F330" i="19"/>
  <c r="F333"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57" i="19"/>
  <c r="M47" i="19"/>
  <c r="M61" i="19"/>
  <c r="M42" i="19"/>
  <c r="M40" i="19"/>
  <c r="M50" i="19"/>
  <c r="M38" i="19"/>
  <c r="M45" i="19"/>
  <c r="M58" i="19"/>
  <c r="M56" i="19"/>
  <c r="M59" i="19"/>
  <c r="M49" i="19"/>
  <c r="M44" i="19"/>
  <c r="M46" i="19"/>
  <c r="M51" i="19"/>
  <c r="M54" i="19"/>
  <c r="M41" i="19"/>
  <c r="M60" i="19"/>
  <c r="M37" i="19"/>
  <c r="M62" i="19"/>
  <c r="M55" i="19"/>
  <c r="M43" i="19"/>
  <c r="M48" i="19"/>
  <c r="M53" i="19"/>
  <c r="M39" i="19"/>
  <c r="M52"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A150" i="17"/>
  <c r="B139" i="17"/>
  <c r="A139" i="17"/>
  <c r="A147" i="17"/>
  <c r="A142" i="17"/>
  <c r="A149" i="17"/>
  <c r="B138" i="17"/>
  <c r="B143" i="17"/>
  <c r="B134" i="17"/>
  <c r="A140" i="17"/>
  <c r="A145" i="17"/>
  <c r="A148" i="17"/>
  <c r="A138" i="17"/>
  <c r="B140" i="17"/>
  <c r="B148" i="17"/>
  <c r="B147" i="17"/>
  <c r="B146" i="17"/>
  <c r="B144" i="17"/>
  <c r="B150" i="17"/>
  <c r="A146" i="17"/>
  <c r="B145" i="17"/>
  <c r="B142" i="17"/>
  <c r="B141" i="17"/>
  <c r="A141" i="17"/>
  <c r="A144" i="17"/>
  <c r="A143" i="17"/>
  <c r="B149"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83" i="19"/>
  <c r="F880" i="19"/>
  <c r="F881" i="19"/>
  <c r="F882" i="19"/>
  <c r="F884" i="19"/>
  <c r="F879"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<sst xmlns="http://schemas.openxmlformats.org/spreadsheetml/2006/main" count="2381" uniqueCount="1141">
  <si>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</si>
  <si>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</si>
  <si>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</si>
  <si>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</si>
  <si>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</si>
  <si>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</si>
  <si>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</si>
  <si>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</si>
  <si>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</si>
  <si>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</si>
  <si>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</si>
  <si>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</si>
  <si>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</si>
  <si>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</si>
  <si>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</si>
  <si>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</si>
  <si>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</si>
  <si>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</si>
  <si>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</si>
  <si>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</si>
  <si>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</si>
  <si>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</si>
  <si>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</si>
  <si>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</si>
  <si>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</si>
  <si>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</si>
  <si>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</si>
  <si>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</si>
  <si>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</si>
  <si>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</si>
  <si>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</si>
  <si>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</si>
  <si>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</si>
  <si>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</si>
  <si>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</si>
  <si>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</si>
  <si>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</si>
  <si>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</si>
  <si>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</si>
  <si>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</si>
  <si>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</si>
  <si>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</si>
  <si>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</si>
  <si>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</si>
  <si>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</si>
  <si>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</si>
  <si>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</si>
  <si>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</si>
  <si>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</si>
  <si>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</si>
  <si>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</si>
  <si>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</si>
  <si>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</si>
  <si>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</si>
  <si>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</si>
  <si>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</si>
  <si>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</si>
  <si>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</si>
  <si>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</si>
  <si>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</si>
  <si>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</si>
  <si>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</si>
  <si>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</si>
  <si>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</si>
  <si>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</si>
  <si>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</si>
  <si>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</si>
  <si>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</si>
  <si>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</si>
  <si>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</si>
  <si>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</si>
  <si>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</si>
  <si>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</si>
  <si>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</si>
  <si>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</si>
  <si>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</si>
  <si>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</si>
  <si>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</si>
  <si>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</si>
  <si>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</si>
  <si>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</si>
  <si>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</si>
  <si>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</si>
  <si>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</si>
  <si>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</si>
  <si>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</si>
  <si>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</si>
  <si>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</si>
  <si>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</si>
  <si>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</si>
  <si>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</si>
  <si>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</si>
  <si>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</si>
  <si>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</si>
  <si>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</si>
  <si>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</si>
  <si>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</si>
  <si>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</si>
  <si>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</si>
  <si>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</si>
  <si>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</si>
  <si>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</si>
  <si>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</si>
  <si>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</si>
  <si>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</si>
  <si>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</si>
  <si>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</si>
  <si>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</si>
  <si>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</si>
  <si>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</si>
  <si>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</si>
  <si>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</si>
  <si>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</si>
  <si>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</si>
  <si>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</si>
  <si>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</si>
  <si>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</si>
  <si>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</si>
  <si>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</si>
  <si>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</si>
  <si>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</si>
  <si>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</si>
  <si>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</si>
  <si>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</si>
  <si>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</si>
  <si>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</si>
  <si>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</si>
  <si>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</si>
  <si>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</si>
  <si>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</si>
  <si>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</si>
  <si>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</si>
  <si>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</si>
  <si>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</si>
  <si>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</si>
  <si>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</si>
  <si>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</si>
  <si>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</si>
  <si>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</si>
  <si>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</si>
  <si>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</si>
  <si>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</si>
  <si>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</si>
  <si>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</si>
  <si>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</si>
  <si>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</si>
  <si>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</si>
  <si>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</si>
  <si>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</si>
  <si>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</si>
  <si>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</si>
  <si>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</si>
  <si>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</si>
  <si>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</si>
  <si>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</si>
  <si>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</si>
  <si>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</si>
  <si>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</si>
  <si>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</si>
  <si>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</si>
  <si>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</si>
  <si>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</si>
  <si>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</si>
  <si>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</si>
  <si>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</si>
  <si>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</si>
  <si>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</si>
  <si>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</si>
  <si>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</si>
  <si>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</si>
  <si>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</si>
  <si>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</si>
  <si>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</si>
  <si>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</si>
  <si>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</si>
  <si>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</si>
  <si>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</si>
  <si>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</si>
  <si>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</si>
  <si>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</si>
  <si>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</si>
  <si>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</si>
  <si>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</si>
  <si>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</si>
  <si>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</si>
  <si>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</si>
  <si>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</si>
  <si>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</si>
  <si>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</si>
  <si>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</si>
  <si>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</si>
  <si>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</si>
  <si>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</si>
  <si>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</si>
  <si>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</si>
  <si>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</si>
  <si>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</si>
  <si>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</si>
  <si>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</si>
  <si>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</si>
  <si>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</si>
  <si>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</si>
  <si>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</si>
  <si>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</si>
  <si>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</si>
  <si>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</si>
  <si>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</si>
  <si>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</si>
  <si>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</si>
  <si>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</si>
  <si>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</si>
  <si>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</si>
  <si>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</si>
  <si>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</si>
  <si>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</si>
  <si>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</si>
  <si>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</si>
  <si>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</si>
  <si>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</si>
  <si>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</si>
  <si>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</si>
  <si>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</si>
  <si>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</si>
  <si>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</si>
  <si>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</si>
  <si>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</si>
  <si>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</si>
  <si>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</si>
  <si>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</si>
  <si>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</si>
  <si>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</si>
  <si>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</si>
  <si>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</si>
  <si>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</si>
  <si>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</si>
  <si>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</si>
  <si>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</si>
  <si>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</si>
  <si>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</si>
  <si>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</si>
  <si>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</si>
  <si>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</si>
  <si>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</si>
  <si>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</si>
  <si>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</si>
  <si>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</si>
  <si>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</si>
  <si>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</si>
  <si>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</si>
  <si>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</si>
  <si>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</si>
  <si>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</si>
  <si>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</si>
  <si>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</si>
  <si>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</si>
  <si>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</si>
  <si>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</si>
  <si>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</si>
  <si>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</si>
  <si>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</si>
  <si>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</si>
  <si>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</si>
  <si>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</si>
  <si>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</si>
  <si>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</si>
  <si>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</si>
  <si>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</si>
  <si>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</si>
  <si>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</si>
  <si>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</si>
  <si>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</si>
  <si>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</si>
  <si>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</si>
  <si>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</si>
  <si>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</si>
  <si>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</si>
  <si>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</si>
  <si>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</si>
  <si>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</si>
  <si>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</si>
  <si>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</si>
  <si>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</si>
  <si>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</si>
  <si>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</si>
  <si>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</si>
  <si>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</si>
  <si>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</si>
  <si>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</si>
  <si>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</si>
  <si>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</si>
  <si>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</si>
  <si>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</si>
  <si>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</si>
  <si>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</si>
  <si>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</si>
  <si>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</si>
  <si>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</si>
  <si>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</si>
  <si>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</si>
  <si>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</si>
  <si>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</si>
  <si>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</si>
  <si>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</si>
  <si>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</si>
  <si>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</si>
  <si>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</si>
  <si>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</si>
  <si>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</si>
  <si>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</si>
  <si>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</si>
  <si>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</si>
  <si>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</si>
  <si>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</si>
  <si>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</si>
  <si>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</si>
  <si>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</si>
  <si>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</si>
  <si>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</si>
  <si>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</si>
  <si>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</si>
  <si>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</si>
  <si>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</si>
  <si>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</si>
  <si>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</si>
  <si>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</si>
  <si>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</si>
  <si>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</si>
  <si>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</si>
  <si>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</si>
  <si>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</si>
  <si>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</si>
  <si>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</si>
  <si>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</si>
  <si>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</si>
  <si>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</si>
  <si>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</si>
  <si>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</si>
  <si>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</si>
  <si>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</si>
  <si>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</si>
  <si>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</si>
  <si>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</si>
  <si>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</si>
  <si>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</si>
  <si>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</si>
  <si>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</si>
  <si>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</si>
  <si>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</si>
  <si>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</si>
  <si>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</si>
  <si>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</si>
  <si>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</si>
  <si>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</si>
  <si>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</si>
  <si>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</si>
  <si>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</si>
  <si>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</si>
  <si>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</si>
  <si>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</si>
  <si>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</si>
  <si>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</si>
  <si>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</si>
  <si>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</si>
  <si>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</si>
  <si>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</si>
  <si>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</si>
  <si>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</si>
  <si>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</si>
  <si>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</si>
  <si>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</si>
  <si>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</si>
  <si>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</si>
  <si>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</si>
  <si>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</si>
  <si>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</si>
  <si>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</si>
  <si>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</si>
  <si>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</si>
  <si>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</si>
  <si>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</si>
  <si>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</si>
  <si>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</si>
  <si>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</si>
  <si>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</si>
  <si>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</si>
  <si>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</si>
  <si>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</si>
  <si>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</si>
  <si>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</si>
  <si>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</si>
  <si>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</si>
  <si>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</si>
  <si>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</si>
  <si>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</si>
  <si>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</si>
  <si>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</si>
  <si>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</si>
  <si>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</si>
  <si>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</si>
  <si>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</si>
  <si>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</si>
  <si>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</si>
  <si>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</si>
  <si>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</si>
  <si>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</si>
  <si>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</si>
  <si>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</si>
  <si>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</si>
  <si>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</si>
  <si>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</si>
  <si>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</si>
  <si>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</si>
  <si>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</si>
  <si>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</si>
  <si>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</si>
  <si>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</si>
  <si>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</si>
  <si>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</si>
  <si>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</si>
  <si>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</si>
  <si>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</si>
  <si>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</si>
  <si>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</si>
  <si>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</si>
  <si>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</si>
  <si>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</si>
  <si>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</si>
  <si>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</si>
  <si>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</si>
  <si>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</si>
  <si>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</si>
  <si>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</si>
  <si>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</si>
  <si>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</si>
  <si>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</si>
  <si>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</si>
  <si>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</si>
  <si>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</si>
  <si>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</si>
  <si>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</si>
  <si>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</si>
  <si>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</si>
  <si>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</si>
  <si>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</si>
  <si>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</si>
  <si>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</si>
  <si>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</si>
  <si>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</si>
  <si>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</si>
  <si>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</si>
  <si>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</si>
  <si>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</si>
  <si>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</si>
  <si>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</si>
  <si>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</si>
  <si>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</si>
  <si>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</si>
  <si>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</si>
  <si>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</si>
  <si>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</si>
  <si>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</si>
  <si>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</si>
  <si>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</si>
  <si>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</si>
  <si>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</si>
  <si>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</si>
  <si>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</si>
  <si>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</si>
  <si>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</si>
  <si>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</si>
  <si>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</si>
  <si>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</si>
  <si>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</si>
  <si>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</si>
  <si>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</si>
  <si>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</si>
  <si>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</si>
  <si>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</si>
  <si>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</si>
  <si>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</si>
  <si>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</si>
  <si>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</si>
  <si>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</si>
  <si>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</si>
  <si>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</si>
  <si>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</si>
  <si>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</si>
  <si>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</si>
  <si>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</si>
  <si>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</si>
  <si>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</si>
  <si>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</si>
  <si>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</si>
  <si>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</si>
  <si>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</si>
  <si>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</si>
  <si>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</si>
  <si>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</si>
  <si>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</si>
  <si>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</si>
  <si>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</si>
  <si>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</si>
  <si>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</si>
  <si>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</si>
  <si>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</si>
  <si>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</si>
  <si>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</si>
  <si>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</si>
  <si>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</si>
  <si>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</si>
  <si>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</si>
  <si>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</si>
  <si>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</si>
  <si>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</si>
  <si>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</si>
  <si>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</si>
  <si>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</si>
  <si>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</si>
  <si>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</si>
  <si>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</si>
  <si>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</si>
  <si>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</si>
  <si>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</si>
  <si>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</si>
  <si>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</si>
  <si>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</si>
  <si>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</si>
  <si>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</si>
  <si>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</si>
  <si>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</si>
  <si>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</si>
  <si>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</si>
  <si>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</si>
  <si>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</si>
  <si>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</si>
  <si>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</si>
  <si>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</si>
  <si>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</si>
  <si>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</si>
  <si>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</si>
  <si>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</si>
  <si>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</si>
  <si>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</si>
  <si>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</si>
  <si>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</si>
  <si>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</si>
  <si>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</si>
  <si>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</si>
  <si>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</si>
  <si>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</si>
  <si>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</si>
  <si>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</si>
  <si>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</si>
  <si>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</si>
  <si>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</si>
  <si>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</si>
  <si>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</si>
  <si>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</si>
  <si>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</si>
  <si>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</si>
  <si>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</si>
  <si>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</si>
  <si>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</si>
  <si>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</si>
  <si>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</si>
  <si>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</si>
  <si>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</si>
  <si>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</si>
  <si>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</si>
  <si>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</si>
  <si>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</si>
  <si>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</si>
  <si>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</si>
  <si>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</si>
  <si>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</si>
  <si>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</si>
  <si>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</si>
  <si>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</si>
  <si>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</si>
  <si>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</si>
  <si>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</si>
  <si>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</si>
  <si>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</si>
  <si>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</si>
  <si>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</si>
  <si>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</si>
  <si>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</si>
  <si>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</si>
  <si>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</si>
  <si>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</si>
  <si>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</si>
  <si>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</si>
  <si>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</si>
  <si>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</si>
  <si>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</si>
  <si>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</si>
  <si>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</si>
  <si>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</si>
  <si>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</si>
  <si>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</si>
  <si>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</si>
  <si>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</si>
  <si>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</si>
  <si>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</si>
  <si>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</si>
  <si>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</si>
  <si>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</si>
  <si>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</si>
  <si>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</si>
  <si>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</si>
  <si>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</si>
  <si>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</si>
  <si>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</si>
  <si>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</si>
  <si>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</si>
  <si>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</si>
  <si>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</si>
  <si>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</si>
  <si>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</si>
  <si>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</si>
  <si>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</si>
  <si>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</si>
  <si>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</si>
  <si>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</si>
  <si>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</si>
  <si>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</si>
  <si>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</si>
  <si>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</si>
  <si>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</si>
  <si>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</si>
  <si>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</si>
  <si>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</si>
  <si>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</si>
  <si>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</si>
  <si>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</si>
  <si>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</si>
  <si>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</si>
  <si>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</si>
  <si>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</si>
  <si>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</si>
  <si>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</si>
  <si>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</si>
  <si>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</si>
  <si>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</si>
  <si>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</si>
  <si>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</si>
  <si>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</si>
  <si>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</si>
  <si>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</si>
  <si>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</si>
  <si>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</si>
  <si>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</si>
  <si>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</si>
  <si>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</si>
  <si>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</si>
  <si>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</si>
  <si>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</si>
  <si>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</si>
  <si>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</si>
  <si>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</si>
  <si>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</si>
  <si>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</si>
  <si>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</si>
  <si>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</si>
  <si>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</si>
  <si>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</si>
  <si>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</si>
  <si>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</si>
  <si>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</si>
  <si>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</si>
  <si>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</si>
  <si>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</si>
  <si>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</si>
  <si>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</si>
  <si>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</si>
  <si>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</si>
  <si>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</si>
  <si>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</si>
  <si>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</si>
  <si>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</si>
  <si>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</si>
  <si>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</si>
  <si>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</si>
  <si>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</si>
  <si>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</si>
  <si>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</si>
  <si>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</si>
  <si>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</si>
  <si>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</si>
  <si>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</si>
  <si>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</si>
  <si>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</si>
  <si>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</si>
  <si>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</si>
  <si>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</si>
  <si>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</si>
  <si>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</si>
  <si>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</si>
  <si>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</si>
  <si>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</si>
  <si>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</si>
  <si>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</si>
  <si>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</si>
  <si>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</si>
  <si>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</si>
  <si>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</si>
  <si>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</si>
  <si>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</si>
  <si>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</si>
  <si>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</si>
  <si>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</si>
  <si>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</si>
  <si>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</si>
  <si>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</si>
  <si>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</si>
  <si>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</si>
  <si>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</si>
  <si>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</si>
  <si>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</si>
  <si>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</si>
  <si>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</si>
  <si>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</si>
  <si>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</si>
  <si>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</si>
  <si>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</si>
  <si>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</si>
  <si>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</si>
  <si>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</si>
  <si>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</si>
  <si>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</si>
  <si>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</si>
  <si>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</si>
  <si>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</si>
  <si>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</si>
  <si>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</si>
  <si>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</si>
  <si>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</si>
  <si>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</si>
  <si>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</si>
  <si>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</si>
  <si>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</si>
  <si>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</si>
  <si>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</si>
  <si>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</si>
  <si>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</si>
  <si>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</si>
  <si>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</si>
  <si>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</si>
  <si>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</si>
  <si>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</si>
  <si>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</si>
  <si>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</si>
  <si>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</si>
  <si>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</si>
  <si>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</si>
  <si>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</si>
  <si>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</si>
  <si>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</si>
  <si>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</si>
  <si>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</si>
  <si>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</si>
  <si>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</si>
  <si>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</si>
  <si>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</si>
  <si>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</si>
  <si>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</si>
  <si>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</si>
  <si>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</si>
  <si>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</si>
  <si>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</si>
  <si>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</si>
  <si>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</si>
  <si>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</si>
  <si>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</si>
  <si>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</si>
  <si>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</si>
  <si>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</si>
  <si>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</si>
  <si>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</si>
  <si>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</si>
  <si>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</si>
  <si>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</si>
  <si>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</si>
  <si>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</si>
  <si>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</si>
  <si>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</si>
  <si>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</si>
  <si>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</si>
  <si>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</si>
  <si>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</si>
  <si>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</si>
  <si>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</si>
  <si>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</si>
  <si>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</si>
  <si>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</si>
  <si>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</si>
  <si>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</si>
  <si>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</si>
  <si>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</si>
  <si>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</si>
  <si>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</si>
  <si>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</si>
  <si>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</si>
  <si>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</si>
  <si>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</si>
  <si>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</si>
  <si>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</si>
  <si>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</si>
  <si>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</si>
  <si>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</si>
  <si>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</si>
  <si>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</si>
  <si>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</si>
  <si>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</si>
  <si>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</si>
  <si>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</si>
  <si>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</si>
  <si>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</si>
  <si>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</si>
  <si>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</si>
  <si>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</si>
  <si>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</si>
  <si>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</si>
  <si>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</si>
  <si>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</si>
  <si>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</si>
  <si>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</si>
  <si>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</si>
  <si>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</si>
  <si>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</si>
  <si>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</si>
  <si>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</si>
  <si>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</si>
  <si>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</si>
  <si>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</si>
  <si>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</si>
  <si>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</si>
  <si>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</si>
  <si>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</si>
  <si>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</si>
  <si>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</si>
  <si>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</si>
  <si>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</si>
  <si>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</si>
  <si>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</si>
  <si>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</si>
  <si>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</si>
  <si>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</si>
  <si>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</si>
  <si>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</si>
  <si>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</si>
  <si>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</si>
  <si>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</si>
  <si>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</si>
  <si>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</si>
  <si>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</si>
  <si>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</si>
  <si>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</si>
  <si>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</si>
  <si>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</si>
  <si>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</si>
  <si>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</si>
  <si>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</si>
  <si>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</si>
  <si>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</si>
  <si>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</si>
  <si>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</si>
  <si>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</si>
  <si>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</si>
  <si>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</si>
  <si>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</si>
  <si>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</si>
  <si>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</si>
  <si>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</si>
  <si>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</si>
  <si>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</si>
  <si>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</si>
  <si>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</si>
  <si>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</si>
  <si>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</si>
  <si>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</si>
  <si>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</si>
  <si>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</si>
  <si>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</si>
  <si>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</si>
  <si>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</si>
  <si>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</si>
  <si>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</si>
  <si>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</si>
  <si>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</si>
  <si>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</si>
  <si>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</si>
  <si>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</si>
  <si>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</si>
  <si>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</si>
  <si>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</si>
  <si>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</si>
  <si>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</si>
  <si>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</si>
  <si>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</si>
  <si>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</si>
  <si>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</si>
  <si>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</si>
  <si>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</si>
  <si>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</si>
  <si>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</si>
  <si>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</si>
  <si>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</si>
  <si>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</si>
  <si>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</si>
  <si>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</si>
  <si>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</si>
  <si>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</si>
  <si>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</si>
  <si>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</si>
  <si>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</si>
  <si>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</si>
  <si>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</si>
  <si>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</si>
  <si>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</si>
  <si>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</si>
  <si>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</si>
  <si>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</si>
  <si>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</si>
  <si>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</si>
  <si>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</si>
  <si>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</si>
  <si>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</si>
  <si>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</si>
  <si>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</si>
  <si>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</si>
  <si>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</si>
  <si>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</si>
  <si>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</si>
  <si>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</si>
  <si>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</si>
  <si>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</si>
  <si>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</si>
  <si>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</si>
  <si>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</si>
  <si>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</si>
  <si>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</si>
  <si>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</si>
  <si>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</si>
  <si>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</si>
  <si>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</si>
  <si>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</si>
  <si>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</si>
  <si>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</si>
  <si>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</si>
  <si>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</si>
  <si>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</si>
  <si>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</si>
  <si>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</si>
  <si>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</si>
  <si>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</si>
  <si>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</si>
  <si>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</si>
  <si>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</si>
  <si>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</si>
  <si>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</si>
  <si>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</si>
  <si>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</si>
  <si>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</si>
  <si>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</si>
  <si>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</si>
  <si>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</si>
  <si>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</si>
  <si>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</si>
  <si>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</si>
  <si>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</si>
  <si>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</si>
  <si>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</si>
  <si>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</si>
  <si>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</si>
  <si>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</si>
  <si>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</si>
  <si>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</si>
  <si>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</si>
  <si>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</si>
  <si>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</si>
  <si>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</si>
  <si>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</si>
  <si>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</si>
  <si>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</si>
  <si>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</si>
  <si>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</si>
  <si>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</si>
  <si>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</si>
  <si>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</si>
  <si>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</si>
  <si>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</si>
  <si>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</si>
  <si>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</si>
  <si>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</si>
  <si>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</si>
  <si>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</si>
  <si>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</si>
  <si>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</si>
  <si>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</si>
  <si>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</si>
  <si>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</si>
  <si>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</si>
  <si>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</si>
  <si>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</si>
  <si>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</si>
  <si>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</si>
  <si>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</si>
  <si>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</si>
  <si>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</si>
  <si>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</si>
  <si>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</si>
  <si>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</si>
  <si>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</si>
  <si>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</si>
  <si>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</si>
  <si>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</si>
  <si>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</si>
  <si>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</si>
  <si>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</si>
  <si>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</si>
  <si>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</si>
  <si>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</si>
  <si>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</si>
  <si>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</si>
  <si>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</si>
  <si>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</si>
  <si>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</si>
  <si>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</si>
  <si>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</si>
  <si>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</si>
  <si>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</si>
  <si>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</si>
  <si>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</si>
  <si>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</si>
  <si>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</si>
  <si>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</si>
  <si>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</si>
  <si>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</si>
  <si>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</si>
  <si>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</si>
  <si>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</si>
  <si>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</si>
  <si>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</si>
  <si>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</si>
  <si>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</si>
  <si>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</si>
  <si>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</si>
  <si>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</si>
  <si>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</si>
  <si>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</si>
  <si>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</si>
  <si>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</si>
  <si>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</si>
  <si>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</si>
  <si>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</si>
  <si>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</si>
  <si>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</si>
  <si>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</si>
  <si>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</si>
  <si>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</si>
  <si>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</si>
  <si>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</si>
  <si>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</si>
  <si>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</si>
  <si>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</si>
  <si>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</si>
  <si>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</si>
  <si>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</si>
  <si>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</si>
  <si>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</si>
  <si>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</si>
  <si>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</si>
  <si>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</si>
  <si>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</si>
  <si>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</si>
  <si>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</si>
  <si>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</si>
  <si>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</si>
  <si>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</si>
  <si>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</si>
  <si>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</si>
  <si>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</si>
  <si>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</si>
  <si>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</si>
  <si>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</si>
  <si>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</si>
  <si>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</si>
  <si>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</si>
  <si>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</si>
  <si>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</si>
  <si>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</si>
  <si>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</si>
  <si>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</si>
  <si>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</si>
  <si>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</si>
  <si>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</si>
  <si>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</si>
  <si>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</si>
  <si>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</si>
  <si>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</si>
  <si>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</si>
  <si>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</si>
  <si>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</si>
  <si>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</si>
  <si>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</si>
  <si>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</si>
  <si>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</si>
  <si>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</si>
  <si>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</si>
  <si>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</si>
  <si>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</si>
  <si>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</si>
  <si>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</si>
  <si>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</si>
  <si>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</si>
  <si>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</si>
  <si>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</si>
  <si>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</si>
  <si>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</si>
  <si>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</si>
  <si>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</si>
  <si>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</si>
  <si>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</si>
  <si>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</si>
  <si>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</si>
  <si>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</si>
  <si>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</si>
  <si>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</si>
  <si>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</si>
  <si>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</si>
  <si>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</si>
  <si>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FA in Ü-Stunde</t>
  </si>
  <si>
    <t># Beispiel: Mannschaftstransport</t>
  </si>
  <si>
    <t>Musterprojekt Baunebengewerbe (Hafner-, Platten-, Fliesenleger</t>
  </si>
  <si>
    <t>Facharbeiter (&gt; 2Verwendungsjahr)</t>
  </si>
  <si>
    <t>Qualifizierter Helfer</t>
  </si>
  <si>
    <t>Taggeld</t>
  </si>
  <si>
    <t>Helfer</t>
  </si>
  <si>
    <t xml:space="preserve">MLP Baunebengewerbe </t>
  </si>
  <si>
    <t>hafner_platten_fliesenl_26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</si>
</sst>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23" fillId="0" borderId="20" xfId="0" applyFont="1" applyBorder="1" applyAlignment="1">
      <alignment horizontal="left" vertical="top" wrapText="1"/>
    </xf>
    <xf numFmtId="0" fontId="23" fillId="0" borderId="13" xfId="0" applyFont="1" applyBorder="1" applyAlignment="1">
      <alignment horizontal="left" vertical="top" wrapText="1"/>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0" xfId="0" applyNumberFormat="1" applyFont="1" applyFill="1" applyAlignment="1" applyProtection="1">
      <alignment horizontal="left" wrapText="1"/>
      <protection locked="0"/>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49" fontId="23" fillId="3" borderId="22" xfId="0" applyNumberFormat="1" applyFont="1" applyFill="1" applyBorder="1" applyAlignment="1" applyProtection="1">
      <alignment horizontal="left" vertical="center"/>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43" fillId="0" borderId="11" xfId="0" applyFont="1" applyBorder="1" applyAlignment="1">
      <alignment horizontal="left" vertical="center"/>
    </xf>
    <xf numFmtId="0" fontId="43" fillId="0" borderId="24" xfId="0" applyFont="1" applyBorder="1" applyAlignment="1">
      <alignment horizontal="left" vertical="center"/>
    </xf>
    <xf numFmtId="49" fontId="64" fillId="0" borderId="19" xfId="0" applyNumberFormat="1" applyFont="1" applyBorder="1" applyAlignment="1">
      <alignment horizontal="center" vertical="center"/>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49" fontId="23" fillId="3" borderId="26" xfId="0" applyNumberFormat="1" applyFont="1" applyFill="1" applyBorder="1" applyAlignment="1" applyProtection="1">
      <alignment horizontal="left" vertical="center"/>
      <protection locked="0"/>
    </xf>
    <xf numFmtId="0" fontId="27" fillId="0" borderId="71" xfId="0" applyFont="1" applyBorder="1" applyAlignment="1">
      <alignment horizontal="left" vertical="center"/>
    </xf>
    <xf numFmtId="0" fontId="23" fillId="0" borderId="24" xfId="0" applyFont="1" applyBorder="1" applyAlignment="1">
      <alignment horizontal="left" vertical="top" wrapText="1"/>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0" fontId="100" fillId="0" borderId="0" xfId="0" applyFont="1" applyAlignment="1">
      <alignment horizontal="left" vertical="center"/>
    </xf>
    <xf numFmtId="0" fontId="100" fillId="0" borderId="14" xfId="0" applyFont="1" applyBorder="1" applyAlignment="1">
      <alignment horizontal="left" vertical="center"/>
    </xf>
    <xf numFmtId="49" fontId="23" fillId="3" borderId="30"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hidden="1"/>
    </xf>
    <xf numFmtId="0" fontId="23" fillId="29" borderId="13" xfId="0" applyFont="1" applyFill="1" applyBorder="1" applyAlignment="1">
      <alignment vertical="center"/>
    </xf>
    <xf numFmtId="0" fontId="23" fillId="29" borderId="0" xfId="0" applyFont="1" applyFill="1" applyAlignment="1">
      <alignment vertical="center"/>
    </xf>
    <xf numFmtId="0" fontId="23" fillId="0" borderId="0" xfId="0" applyFont="1" applyAlignment="1">
      <alignment horizontal="left" vertical="top" wrapText="1"/>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7" fillId="0" borderId="11" xfId="0" applyFont="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100" fillId="0" borderId="0" xfId="0" applyFont="1" applyAlignment="1">
      <alignment horizontal="left" vertical="top" wrapText="1"/>
    </xf>
    <xf numFmtId="0" fontId="100" fillId="0" borderId="14" xfId="0" applyFont="1" applyBorder="1" applyAlignment="1">
      <alignment horizontal="left" vertical="top" wrapText="1"/>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9" fontId="71" fillId="3" borderId="18" xfId="0" applyNumberFormat="1" applyFont="1" applyFill="1" applyBorder="1" applyAlignment="1" applyProtection="1">
      <alignment horizontal="center" vertical="center"/>
      <protection locked="0"/>
    </xf>
    <xf numFmtId="49" fontId="71" fillId="3" borderId="19" xfId="0" applyNumberFormat="1" applyFont="1" applyFill="1" applyBorder="1" applyAlignment="1" applyProtection="1">
      <alignment horizontal="center" vertical="center"/>
      <protection locked="0"/>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49" fontId="23" fillId="3" borderId="28" xfId="0" applyNumberFormat="1" applyFont="1" applyFill="1" applyBorder="1" applyAlignment="1" applyProtection="1">
      <alignment horizontal="left" vertical="center"/>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2" xfId="0" applyFont="1" applyBorder="1" applyAlignment="1">
      <alignment horizontal="left" vertical="center"/>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6" xfId="0" applyFont="1" applyBorder="1" applyAlignment="1">
      <alignment horizontal="left"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23" fillId="3" borderId="26" xfId="0" applyNumberFormat="1" applyFont="1" applyFill="1" applyBorder="1" applyAlignment="1" applyProtection="1">
      <alignment horizontal="left" vertical="center" wrapText="1"/>
      <protection locked="0"/>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0" fontId="23" fillId="0" borderId="13" xfId="0" applyFont="1" applyBorder="1" applyAlignment="1">
      <alignment horizontal="center"/>
    </xf>
    <xf numFmtId="0" fontId="23" fillId="0" borderId="0" xfId="0" applyFont="1" applyAlignment="1">
      <alignment horizontal="center"/>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23" fillId="0" borderId="32" xfId="0" applyNumberFormat="1" applyFont="1" applyBorder="1" applyAlignment="1">
      <alignment horizontal="left" vertical="center"/>
    </xf>
    <xf numFmtId="0" fontId="14" fillId="0" borderId="0" xfId="0" applyFont="1" applyAlignment="1">
      <alignment horizontal="left" wrapText="1"/>
    </xf>
    <xf numFmtId="0" fontId="14" fillId="0" borderId="14" xfId="0" applyFont="1" applyBorder="1" applyAlignment="1">
      <alignment horizontal="left"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4" xfId="0" applyNumberFormat="1" applyFont="1" applyFill="1" applyBorder="1" applyAlignment="1" applyProtection="1">
      <alignment horizontal="left" vertical="center"/>
      <protection locked="0"/>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14" fillId="0" borderId="26" xfId="0" applyFont="1" applyBorder="1" applyAlignment="1">
      <alignment horizontal="center"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4" xfId="0" applyFont="1" applyFill="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49" fillId="24" borderId="0" xfId="0" applyFont="1" applyFill="1" applyAlignment="1">
      <alignment horizontal="left" vertical="center"/>
    </xf>
    <xf numFmtId="0" fontId="49" fillId="20" borderId="0" xfId="0" applyFont="1" applyFill="1" applyAlignment="1">
      <alignment horizontal="left" vertical="center"/>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3.6</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0.4</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0.14399999999999999</c:v>
                </c:pt>
                <c:pt idx="2">
                  <c:v>0</c:v>
                </c:pt>
                <c:pt idx="3">
                  <c:v>0.23910000000000001</c:v>
                </c:pt>
                <c:pt idx="4">
                  <c:v>1.3263</c:v>
                </c:pt>
                <c:pt idx="5">
                  <c:v>0.33119999999999999</c:v>
                </c:pt>
                <c:pt idx="6">
                  <c:v>0.3543</c:v>
                </c:pt>
                <c:pt idx="7">
                  <c:v>0</c:v>
                </c:pt>
                <c:pt idx="8">
                  <c:v>0.98450000000000004</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1" t="s">
        <v>229</v>
      </c>
      <c r="C1" s="2942"/>
      <c r="D1" s="2942"/>
      <c r="E1" s="2942"/>
      <c r="F1" s="2942"/>
      <c r="G1" s="2943"/>
      <c r="N1" s="1334"/>
      <c r="O1" s="1334"/>
      <c r="P1" s="1334"/>
      <c r="Q1" s="1334"/>
      <c r="R1" s="1334"/>
      <c r="S1" s="1334"/>
      <c r="T1" s="1334"/>
      <c r="U1" s="1334"/>
      <c r="V1" s="1334"/>
      <c r="W1" s="1334"/>
      <c r="X1" s="1334"/>
      <c r="Y1" s="1334"/>
      <c r="Z1" s="1334"/>
      <c r="AA1" s="1334"/>
    </row>
    <row r="2" spans="1:32" x14ac:dyDescent="0.25">
      <c r="A2" s="168"/>
      <c r="B2" s="2944"/>
      <c r="C2" s="2945"/>
      <c r="D2" s="2945"/>
      <c r="E2" s="2945"/>
      <c r="F2" s="2945"/>
      <c r="G2" s="2946"/>
      <c r="N2" s="1278" t="s">
        <v>777</v>
      </c>
      <c r="O2" s="1278"/>
      <c r="P2" s="1278"/>
      <c r="Q2" s="1278"/>
      <c r="R2" s="1278"/>
      <c r="S2" s="1278"/>
      <c r="T2" s="1278"/>
      <c r="U2" s="1278"/>
      <c r="V2" s="1278"/>
    </row>
    <row r="3" spans="1:32" x14ac:dyDescent="0.25">
      <c r="A3" s="168"/>
      <c r="B3" s="2944"/>
      <c r="C3" s="2945"/>
      <c r="D3" s="2945"/>
      <c r="E3" s="2945"/>
      <c r="F3" s="2945"/>
      <c r="G3" s="2946"/>
      <c r="N3" s="1261" t="s">
        <v>778</v>
      </c>
    </row>
    <row r="4" spans="1:32" x14ac:dyDescent="0.25">
      <c r="A4" s="168"/>
      <c r="B4" s="2944"/>
      <c r="C4" s="2945"/>
      <c r="D4" s="2945"/>
      <c r="E4" s="2945"/>
      <c r="F4" s="2945"/>
      <c r="G4" s="2946"/>
      <c r="N4" s="2922" t="s">
        <v>1006</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1"/>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2" t="s">
        <v>765</v>
      </c>
      <c r="B7" s="169"/>
      <c r="C7" s="2899" t="s">
        <v>1128</v>
      </c>
      <c r="D7" s="2900"/>
      <c r="E7" s="2900"/>
      <c r="F7" s="2949"/>
      <c r="G7" s="915">
        <f>LEN(C7)</f>
        <v>40</v>
      </c>
      <c r="H7" s="2924"/>
      <c r="I7" s="2924"/>
      <c r="J7" s="2924"/>
      <c r="AE7" s="204"/>
      <c r="AF7" s="204"/>
    </row>
    <row r="8" spans="1:32" ht="51" customHeight="1" x14ac:dyDescent="0.25">
      <c r="A8" s="913" t="s">
        <v>764</v>
      </c>
      <c r="B8" s="169"/>
      <c r="C8" s="2911" t="str">
        <f>"&gt;"&amp;C7&amp;"&lt;"</f>
        <v>&gt;MUSTER-BAU-GMBH (Testzugang bis 31.5.24)&lt;</v>
      </c>
      <c r="D8" s="2911"/>
      <c r="E8" s="2911"/>
      <c r="F8" s="2911"/>
      <c r="G8" s="192"/>
      <c r="H8" s="2924"/>
      <c r="I8" s="2924"/>
      <c r="J8" s="2924"/>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08" t="s">
        <v>1129</v>
      </c>
      <c r="D9" s="2908"/>
      <c r="E9" s="2908"/>
      <c r="F9" s="2908"/>
      <c r="G9" s="915">
        <f>LEN(C9)</f>
        <v>12</v>
      </c>
      <c r="H9" s="2924"/>
      <c r="I9" s="2924"/>
      <c r="J9" s="2924"/>
      <c r="K9" s="917"/>
      <c r="L9" s="918"/>
      <c r="M9" s="918"/>
      <c r="N9" s="1264"/>
      <c r="O9" s="1265"/>
      <c r="Z9" s="1337"/>
      <c r="AA9" s="1338"/>
      <c r="AE9" s="204"/>
      <c r="AF9" s="204"/>
    </row>
    <row r="10" spans="1:32" ht="51.4" customHeight="1" x14ac:dyDescent="0.25">
      <c r="A10" s="913" t="s">
        <v>764</v>
      </c>
      <c r="B10" s="169"/>
      <c r="C10" s="2933" t="str">
        <f>"&gt;"&amp;C9&amp;"&lt;"</f>
        <v>&gt;Ort / Straße&lt;</v>
      </c>
      <c r="D10" s="2933"/>
      <c r="E10" s="2933"/>
      <c r="F10" s="2933"/>
      <c r="G10" s="192"/>
      <c r="H10" s="2924"/>
      <c r="I10" s="2924"/>
      <c r="J10" s="2924"/>
      <c r="K10" s="917"/>
      <c r="L10" s="918"/>
      <c r="M10" s="918"/>
      <c r="N10" s="1266" t="s">
        <v>1003</v>
      </c>
      <c r="Q10" s="1261" t="str">
        <f ca="1">IFERROR(IF(OR('L-Rechner'!B56=F11,AND(F11="NEU",NOW()&lt;R10)),"OK!","f"),"f")</f>
        <v>OK!</v>
      </c>
      <c r="R10" s="1267">
        <v>46082</v>
      </c>
      <c r="Z10" s="1337"/>
      <c r="AA10" s="1338"/>
      <c r="AE10" s="204"/>
      <c r="AF10" s="204"/>
    </row>
    <row r="11" spans="1:32" ht="26.85" customHeight="1" x14ac:dyDescent="0.25">
      <c r="A11" s="912" t="s">
        <v>1002</v>
      </c>
      <c r="B11" s="169"/>
      <c r="C11" s="2925" t="s">
        <v>1130</v>
      </c>
      <c r="D11" s="2926"/>
      <c r="E11" s="914">
        <f>LEN(C11)</f>
        <v>23</v>
      </c>
      <c r="F11" s="1258" t="s">
        <v>1131</v>
      </c>
      <c r="G11" s="914">
        <f>LEN(F11)</f>
        <v>4</v>
      </c>
      <c r="H11" s="2924"/>
      <c r="I11" s="2924"/>
      <c r="J11" s="2924"/>
      <c r="K11" s="917"/>
      <c r="L11" s="918"/>
      <c r="M11" s="918"/>
      <c r="N11" s="1266" t="s">
        <v>1004</v>
      </c>
      <c r="O11" s="1268"/>
      <c r="Q11" s="1261" t="str">
        <f>IFERROR(IF('L-Rechner'!B48=C11,"OK!","f"),"f")</f>
        <v>OK!</v>
      </c>
      <c r="Z11" s="1337"/>
      <c r="AA11" s="1338"/>
      <c r="AE11" s="204"/>
      <c r="AF11" s="204"/>
    </row>
    <row r="12" spans="1:32" ht="51" customHeight="1" x14ac:dyDescent="0.25">
      <c r="A12" s="913" t="s">
        <v>1001</v>
      </c>
      <c r="B12" s="169"/>
      <c r="C12" s="2934" t="str">
        <f>"&gt;"&amp;C11&amp;"&lt;"&amp;IF(E11&lt;&gt;23,"
Code muss 23 Zeichen lang sein!","")</f>
        <v>&gt;045v038K378h271J443o230&lt;</v>
      </c>
      <c r="D12" s="2934"/>
      <c r="E12" s="169"/>
      <c r="F12" s="1259" t="str">
        <f>"&gt;"&amp;F11&amp;"&lt;"</f>
        <v>&gt;jfbv&lt;</v>
      </c>
      <c r="G12" s="1253"/>
      <c r="H12" s="2924"/>
      <c r="I12" s="2924"/>
      <c r="J12" s="2924"/>
      <c r="K12" s="917"/>
      <c r="L12" s="918"/>
      <c r="M12" s="918"/>
      <c r="N12" s="2927"/>
      <c r="O12" s="2928"/>
      <c r="P12" s="2928"/>
      <c r="Z12" s="1337"/>
      <c r="AA12" s="1338"/>
      <c r="AE12" s="204"/>
      <c r="AF12" s="204"/>
    </row>
    <row r="13" spans="1:32" x14ac:dyDescent="0.25">
      <c r="A13" s="2935"/>
      <c r="B13" s="2936"/>
      <c r="C13" s="2936"/>
      <c r="D13" s="2936"/>
      <c r="E13" s="2936"/>
      <c r="F13" s="2937"/>
      <c r="G13" s="2938"/>
      <c r="N13" s="1264"/>
      <c r="Z13" s="1337"/>
      <c r="AA13" s="1338"/>
      <c r="AE13" s="204"/>
      <c r="AF13" s="204"/>
    </row>
    <row r="14" spans="1:32" ht="54.4" customHeight="1" x14ac:dyDescent="0.25">
      <c r="A14" s="1234"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0">
        <f ca="1">IFERROR(B14-TODAY(),-15)</f>
        <v>-699</v>
      </c>
      <c r="C15" s="2940"/>
      <c r="D15" s="2931"/>
      <c r="E15" s="2931"/>
      <c r="F15" s="2931"/>
      <c r="G15" s="2932"/>
      <c r="H15" s="2923"/>
      <c r="I15" s="2923"/>
      <c r="J15" s="2923"/>
      <c r="K15" s="919"/>
      <c r="L15" s="920"/>
      <c r="M15" s="920"/>
      <c r="N15" s="1266" t="s">
        <v>1000</v>
      </c>
      <c r="Q15" s="1261" t="str">
        <f ca="1">IFERROR(IF(B15&gt;-14,"OK!","f"),"f")</f>
        <v>f</v>
      </c>
      <c r="Z15" s="1337"/>
      <c r="AA15" s="1338"/>
      <c r="AE15" s="204"/>
      <c r="AF15" s="204"/>
    </row>
    <row r="16" spans="1:32" x14ac:dyDescent="0.25">
      <c r="A16" s="1236"/>
      <c r="B16" s="1237"/>
      <c r="C16" s="1237"/>
      <c r="D16" s="1236"/>
      <c r="E16" s="1236"/>
      <c r="F16" s="1238"/>
      <c r="G16" s="1238"/>
      <c r="H16" s="2923"/>
      <c r="I16" s="2923"/>
      <c r="J16" s="2923"/>
      <c r="N16" s="1261" t="s">
        <v>221</v>
      </c>
      <c r="Q16" s="1265" t="str">
        <f ca="1">IF(AND(Q10="OK!",Q11="OK!",Q15="OK!"),"OK!","f")</f>
        <v>f</v>
      </c>
      <c r="Z16" s="1337"/>
      <c r="AA16" s="1338"/>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1009</v>
      </c>
      <c r="B18" s="2899" t="s">
        <v>1017</v>
      </c>
      <c r="C18" s="2900"/>
      <c r="D18" s="2900"/>
      <c r="E18" s="2900"/>
      <c r="F18" s="2901"/>
      <c r="G18" s="174"/>
      <c r="H18" s="2894"/>
      <c r="I18" s="206"/>
      <c r="J18" s="921"/>
      <c r="K18" s="921"/>
      <c r="L18" s="922"/>
      <c r="M18" s="922"/>
      <c r="N18" s="1264">
        <f ca="1">IF(AND(_OK?="OK!",OR(C9="…",C9="###")),1,0)</f>
        <v>0</v>
      </c>
      <c r="O18" s="1261" t="s">
        <v>1007</v>
      </c>
      <c r="Z18" s="1337"/>
      <c r="AA18" s="1338"/>
      <c r="AE18" s="204"/>
      <c r="AF18" s="204"/>
    </row>
    <row r="19" spans="1:32" x14ac:dyDescent="0.25">
      <c r="A19" s="119" t="s">
        <v>1010</v>
      </c>
      <c r="B19" s="2899" t="s">
        <v>1018</v>
      </c>
      <c r="C19" s="2900"/>
      <c r="D19" s="2900"/>
      <c r="E19" s="2900"/>
      <c r="F19" s="2901"/>
      <c r="G19" s="187"/>
      <c r="H19" s="2894"/>
      <c r="I19" s="206"/>
      <c r="J19" s="921"/>
      <c r="K19" s="921"/>
      <c r="L19" s="922"/>
      <c r="M19" s="922"/>
      <c r="N19" s="1272">
        <f>IFERROR(SEARCH("KV#",C9),0)</f>
        <v>0</v>
      </c>
      <c r="O19" s="1261" t="s">
        <v>1011</v>
      </c>
      <c r="Z19" s="1337"/>
      <c r="AA19" s="1338"/>
      <c r="AE19" s="204"/>
      <c r="AF19" s="204"/>
    </row>
    <row r="20" spans="1:32" ht="16.5" thickBot="1" x14ac:dyDescent="0.3">
      <c r="A20" s="1254"/>
      <c r="B20" s="1255"/>
      <c r="C20" s="1255"/>
      <c r="D20" s="1254"/>
      <c r="E20" s="1254"/>
      <c r="F20" s="1252"/>
      <c r="G20" s="1252"/>
      <c r="H20" s="2894"/>
      <c r="I20" s="206"/>
      <c r="J20" s="921"/>
      <c r="K20" s="921"/>
      <c r="L20" s="922"/>
      <c r="M20" s="922"/>
      <c r="N20" s="1261" t="str">
        <f>MID(C9,4,LEN(C9)-3)</f>
        <v xml:space="preserve"> / Straße</v>
      </c>
      <c r="Z20" s="1337"/>
      <c r="AA20" s="1339"/>
      <c r="AE20" s="204"/>
      <c r="AF20" s="204"/>
    </row>
    <row r="21" spans="1:32" ht="16.5" thickBot="1" x14ac:dyDescent="0.3">
      <c r="A21" s="2896" t="s">
        <v>210</v>
      </c>
      <c r="B21" s="2897"/>
      <c r="C21" s="2897"/>
      <c r="D21" s="2897"/>
      <c r="E21" s="2897"/>
      <c r="F21" s="2897"/>
      <c r="G21" s="2898"/>
      <c r="H21" s="2894"/>
      <c r="I21" s="206"/>
      <c r="J21" s="921"/>
      <c r="K21" s="921"/>
      <c r="L21" s="922"/>
      <c r="M21" s="922"/>
      <c r="N21" s="1273">
        <f ca="1">IFERROR(IF(SEARCH(N20,KALKULATION!B34)&gt;0,1,0),0)</f>
        <v>0</v>
      </c>
      <c r="O21" s="1261" t="s">
        <v>1012</v>
      </c>
      <c r="Z21" s="1337"/>
      <c r="AA21" s="1339"/>
      <c r="AE21" s="204"/>
      <c r="AF21" s="204"/>
    </row>
    <row r="22" spans="1:32" ht="16.5" thickBot="1" x14ac:dyDescent="0.3">
      <c r="A22" s="1256" t="s">
        <v>211</v>
      </c>
      <c r="B22" s="2895" t="str">
        <f ca="1">IFERROR(IF(_OK?="OK!",C7,"Nur als Testversion nutzbar!"),"QUELLDATEI NICHT GEÖFFNET - siehe Stammdaten!!")</f>
        <v>Nur als Testversion nutzbar!</v>
      </c>
      <c r="C22" s="2895"/>
      <c r="D22" s="2895"/>
      <c r="E22" s="2895"/>
      <c r="F22" s="2895"/>
      <c r="G22" s="1257"/>
      <c r="H22" s="2894"/>
      <c r="I22" s="206"/>
      <c r="J22" s="921"/>
      <c r="K22" s="921"/>
      <c r="L22" s="922"/>
      <c r="M22" s="922"/>
      <c r="N22" s="1264">
        <f ca="1">N19+N21</f>
        <v>0</v>
      </c>
      <c r="Z22" s="1337"/>
      <c r="AA22" s="1339"/>
      <c r="AE22" s="204"/>
      <c r="AF22" s="204"/>
    </row>
    <row r="23" spans="1:32" ht="16.5" thickBot="1" x14ac:dyDescent="0.3">
      <c r="A23" s="1256" t="s">
        <v>212</v>
      </c>
      <c r="B23" s="2895" t="str">
        <f ca="1">IFERROR(IF(_OK?&lt;&gt;"OK!","Nur als Testversion nutzbar!",IF(OR(N18=1,N21=1),B18,C9)),"QUELLDATEI NICHT GEÖFFNET - siehe Stammdaten!!")</f>
        <v>Nur als Testversion nutzbar!</v>
      </c>
      <c r="C23" s="2895"/>
      <c r="D23" s="2895"/>
      <c r="E23" s="2895"/>
      <c r="F23" s="2895"/>
      <c r="G23" s="1257"/>
      <c r="H23" s="2894"/>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895" t="str">
        <f ca="1">IFERROR(IF(_OK?&lt;&gt;"OK!","Nur als Testversion nutzbar!",IF(OR(N18=1,N21=1),B19,"")),"QUELLDATEI NICHT GEÖFFNET - siehe Stammdaten!!")</f>
        <v>Nur als Testversion nutzbar!</v>
      </c>
      <c r="C24" s="2895"/>
      <c r="D24" s="2895"/>
      <c r="E24" s="2895"/>
      <c r="F24" s="2895"/>
      <c r="G24" s="1257"/>
      <c r="H24" s="2894"/>
      <c r="I24" s="206"/>
      <c r="J24" s="921"/>
      <c r="K24" s="921"/>
      <c r="L24" s="922"/>
      <c r="M24" s="922"/>
      <c r="N24" s="1264" t="s">
        <v>1008</v>
      </c>
      <c r="Z24" s="1337"/>
      <c r="AA24" s="1338"/>
      <c r="AE24" s="204"/>
      <c r="AF24" s="204"/>
    </row>
    <row r="25" spans="1:32" ht="16.5" thickBot="1" x14ac:dyDescent="0.3">
      <c r="A25" s="1256"/>
      <c r="B25" s="883"/>
      <c r="C25" s="883"/>
      <c r="D25" s="883"/>
      <c r="E25" s="883"/>
      <c r="F25" s="883"/>
      <c r="G25" s="1257"/>
      <c r="H25" s="2894"/>
      <c r="I25" s="206"/>
      <c r="J25" s="921"/>
      <c r="K25" s="921"/>
      <c r="L25" s="922"/>
      <c r="M25" s="922"/>
      <c r="N25" s="1264" t="s">
        <v>1015</v>
      </c>
      <c r="Z25" s="1337"/>
      <c r="AA25" s="1338"/>
      <c r="AE25" s="204"/>
      <c r="AF25" s="204"/>
    </row>
    <row r="26" spans="1:32" ht="22.9" customHeight="1" x14ac:dyDescent="0.25">
      <c r="A26" s="2952" t="s">
        <v>251</v>
      </c>
      <c r="B26" s="2953"/>
      <c r="C26" s="2953"/>
      <c r="D26" s="2953"/>
      <c r="E26" s="2953"/>
      <c r="F26" s="2953"/>
      <c r="G26" s="2954"/>
      <c r="H26" s="2894"/>
      <c r="I26" s="206"/>
      <c r="J26" s="921"/>
      <c r="K26" s="921"/>
      <c r="L26" s="922"/>
      <c r="M26" s="922"/>
      <c r="N26" s="1264" t="s">
        <v>1013</v>
      </c>
      <c r="Z26" s="1337"/>
      <c r="AA26" s="1338"/>
      <c r="AE26" s="204"/>
      <c r="AF26" s="204"/>
    </row>
    <row r="27" spans="1:32" ht="22.9" customHeight="1" thickBot="1" x14ac:dyDescent="0.3">
      <c r="A27" s="1260" t="s">
        <v>208</v>
      </c>
      <c r="B27" s="2891"/>
      <c r="C27" s="2892"/>
      <c r="D27" s="2892"/>
      <c r="E27" s="2892"/>
      <c r="F27" s="2892"/>
      <c r="G27" s="2893"/>
      <c r="H27" s="2894"/>
      <c r="I27" s="206"/>
      <c r="J27" s="921"/>
      <c r="K27" s="921"/>
      <c r="L27" s="922"/>
      <c r="M27" s="922"/>
      <c r="N27" s="1264" t="s">
        <v>1016</v>
      </c>
      <c r="Z27" s="1337"/>
      <c r="AA27" s="1338"/>
      <c r="AE27" s="204"/>
      <c r="AF27" s="204"/>
    </row>
    <row r="28" spans="1:32" x14ac:dyDescent="0.25">
      <c r="A28" s="883"/>
      <c r="B28" s="883"/>
      <c r="C28" s="1241"/>
      <c r="D28" s="883"/>
      <c r="E28" s="883"/>
      <c r="F28" s="1240"/>
      <c r="G28" s="1240"/>
      <c r="H28" s="2894"/>
      <c r="I28" s="206"/>
      <c r="J28" s="921"/>
      <c r="K28" s="921"/>
      <c r="L28" s="922"/>
      <c r="M28" s="922"/>
      <c r="N28" s="1264"/>
      <c r="Z28" s="1337"/>
      <c r="AA28" s="1338"/>
      <c r="AE28" s="204"/>
      <c r="AF28" s="204"/>
    </row>
    <row r="29" spans="1:32" x14ac:dyDescent="0.25">
      <c r="A29" s="1242" t="s">
        <v>233</v>
      </c>
      <c r="B29" s="2955" t="str">
        <f ca="1">B22</f>
        <v>Nur als Testversion nutzbar!</v>
      </c>
      <c r="C29" s="2955"/>
      <c r="D29" s="2955"/>
      <c r="E29" s="2955"/>
      <c r="F29" s="2955"/>
      <c r="G29" s="2956"/>
      <c r="H29" s="2894"/>
      <c r="I29" s="206"/>
      <c r="J29" s="921"/>
      <c r="K29" s="921"/>
      <c r="L29" s="922"/>
      <c r="M29" s="922"/>
      <c r="N29" s="1264"/>
      <c r="O29" s="2890"/>
      <c r="P29" s="2890"/>
      <c r="Q29" s="2890"/>
      <c r="R29" s="2890"/>
      <c r="Z29" s="1337"/>
      <c r="AA29" s="1338"/>
      <c r="AE29" s="204"/>
      <c r="AF29" s="204"/>
    </row>
    <row r="30" spans="1:32" x14ac:dyDescent="0.25">
      <c r="A30" s="883"/>
      <c r="B30" s="1243"/>
      <c r="C30" s="1243"/>
      <c r="D30" s="1244"/>
      <c r="E30" s="883"/>
      <c r="F30" s="883"/>
      <c r="G30" s="883"/>
      <c r="N30" s="1264"/>
      <c r="O30" s="2890"/>
      <c r="P30" s="2890"/>
      <c r="Q30" s="2890"/>
      <c r="R30" s="2890"/>
      <c r="Z30" s="1337"/>
      <c r="AA30" s="1338"/>
      <c r="AE30" s="204"/>
      <c r="AF30" s="204"/>
    </row>
    <row r="31" spans="1:32" x14ac:dyDescent="0.25">
      <c r="A31" s="2905" t="s">
        <v>207</v>
      </c>
      <c r="B31" s="2906"/>
      <c r="C31" s="2906"/>
      <c r="D31" s="2906"/>
      <c r="E31" s="2906"/>
      <c r="F31" s="2906"/>
      <c r="G31" s="2907"/>
      <c r="N31" s="1264"/>
      <c r="O31" s="2890"/>
      <c r="P31" s="2890"/>
      <c r="Q31" s="2890"/>
      <c r="R31" s="2890"/>
      <c r="Z31" s="1337"/>
      <c r="AA31" s="1338"/>
      <c r="AE31" s="204"/>
      <c r="AF31" s="204"/>
    </row>
    <row r="32" spans="1:32" x14ac:dyDescent="0.25">
      <c r="A32" s="1245" t="s">
        <v>209</v>
      </c>
      <c r="B32" s="2974" t="s">
        <v>898</v>
      </c>
      <c r="C32" s="2974"/>
      <c r="D32" s="1246" t="s">
        <v>1091</v>
      </c>
      <c r="E32" s="1246"/>
      <c r="F32" s="2950" t="s">
        <v>219</v>
      </c>
      <c r="G32" s="2951"/>
      <c r="N32" s="1264"/>
      <c r="O32" s="2890"/>
      <c r="P32" s="2890"/>
      <c r="Q32" s="2890"/>
      <c r="R32" s="2890"/>
      <c r="Z32" s="1337"/>
      <c r="AA32" s="1338"/>
      <c r="AE32" s="204"/>
      <c r="AF32" s="204"/>
    </row>
    <row r="33" spans="1:32" x14ac:dyDescent="0.25">
      <c r="A33" s="1239" t="s">
        <v>206</v>
      </c>
      <c r="B33" s="2973"/>
      <c r="C33" s="2973"/>
      <c r="D33" s="2973"/>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70" t="s">
        <v>202</v>
      </c>
      <c r="B36" s="2971"/>
      <c r="C36" s="2971"/>
      <c r="D36" s="2971"/>
      <c r="E36" s="2971"/>
      <c r="F36" s="2971"/>
      <c r="G36" s="2972"/>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912" t="s">
        <v>927</v>
      </c>
      <c r="B38" s="2913"/>
      <c r="C38" s="2913"/>
      <c r="D38" s="2913"/>
      <c r="E38" s="2913"/>
      <c r="F38" s="2913"/>
      <c r="G38" s="2914"/>
      <c r="N38" s="1264"/>
      <c r="Z38" s="1337"/>
      <c r="AA38" s="1338"/>
      <c r="AE38" s="204"/>
      <c r="AF38" s="204"/>
    </row>
    <row r="39" spans="1:32" ht="15.95" customHeight="1" x14ac:dyDescent="0.25">
      <c r="A39" s="2915"/>
      <c r="B39" s="2916"/>
      <c r="C39" s="2916"/>
      <c r="D39" s="2916"/>
      <c r="E39" s="2916"/>
      <c r="F39" s="2916"/>
      <c r="G39" s="2917"/>
      <c r="N39" s="1264"/>
      <c r="Z39" s="1337"/>
      <c r="AA39" s="1338"/>
      <c r="AE39" s="204"/>
      <c r="AF39" s="204"/>
    </row>
    <row r="40" spans="1:32" ht="15.95" customHeight="1" x14ac:dyDescent="0.25">
      <c r="A40" s="2915"/>
      <c r="B40" s="2916"/>
      <c r="C40" s="2916"/>
      <c r="D40" s="2916"/>
      <c r="E40" s="2916"/>
      <c r="F40" s="2916"/>
      <c r="G40" s="2917"/>
      <c r="N40" s="1264"/>
      <c r="Z40" s="1337"/>
      <c r="AA40" s="1338"/>
      <c r="AE40" s="204"/>
      <c r="AF40" s="204"/>
    </row>
    <row r="41" spans="1:32" ht="15.95" customHeight="1" x14ac:dyDescent="0.25">
      <c r="A41" s="2915"/>
      <c r="B41" s="2916"/>
      <c r="C41" s="2916"/>
      <c r="D41" s="2916"/>
      <c r="E41" s="2916"/>
      <c r="F41" s="2916"/>
      <c r="G41" s="2917"/>
      <c r="N41" s="1273"/>
      <c r="O41" s="1277"/>
      <c r="P41" s="1277"/>
      <c r="Q41" s="1277"/>
      <c r="R41" s="1277"/>
      <c r="S41" s="1277"/>
      <c r="T41" s="1277"/>
      <c r="U41" s="1277"/>
      <c r="V41" s="1277"/>
      <c r="W41" s="1277"/>
      <c r="X41" s="1277"/>
      <c r="Y41" s="1277"/>
      <c r="Z41" s="1340"/>
      <c r="AA41" s="1341"/>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928</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929</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1090</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Baunebengewerbe (Hafner-, Platten-, Fliesenleger</v>
      </c>
      <c r="H1" s="3605"/>
      <c r="I1" s="3605"/>
      <c r="J1" s="3605"/>
      <c r="K1" s="3605"/>
      <c r="L1" s="3605"/>
      <c r="M1" s="3605"/>
      <c r="N1" s="3605"/>
      <c r="O1" s="3605"/>
      <c r="P1" s="3606"/>
      <c r="R1" s="782"/>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2"/>
    </row>
    <row r="7" spans="1:18" x14ac:dyDescent="0.2">
      <c r="A7" s="3600"/>
      <c r="B7" s="2726"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KollV Hafner, Platten- und Fliesenleger (ohne Kärnten)</v>
      </c>
      <c r="C8" s="3592"/>
      <c r="D8" s="3592"/>
      <c r="E8" s="3592"/>
      <c r="F8" s="3592"/>
      <c r="G8" s="3592"/>
      <c r="H8" s="3592"/>
      <c r="I8" s="3592"/>
      <c r="J8" s="3592"/>
      <c r="K8" s="3592"/>
      <c r="L8" s="3593"/>
      <c r="M8" s="3390" t="s">
        <v>26</v>
      </c>
      <c r="N8" s="3391"/>
      <c r="O8" s="3587">
        <f ca="1">Stammdaten!B4</f>
        <v>46143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2"/>
    </row>
    <row r="10" spans="1:18" x14ac:dyDescent="0.2">
      <c r="A10" s="43" t="s">
        <v>29</v>
      </c>
      <c r="B10" s="3607" t="str">
        <f>KALKULATION!A489</f>
        <v>Qualifizierter Helfer</v>
      </c>
      <c r="C10" s="3607"/>
      <c r="D10" s="3607"/>
      <c r="E10" s="3608"/>
      <c r="F10" s="3609">
        <f ca="1">IFERROR((VLOOKUP(B10,Stammdaten!A$7:D$33,4,FALSE)),"")</f>
        <v>15.96</v>
      </c>
      <c r="G10" s="3609"/>
      <c r="H10" s="30">
        <f>KALKULATION!F489</f>
        <v>1</v>
      </c>
      <c r="I10" s="3547">
        <f ca="1">IF(PRODUCT(F10,H10)=0,"",F10*H10)</f>
        <v>15.96</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614" t="str">
        <f>KALKULATION!N516</f>
        <v>Regiestunde</v>
      </c>
      <c r="L11" s="3615"/>
      <c r="M11" s="3615"/>
      <c r="N11" s="3615"/>
      <c r="O11" s="1034" t="str">
        <f>KALKULATION!P516</f>
        <v/>
      </c>
      <c r="P11" s="163">
        <v>1</v>
      </c>
      <c r="R11" s="782"/>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2"/>
    </row>
    <row r="13" spans="1:18" x14ac:dyDescent="0.2">
      <c r="A13" s="43" t="s">
        <v>33</v>
      </c>
      <c r="B13" s="3572"/>
      <c r="C13" s="3572"/>
      <c r="D13" s="3572"/>
      <c r="E13" s="3573"/>
      <c r="F13" s="3574"/>
      <c r="G13" s="3574"/>
      <c r="H13" s="33"/>
      <c r="I13" s="3575"/>
      <c r="J13" s="3576"/>
      <c r="K13" s="3577"/>
      <c r="L13" s="3578"/>
      <c r="M13" s="3578"/>
      <c r="N13" s="3579"/>
      <c r="O13" s="558"/>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616"/>
      <c r="L16" s="3616"/>
      <c r="M16" s="3616"/>
      <c r="N16" s="3617"/>
      <c r="O16" s="36"/>
      <c r="P16" s="37"/>
      <c r="R16" s="782"/>
    </row>
    <row r="17" spans="1:18" x14ac:dyDescent="0.2">
      <c r="A17" s="43" t="s">
        <v>37</v>
      </c>
      <c r="B17" s="3572"/>
      <c r="C17" s="3572"/>
      <c r="D17" s="3572"/>
      <c r="E17" s="3573"/>
      <c r="F17" s="3574"/>
      <c r="G17" s="3574"/>
      <c r="H17" s="33"/>
      <c r="I17" s="3575"/>
      <c r="J17" s="3576"/>
      <c r="K17" s="3616"/>
      <c r="L17" s="3616"/>
      <c r="M17" s="3616"/>
      <c r="N17" s="3617"/>
      <c r="O17" s="36"/>
      <c r="P17" s="37"/>
      <c r="R17" s="782"/>
    </row>
    <row r="18" spans="1:18" ht="15.75" thickBot="1" x14ac:dyDescent="0.25">
      <c r="A18" s="43" t="s">
        <v>38</v>
      </c>
      <c r="B18" s="3565"/>
      <c r="C18" s="3566"/>
      <c r="D18" s="3566"/>
      <c r="E18" s="3567"/>
      <c r="F18" s="3568"/>
      <c r="G18" s="3568"/>
      <c r="H18" s="38"/>
      <c r="I18" s="3569"/>
      <c r="J18" s="3570"/>
      <c r="K18" s="3618"/>
      <c r="L18" s="3618"/>
      <c r="M18" s="3618"/>
      <c r="N18" s="3619"/>
      <c r="O18" s="39"/>
      <c r="P18" s="40"/>
      <c r="R18" s="782"/>
    </row>
    <row r="19" spans="1:18" x14ac:dyDescent="0.2">
      <c r="A19" s="43">
        <v>2</v>
      </c>
      <c r="B19" s="1169" t="s">
        <v>39</v>
      </c>
      <c r="C19" s="1170"/>
      <c r="D19" s="1171"/>
      <c r="E19" s="1171"/>
      <c r="F19" s="1171"/>
      <c r="G19" s="1171"/>
      <c r="H19" s="1167">
        <f>SUM(H10:H18)</f>
        <v>1</v>
      </c>
      <c r="I19" s="3376">
        <f ca="1">IF(AND(_OK?="OK!",_OK_KV?="OK_KV!"),SUM(I10:J18),KALKULATION!G490)</f>
        <v>16</v>
      </c>
      <c r="J19" s="3377"/>
      <c r="K19" s="3626" t="s">
        <v>143</v>
      </c>
      <c r="L19" s="3626"/>
      <c r="M19" s="3626"/>
      <c r="N19" s="3626"/>
      <c r="O19" s="3626"/>
      <c r="P19" s="1173">
        <v>1</v>
      </c>
      <c r="R19" s="782"/>
    </row>
    <row r="20" spans="1:18" x14ac:dyDescent="0.2">
      <c r="A20" s="43"/>
      <c r="B20" s="3440"/>
      <c r="C20" s="3440"/>
      <c r="D20" s="3440"/>
      <c r="E20" s="3440"/>
      <c r="F20" s="3440"/>
      <c r="G20" s="3440"/>
      <c r="H20" s="3440"/>
      <c r="I20" s="3440"/>
      <c r="J20" s="3440"/>
      <c r="K20" s="3440"/>
      <c r="L20" s="2727"/>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627">
        <f ca="1">I19/H19</f>
        <v>16</v>
      </c>
      <c r="P21" s="3628"/>
      <c r="R21" s="782"/>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2"/>
    </row>
    <row r="23" spans="1:18" x14ac:dyDescent="0.2">
      <c r="A23" s="43">
        <v>5</v>
      </c>
      <c r="B23" s="3459" t="s">
        <v>142</v>
      </c>
      <c r="C23" s="3460"/>
      <c r="D23" s="3460"/>
      <c r="E23" s="3460"/>
      <c r="F23" s="3460"/>
      <c r="G23" s="3460"/>
      <c r="H23" s="3531" t="s">
        <v>180</v>
      </c>
      <c r="I23" s="3453"/>
      <c r="J23" s="3453"/>
      <c r="K23" s="3453"/>
      <c r="L23" s="3453"/>
      <c r="M23" s="3453"/>
      <c r="N23" s="147"/>
      <c r="O23" s="3624">
        <f ca="1">SUM(O21:O22)</f>
        <v>16</v>
      </c>
      <c r="P23" s="3625"/>
      <c r="R23" s="782"/>
    </row>
    <row r="24" spans="1:18" x14ac:dyDescent="0.2">
      <c r="A24" s="43">
        <v>6</v>
      </c>
      <c r="B24" s="3375" t="s">
        <v>109</v>
      </c>
      <c r="C24" s="3375"/>
      <c r="D24" s="3375"/>
      <c r="E24" s="3375"/>
      <c r="F24" s="3375"/>
      <c r="G24" s="3375"/>
      <c r="H24" s="3455" t="s">
        <v>87</v>
      </c>
      <c r="I24" s="3455"/>
      <c r="J24" s="3456"/>
      <c r="K24" s="3495">
        <f ca="1">KALKULATION!H502</f>
        <v>0.14940000000000001</v>
      </c>
      <c r="L24" s="3496"/>
      <c r="M24" s="3457"/>
      <c r="N24" s="3458"/>
      <c r="O24" s="3547">
        <f ca="1">K24*O23</f>
        <v>2.39</v>
      </c>
      <c r="P24" s="3548"/>
      <c r="R24" s="782"/>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2"/>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2"/>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2.8</v>
      </c>
      <c r="P27" s="3552"/>
      <c r="R27" s="782"/>
    </row>
    <row r="28" spans="1:18" x14ac:dyDescent="0.2">
      <c r="A28" s="43">
        <v>10</v>
      </c>
      <c r="B28" s="3459" t="s">
        <v>42</v>
      </c>
      <c r="C28" s="3460"/>
      <c r="D28" s="3460"/>
      <c r="E28" s="3460"/>
      <c r="F28" s="3460"/>
      <c r="G28" s="3460"/>
      <c r="H28" s="3531" t="s">
        <v>183</v>
      </c>
      <c r="I28" s="3453"/>
      <c r="J28" s="3453"/>
      <c r="K28" s="3453"/>
      <c r="L28" s="3453"/>
      <c r="M28" s="3453"/>
      <c r="N28" s="146"/>
      <c r="O28" s="3624">
        <f ca="1">SUM(O23:P27)</f>
        <v>21.19</v>
      </c>
      <c r="P28" s="3625"/>
      <c r="R28" s="782"/>
    </row>
    <row r="29" spans="1:18" x14ac:dyDescent="0.2">
      <c r="A29" s="43">
        <v>11</v>
      </c>
      <c r="B29" s="2280" t="s">
        <v>104</v>
      </c>
      <c r="C29" s="2280"/>
      <c r="D29" s="2280"/>
      <c r="E29" s="2280"/>
      <c r="F29" s="2280"/>
      <c r="G29" s="2280"/>
      <c r="H29" s="2280"/>
      <c r="I29" s="2280"/>
      <c r="J29" s="2280"/>
      <c r="K29" s="2280"/>
      <c r="L29" s="2280"/>
      <c r="M29" s="2280"/>
      <c r="N29" s="2280"/>
      <c r="O29" s="3547">
        <f ca="1">KALKULATION!H527</f>
        <v>1.1000000000000001</v>
      </c>
      <c r="P29" s="3548"/>
      <c r="R29" s="782"/>
    </row>
    <row r="30" spans="1:18" x14ac:dyDescent="0.2">
      <c r="A30" s="43">
        <v>12</v>
      </c>
      <c r="B30" s="3375" t="s">
        <v>43</v>
      </c>
      <c r="C30" s="3375"/>
      <c r="D30" s="3375"/>
      <c r="E30" s="3375"/>
      <c r="F30" s="3375"/>
      <c r="G30" s="3375"/>
      <c r="H30" s="3455" t="s">
        <v>44</v>
      </c>
      <c r="I30" s="3455"/>
      <c r="J30" s="3456"/>
      <c r="K30" s="3629">
        <f ca="1">KALKULATION!H528</f>
        <v>0.28000000000000003</v>
      </c>
      <c r="L30" s="3630"/>
      <c r="M30" s="3457"/>
      <c r="N30" s="3458"/>
      <c r="O30" s="3547">
        <f ca="1">K30*O28</f>
        <v>5.93</v>
      </c>
      <c r="P30" s="3548"/>
      <c r="R30" s="782"/>
    </row>
    <row r="31" spans="1:18" x14ac:dyDescent="0.2">
      <c r="A31" s="43">
        <v>13</v>
      </c>
      <c r="B31" s="3375" t="s">
        <v>45</v>
      </c>
      <c r="C31" s="3375"/>
      <c r="D31" s="3375"/>
      <c r="E31" s="3375"/>
      <c r="F31" s="3375"/>
      <c r="G31" s="3375"/>
      <c r="H31" s="3455" t="s">
        <v>44</v>
      </c>
      <c r="I31" s="3455"/>
      <c r="J31" s="3456"/>
      <c r="K31" s="3629">
        <f ca="1">KALKULATION!H529</f>
        <v>0.72</v>
      </c>
      <c r="L31" s="3630"/>
      <c r="M31" s="3457"/>
      <c r="N31" s="3458"/>
      <c r="O31" s="3547">
        <f ca="1">K31*O28</f>
        <v>15.26</v>
      </c>
      <c r="P31" s="3548"/>
      <c r="R31" s="782"/>
    </row>
    <row r="32" spans="1:18" ht="15.75" thickBot="1" x14ac:dyDescent="0.25">
      <c r="A32" s="43">
        <v>14</v>
      </c>
      <c r="B32" s="3473" t="s">
        <v>46</v>
      </c>
      <c r="C32" s="3474"/>
      <c r="D32" s="3474"/>
      <c r="E32" s="3474"/>
      <c r="F32" s="3474"/>
      <c r="G32" s="3474"/>
      <c r="H32" s="3475" t="s">
        <v>44</v>
      </c>
      <c r="I32" s="3475"/>
      <c r="J32" s="3476"/>
      <c r="K32" s="3620">
        <f ca="1">O32/O28</f>
        <v>3.3E-3</v>
      </c>
      <c r="L32" s="3621"/>
      <c r="M32" s="3497"/>
      <c r="N32" s="3498"/>
      <c r="O32" s="3551">
        <f ca="1">KALKULATION!H530</f>
        <v>7.0000000000000007E-2</v>
      </c>
      <c r="P32" s="3552"/>
      <c r="R32" s="782"/>
    </row>
    <row r="33" spans="1:18" x14ac:dyDescent="0.2">
      <c r="A33" s="43">
        <v>15</v>
      </c>
      <c r="B33" s="3459" t="s">
        <v>47</v>
      </c>
      <c r="C33" s="3460"/>
      <c r="D33" s="3460"/>
      <c r="E33" s="3460"/>
      <c r="F33" s="3460"/>
      <c r="G33" s="3460"/>
      <c r="H33" s="3531" t="s">
        <v>184</v>
      </c>
      <c r="I33" s="3453"/>
      <c r="J33" s="3453"/>
      <c r="K33" s="3453"/>
      <c r="L33" s="3453"/>
      <c r="M33" s="3453"/>
      <c r="N33" s="3453"/>
      <c r="O33" s="3624">
        <f ca="1">SUM(O28:P32)</f>
        <v>43.55</v>
      </c>
      <c r="P33" s="3625"/>
      <c r="R33" s="782"/>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IF(_Anzeige_Prozent=_Nein,KALKULATION!G531+KALKULATION!H531/O33,KALKULATION!G531)</f>
        <v>0.06</v>
      </c>
      <c r="L34" s="3496"/>
      <c r="M34" s="3631">
        <f ca="1">IF(_Anzeige_Prozent=_Nein,"",KALKULATION!H531)</f>
        <v>3.46</v>
      </c>
      <c r="N34" s="3632"/>
      <c r="O34" s="3631">
        <f ca="1">SUM(KALKULATION!H531,KALKULATION!G531*O33)</f>
        <v>6.07</v>
      </c>
      <c r="P34" s="3632"/>
      <c r="R34" s="782"/>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2"/>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2"/>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2"/>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49.62</v>
      </c>
      <c r="P39" s="3535"/>
      <c r="R39" s="782"/>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49.62</v>
      </c>
      <c r="O40" s="3559"/>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14.39</v>
      </c>
      <c r="P43" s="3639"/>
      <c r="R43" s="782"/>
    </row>
    <row r="44" spans="1:18" x14ac:dyDescent="0.2">
      <c r="A44" s="43">
        <v>21</v>
      </c>
      <c r="B44" s="1161" t="s">
        <v>897</v>
      </c>
      <c r="C44" s="1162"/>
      <c r="D44" s="1162"/>
      <c r="E44" s="1162"/>
      <c r="F44" s="1162"/>
      <c r="G44" s="1162"/>
      <c r="H44" s="1162"/>
      <c r="I44" s="1156"/>
      <c r="J44" s="1156"/>
      <c r="K44" s="1156"/>
      <c r="L44" s="1157"/>
      <c r="M44" s="3534" t="str">
        <f>IFERROR(IF(M39="","",SUM(M39,M43)),"")</f>
        <v/>
      </c>
      <c r="N44" s="3535"/>
      <c r="O44" s="3534">
        <f ca="1">SUM(O39:P43)</f>
        <v>64.010000000000005</v>
      </c>
      <c r="P44" s="3535"/>
      <c r="R44" s="782"/>
    </row>
    <row r="45" spans="1:18" ht="27.95" customHeight="1" x14ac:dyDescent="0.2">
      <c r="A45" s="44">
        <v>22</v>
      </c>
      <c r="B45" s="3556" t="str">
        <f>KALKULATION!C543</f>
        <v>Regielohnpreis gesamt für [Qualifizierter Helfer]</v>
      </c>
      <c r="C45" s="3557"/>
      <c r="D45" s="3557"/>
      <c r="E45" s="3557"/>
      <c r="F45" s="3557"/>
      <c r="G45" s="3557"/>
      <c r="H45" s="3557"/>
      <c r="I45" s="3557"/>
      <c r="J45" s="3558"/>
      <c r="K45" s="3472" t="s">
        <v>186</v>
      </c>
      <c r="L45" s="3044"/>
      <c r="M45" s="1164"/>
      <c r="N45" s="3559">
        <f ca="1">SUM(M44:P44)</f>
        <v>64.010000000000005</v>
      </c>
      <c r="O45" s="3559"/>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Baunebengewerbe (Hafner-, Platten-, Fliesenleger</v>
      </c>
      <c r="H1" s="3605"/>
      <c r="I1" s="3605"/>
      <c r="J1" s="3605"/>
      <c r="K1" s="3605"/>
      <c r="L1" s="3605"/>
      <c r="M1" s="3605"/>
      <c r="N1" s="3605"/>
      <c r="O1" s="3605"/>
      <c r="P1" s="3606"/>
      <c r="R1" s="783"/>
    </row>
    <row r="2" spans="1:18" x14ac:dyDescent="0.2">
      <c r="A2" s="3600"/>
      <c r="B2" s="3402" t="s">
        <v>57</v>
      </c>
      <c r="C2" s="3403"/>
      <c r="D2" s="3403"/>
      <c r="E2" s="3403"/>
      <c r="F2" s="3601" t="str">
        <f>IF(KALKULATION!D554="","Regiepersonalpreis",KALKULATION!D554)</f>
        <v>Regielohnkalkulation03</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3"/>
    </row>
    <row r="7" spans="1:18" x14ac:dyDescent="0.2">
      <c r="A7" s="3600"/>
      <c r="B7" s="2726"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KollV Hafner, Platten- und Fliesenleger (ohne Kärnten)</v>
      </c>
      <c r="C8" s="3592"/>
      <c r="D8" s="3592"/>
      <c r="E8" s="3592"/>
      <c r="F8" s="3592"/>
      <c r="G8" s="3592"/>
      <c r="H8" s="3592"/>
      <c r="I8" s="3592"/>
      <c r="J8" s="3592"/>
      <c r="K8" s="3592"/>
      <c r="L8" s="3593"/>
      <c r="M8" s="3390" t="s">
        <v>26</v>
      </c>
      <c r="N8" s="3391"/>
      <c r="O8" s="3587">
        <f ca="1">Stammdaten!B4</f>
        <v>46143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3"/>
    </row>
    <row r="10" spans="1:18" x14ac:dyDescent="0.2">
      <c r="A10" s="43" t="s">
        <v>29</v>
      </c>
      <c r="B10" s="3607" t="str">
        <f>KALKULATION!A557</f>
        <v>Helfer</v>
      </c>
      <c r="C10" s="3607"/>
      <c r="D10" s="3607"/>
      <c r="E10" s="3608"/>
      <c r="F10" s="3609">
        <f ca="1">IFERROR((VLOOKUP(B10,Stammdaten!A$7:D$33,4,FALSE)),"")</f>
        <v>15.33</v>
      </c>
      <c r="G10" s="3609"/>
      <c r="H10" s="30">
        <f>KALKULATION!F557</f>
        <v>1</v>
      </c>
      <c r="I10" s="3547">
        <f ca="1">IF(PRODUCT(F10,H10)=0,"",F10*H10)</f>
        <v>15.33</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KALKULATION!N584</f>
        <v>Regiestunde</v>
      </c>
      <c r="L11" s="3615"/>
      <c r="M11" s="3615"/>
      <c r="N11" s="3615"/>
      <c r="O11" s="1034" t="str">
        <f>KALKULATION!P584</f>
        <v/>
      </c>
      <c r="P11" s="163">
        <v>1</v>
      </c>
      <c r="R11" s="783"/>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3"/>
    </row>
    <row r="13" spans="1:18" x14ac:dyDescent="0.2">
      <c r="A13" s="43" t="s">
        <v>33</v>
      </c>
      <c r="B13" s="3572"/>
      <c r="C13" s="3572"/>
      <c r="D13" s="3572"/>
      <c r="E13" s="3573"/>
      <c r="F13" s="3574"/>
      <c r="G13" s="3574"/>
      <c r="H13" s="33"/>
      <c r="I13" s="3575"/>
      <c r="J13" s="3576"/>
      <c r="K13" s="3577"/>
      <c r="L13" s="3578"/>
      <c r="M13" s="3578"/>
      <c r="N13" s="3579"/>
      <c r="O13" s="556"/>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69" t="s">
        <v>39</v>
      </c>
      <c r="C19" s="1170"/>
      <c r="D19" s="1171"/>
      <c r="E19" s="1171"/>
      <c r="F19" s="1171"/>
      <c r="G19" s="1171"/>
      <c r="H19" s="1167">
        <f>SUM(H10:H18)</f>
        <v>1</v>
      </c>
      <c r="I19" s="3376">
        <f ca="1">IF(AND(_OK?="OK!",_OK_KV?="OK_KV!"),SUM(I10:J18),KALKULATION!G558)</f>
        <v>16</v>
      </c>
      <c r="J19" s="3377"/>
      <c r="K19" s="3626" t="s">
        <v>143</v>
      </c>
      <c r="L19" s="3626"/>
      <c r="M19" s="3626"/>
      <c r="N19" s="3626"/>
      <c r="O19" s="3626"/>
      <c r="P19" s="1173">
        <v>1</v>
      </c>
      <c r="R19" s="783"/>
    </row>
    <row r="20" spans="1:18" x14ac:dyDescent="0.2">
      <c r="A20" s="43"/>
      <c r="B20" s="3440"/>
      <c r="C20" s="3440"/>
      <c r="D20" s="3440"/>
      <c r="E20" s="3440"/>
      <c r="F20" s="3440"/>
      <c r="G20" s="3440"/>
      <c r="H20" s="3440"/>
      <c r="I20" s="3440"/>
      <c r="J20" s="3440"/>
      <c r="K20" s="3440"/>
      <c r="L20" s="2727"/>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16</v>
      </c>
      <c r="P21" s="3628"/>
      <c r="R21" s="783"/>
    </row>
    <row r="22" spans="1:18" ht="15.75" thickBot="1" x14ac:dyDescent="0.25">
      <c r="A22" s="43">
        <v>4</v>
      </c>
      <c r="B22" s="3442" t="s">
        <v>40</v>
      </c>
      <c r="C22" s="3443"/>
      <c r="D22" s="3443"/>
      <c r="E22" s="3443"/>
      <c r="F22" s="3443"/>
      <c r="G22" s="3443"/>
      <c r="H22" s="3450" t="s">
        <v>41</v>
      </c>
      <c r="I22" s="3450"/>
      <c r="J22" s="3451"/>
      <c r="K22" s="3620">
        <f ca="1">KALKULATION!G570</f>
        <v>0</v>
      </c>
      <c r="L22" s="3621"/>
      <c r="M22" s="3444"/>
      <c r="N22" s="3445"/>
      <c r="O22" s="3622">
        <f ca="1">K22*O21</f>
        <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f ca="1">SUM(O21:O22)</f>
        <v>16</v>
      </c>
      <c r="P23" s="3625"/>
      <c r="R23" s="783"/>
    </row>
    <row r="24" spans="1:18" x14ac:dyDescent="0.2">
      <c r="A24" s="43">
        <v>6</v>
      </c>
      <c r="B24" s="3375" t="s">
        <v>109</v>
      </c>
      <c r="C24" s="3375"/>
      <c r="D24" s="3375"/>
      <c r="E24" s="3375"/>
      <c r="F24" s="3375"/>
      <c r="G24" s="3375"/>
      <c r="H24" s="3455" t="s">
        <v>87</v>
      </c>
      <c r="I24" s="3455"/>
      <c r="J24" s="3456"/>
      <c r="K24" s="3495">
        <f ca="1">KALKULATION!H570</f>
        <v>0.14380000000000001</v>
      </c>
      <c r="L24" s="3496"/>
      <c r="M24" s="3457"/>
      <c r="N24" s="3458"/>
      <c r="O24" s="3547">
        <f ca="1">K24*O23</f>
        <v>2.2999999999999998</v>
      </c>
      <c r="P24" s="3548"/>
      <c r="R24" s="783"/>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f ca="1">K25*O23</f>
        <v>0</v>
      </c>
      <c r="P25" s="3548"/>
      <c r="R25" s="783"/>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f ca="1">K26*O23</f>
        <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2.8</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f ca="1">SUM(O23:P27)</f>
        <v>21.1</v>
      </c>
      <c r="P28" s="3625"/>
      <c r="R28" s="783"/>
    </row>
    <row r="29" spans="1:18" x14ac:dyDescent="0.2">
      <c r="A29" s="43">
        <v>11</v>
      </c>
      <c r="B29" s="2280" t="s">
        <v>104</v>
      </c>
      <c r="C29" s="2280"/>
      <c r="D29" s="2280"/>
      <c r="E29" s="2280"/>
      <c r="F29" s="2280"/>
      <c r="G29" s="2280"/>
      <c r="H29" s="2280"/>
      <c r="I29" s="2280"/>
      <c r="J29" s="2280"/>
      <c r="K29" s="2280"/>
      <c r="L29" s="2280"/>
      <c r="M29" s="2280"/>
      <c r="N29" s="2280"/>
      <c r="O29" s="3547">
        <f ca="1">KALKULATION!H595</f>
        <v>1.1000000000000001</v>
      </c>
      <c r="P29" s="3548"/>
      <c r="R29" s="783"/>
    </row>
    <row r="30" spans="1:18" x14ac:dyDescent="0.2">
      <c r="A30" s="43">
        <v>12</v>
      </c>
      <c r="B30" s="3375" t="s">
        <v>43</v>
      </c>
      <c r="C30" s="3375"/>
      <c r="D30" s="3375"/>
      <c r="E30" s="3375"/>
      <c r="F30" s="3375"/>
      <c r="G30" s="3375"/>
      <c r="H30" s="3455" t="s">
        <v>44</v>
      </c>
      <c r="I30" s="3455"/>
      <c r="J30" s="3456"/>
      <c r="K30" s="3629">
        <f ca="1">KALKULATION!H596</f>
        <v>0.28000000000000003</v>
      </c>
      <c r="L30" s="3630"/>
      <c r="M30" s="3457"/>
      <c r="N30" s="3458"/>
      <c r="O30" s="3547">
        <f ca="1">K30*O28</f>
        <v>5.91</v>
      </c>
      <c r="P30" s="3548"/>
      <c r="R30" s="783"/>
    </row>
    <row r="31" spans="1:18" x14ac:dyDescent="0.2">
      <c r="A31" s="43">
        <v>13</v>
      </c>
      <c r="B31" s="3375" t="s">
        <v>45</v>
      </c>
      <c r="C31" s="3375"/>
      <c r="D31" s="3375"/>
      <c r="E31" s="3375"/>
      <c r="F31" s="3375"/>
      <c r="G31" s="3375"/>
      <c r="H31" s="3455" t="s">
        <v>44</v>
      </c>
      <c r="I31" s="3455"/>
      <c r="J31" s="3456"/>
      <c r="K31" s="3629">
        <f ca="1">KALKULATION!H597</f>
        <v>0.72</v>
      </c>
      <c r="L31" s="3630"/>
      <c r="M31" s="3457"/>
      <c r="N31" s="3458"/>
      <c r="O31" s="3547">
        <f ca="1">K31*O28</f>
        <v>15.19</v>
      </c>
      <c r="P31" s="3548"/>
      <c r="R31" s="783"/>
    </row>
    <row r="32" spans="1:18" ht="15.75" thickBot="1" x14ac:dyDescent="0.25">
      <c r="A32" s="43">
        <v>14</v>
      </c>
      <c r="B32" s="3473" t="s">
        <v>46</v>
      </c>
      <c r="C32" s="3474"/>
      <c r="D32" s="3474"/>
      <c r="E32" s="3474"/>
      <c r="F32" s="3474"/>
      <c r="G32" s="3474"/>
      <c r="H32" s="3475" t="s">
        <v>44</v>
      </c>
      <c r="I32" s="3475"/>
      <c r="J32" s="3476"/>
      <c r="K32" s="3620">
        <f ca="1">O32/O28</f>
        <v>3.3E-3</v>
      </c>
      <c r="L32" s="3621"/>
      <c r="M32" s="3497"/>
      <c r="N32" s="3498"/>
      <c r="O32" s="3551">
        <f ca="1">KALKULATION!H598</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f ca="1">SUM(O28:P32)</f>
        <v>43.37</v>
      </c>
      <c r="P33" s="3625"/>
      <c r="R33" s="783"/>
    </row>
    <row r="34" spans="1:18" x14ac:dyDescent="0.2">
      <c r="A34" s="43">
        <v>16</v>
      </c>
      <c r="B34" s="3500" t="s">
        <v>48</v>
      </c>
      <c r="C34" s="3500"/>
      <c r="D34" s="3500"/>
      <c r="E34" s="3500"/>
      <c r="F34" s="3500"/>
      <c r="G34" s="3500"/>
      <c r="H34" s="3481" t="str">
        <f>IF(_Anzeige_Prozent=_Nein,"in % auf B15","in % auf B15 + in € = ∑")</f>
        <v>in % auf B15 + in € = ∑</v>
      </c>
      <c r="I34" s="3481"/>
      <c r="J34" s="3482"/>
      <c r="K34" s="3640">
        <f>IF(_Anzeige_Prozent=_Nein,KALKULATION!G599+KALKULATION!H599/O33,KALKULATION!G599)</f>
        <v>0.06</v>
      </c>
      <c r="L34" s="3641"/>
      <c r="M34" s="3631">
        <f ca="1">IF(_Anzeige_Prozent=_Nein,"",KALKULATION!H599)</f>
        <v>3.46</v>
      </c>
      <c r="N34" s="3632"/>
      <c r="O34" s="3631">
        <f ca="1">SUM(KALKULATION!H599,KALKULATION!G599*O33)</f>
        <v>6.06</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3"/>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3"/>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3"/>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49.43</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49.43</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f ca="1">K43*O39</f>
        <v>14.33</v>
      </c>
      <c r="P43" s="3639"/>
      <c r="R43" s="783"/>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63.76</v>
      </c>
      <c r="P44" s="3535"/>
      <c r="R44" s="783"/>
    </row>
    <row r="45" spans="1:18" ht="27.95" customHeight="1" x14ac:dyDescent="0.2">
      <c r="A45" s="44">
        <v>22</v>
      </c>
      <c r="B45" s="3556" t="str">
        <f ca="1">KALKULATION!C611</f>
        <v>Regielohnpreis gesamt für [Helfer]</v>
      </c>
      <c r="C45" s="3557"/>
      <c r="D45" s="3557"/>
      <c r="E45" s="3557"/>
      <c r="F45" s="3557"/>
      <c r="G45" s="3557"/>
      <c r="H45" s="3557"/>
      <c r="I45" s="3557"/>
      <c r="J45" s="3558"/>
      <c r="K45" s="3472" t="s">
        <v>186</v>
      </c>
      <c r="L45" s="3044"/>
      <c r="M45" s="1164"/>
      <c r="N45" s="3559">
        <f ca="1">IFERROR(SUM(M44:P44),"??")</f>
        <v>63.76</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Baunebengewerbe (Hafner-, Platten-, Fliesenleger</v>
      </c>
      <c r="H1" s="3605"/>
      <c r="I1" s="3605"/>
      <c r="J1" s="3605"/>
      <c r="K1" s="3605"/>
      <c r="L1" s="3605"/>
      <c r="M1" s="3605"/>
      <c r="N1" s="3605"/>
      <c r="O1" s="3605"/>
      <c r="P1" s="3606"/>
      <c r="R1" s="784"/>
    </row>
    <row r="2" spans="1:18" x14ac:dyDescent="0.2">
      <c r="A2" s="3600"/>
      <c r="B2" s="3402" t="s">
        <v>57</v>
      </c>
      <c r="C2" s="3403"/>
      <c r="D2" s="3403"/>
      <c r="E2" s="3403"/>
      <c r="F2" s="3601" t="str">
        <f>IF(KALKULATION!D622="","Regiepersonalpreis",KALKULATION!D622)</f>
        <v>FA in Ü-Stunde</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4"/>
    </row>
    <row r="7" spans="1:18" x14ac:dyDescent="0.2">
      <c r="A7" s="3600"/>
      <c r="B7" s="2726"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KollV Hafner, Platten- und Fliesenleger (ohne Kärnten)</v>
      </c>
      <c r="C8" s="3592"/>
      <c r="D8" s="3592"/>
      <c r="E8" s="3592"/>
      <c r="F8" s="3592"/>
      <c r="G8" s="3592"/>
      <c r="H8" s="3592"/>
      <c r="I8" s="3592"/>
      <c r="J8" s="3592"/>
      <c r="K8" s="3592"/>
      <c r="L8" s="3593"/>
      <c r="M8" s="3390" t="s">
        <v>26</v>
      </c>
      <c r="N8" s="3391"/>
      <c r="O8" s="3587">
        <f ca="1">Stammdaten!B4</f>
        <v>46143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4"/>
    </row>
    <row r="10" spans="1:18" x14ac:dyDescent="0.2">
      <c r="A10" s="43" t="s">
        <v>29</v>
      </c>
      <c r="B10" s="3607" t="str">
        <f>KALKULATION!A625</f>
        <v>Facharbeiter (&gt; 2Verwendungsjahr)</v>
      </c>
      <c r="C10" s="3607"/>
      <c r="D10" s="3607"/>
      <c r="E10" s="3608"/>
      <c r="F10" s="3609">
        <f ca="1">IFERROR((VLOOKUP(B10,Stammdaten!A$7:D$33,4,FALSE)),"")</f>
        <v>18.75</v>
      </c>
      <c r="G10" s="3609"/>
      <c r="H10" s="30">
        <f>KALKULATION!F625</f>
        <v>1</v>
      </c>
      <c r="I10" s="3547">
        <f ca="1">IF(PRODUCT(F10,H10)=0,"",F10*H10)</f>
        <v>18.75</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KALKULATION!N652</f>
        <v>Überstunde 50%</v>
      </c>
      <c r="L11" s="3615"/>
      <c r="M11" s="3615"/>
      <c r="N11" s="3615"/>
      <c r="O11" s="1034" t="str">
        <f ca="1">KALKULATION!P652</f>
        <v>50%</v>
      </c>
      <c r="P11" s="163">
        <v>1</v>
      </c>
      <c r="R11" s="784"/>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4"/>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69" t="s">
        <v>39</v>
      </c>
      <c r="C19" s="1170"/>
      <c r="D19" s="1171"/>
      <c r="E19" s="1171"/>
      <c r="F19" s="1171"/>
      <c r="G19" s="1171"/>
      <c r="H19" s="1167">
        <f>SUM(H10:H18)</f>
        <v>1</v>
      </c>
      <c r="I19" s="3376">
        <f ca="1">IF(AND(_OK?="OK!",_OK_KV?="OK_KV!"),SUM(I10:J18),KALKULATION!G626)</f>
        <v>19</v>
      </c>
      <c r="J19" s="3377"/>
      <c r="K19" s="3626" t="s">
        <v>143</v>
      </c>
      <c r="L19" s="3626"/>
      <c r="M19" s="3626"/>
      <c r="N19" s="3626"/>
      <c r="O19" s="3626"/>
      <c r="P19" s="1173">
        <v>1</v>
      </c>
      <c r="R19" s="784"/>
    </row>
    <row r="20" spans="1:18" x14ac:dyDescent="0.2">
      <c r="A20" s="43"/>
      <c r="B20" s="3440"/>
      <c r="C20" s="3440"/>
      <c r="D20" s="3440"/>
      <c r="E20" s="3440"/>
      <c r="F20" s="3440"/>
      <c r="G20" s="3440"/>
      <c r="H20" s="3440"/>
      <c r="I20" s="3440"/>
      <c r="J20" s="3440"/>
      <c r="K20" s="3440"/>
      <c r="L20" s="2727"/>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19</v>
      </c>
      <c r="P21" s="3628"/>
      <c r="R21" s="784"/>
    </row>
    <row r="22" spans="1:18" ht="15.75" thickBot="1" x14ac:dyDescent="0.25">
      <c r="A22" s="43">
        <v>4</v>
      </c>
      <c r="B22" s="3442" t="s">
        <v>40</v>
      </c>
      <c r="C22" s="3443"/>
      <c r="D22" s="3443"/>
      <c r="E22" s="3443"/>
      <c r="F22" s="3443"/>
      <c r="G22" s="3443"/>
      <c r="H22" s="3450" t="s">
        <v>41</v>
      </c>
      <c r="I22" s="3450"/>
      <c r="J22" s="3451"/>
      <c r="K22" s="3620">
        <f ca="1">KALKULATION!G638</f>
        <v>0</v>
      </c>
      <c r="L22" s="3621"/>
      <c r="M22" s="3390"/>
      <c r="N22" s="3391"/>
      <c r="O22" s="3622">
        <f ca="1">K22*O21</f>
        <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f ca="1">SUM(O21:O22)</f>
        <v>19</v>
      </c>
      <c r="P23" s="3625"/>
      <c r="R23" s="784"/>
    </row>
    <row r="24" spans="1:18" x14ac:dyDescent="0.2">
      <c r="A24" s="43">
        <v>6</v>
      </c>
      <c r="B24" s="3375" t="s">
        <v>109</v>
      </c>
      <c r="C24" s="3375"/>
      <c r="D24" s="3375"/>
      <c r="E24" s="3375"/>
      <c r="F24" s="3375"/>
      <c r="G24" s="3375"/>
      <c r="H24" s="3455" t="s">
        <v>87</v>
      </c>
      <c r="I24" s="3455"/>
      <c r="J24" s="3456"/>
      <c r="K24" s="3495">
        <f ca="1">KALKULATION!H638</f>
        <v>0.1479</v>
      </c>
      <c r="L24" s="3496"/>
      <c r="M24" s="3457"/>
      <c r="N24" s="3458"/>
      <c r="O24" s="3547">
        <f ca="1">K24*O23</f>
        <v>2.81</v>
      </c>
      <c r="P24" s="3548"/>
      <c r="R24" s="784"/>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f ca="1">K25*O23</f>
        <v>0</v>
      </c>
      <c r="P25" s="3548"/>
      <c r="R25" s="784"/>
    </row>
    <row r="26" spans="1:18" x14ac:dyDescent="0.2">
      <c r="A26" s="43">
        <v>8</v>
      </c>
      <c r="B26" s="3375" t="s">
        <v>67</v>
      </c>
      <c r="C26" s="3375"/>
      <c r="D26" s="3375"/>
      <c r="E26" s="3375"/>
      <c r="F26" s="3375"/>
      <c r="G26" s="3375"/>
      <c r="H26" s="3455" t="s">
        <v>87</v>
      </c>
      <c r="I26" s="3455"/>
      <c r="J26" s="3456"/>
      <c r="K26" s="3629">
        <f ca="1">KALKULATION!H658</f>
        <v>0.57399999999999995</v>
      </c>
      <c r="L26" s="3630"/>
      <c r="M26" s="3457"/>
      <c r="N26" s="3458"/>
      <c r="O26" s="3547">
        <f ca="1">K26*O23</f>
        <v>10.91</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2.8</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f ca="1">SUM(O23:P27)</f>
        <v>35.520000000000003</v>
      </c>
      <c r="P28" s="3625"/>
      <c r="R28" s="784"/>
    </row>
    <row r="29" spans="1:18" x14ac:dyDescent="0.2">
      <c r="A29" s="43">
        <v>11</v>
      </c>
      <c r="B29" s="2280" t="s">
        <v>104</v>
      </c>
      <c r="C29" s="2280"/>
      <c r="D29" s="2280"/>
      <c r="E29" s="2280"/>
      <c r="F29" s="2280"/>
      <c r="G29" s="2280"/>
      <c r="H29" s="2280"/>
      <c r="I29" s="2280"/>
      <c r="J29" s="2280"/>
      <c r="K29" s="2280"/>
      <c r="L29" s="2280"/>
      <c r="M29" s="2280"/>
      <c r="N29" s="2280"/>
      <c r="O29" s="3547">
        <f ca="1">KALKULATION!H663</f>
        <v>1.1000000000000001</v>
      </c>
      <c r="P29" s="3548"/>
      <c r="R29" s="784"/>
    </row>
    <row r="30" spans="1:18" x14ac:dyDescent="0.2">
      <c r="A30" s="43">
        <v>12</v>
      </c>
      <c r="B30" s="3375" t="s">
        <v>43</v>
      </c>
      <c r="C30" s="3375"/>
      <c r="D30" s="3375"/>
      <c r="E30" s="3375"/>
      <c r="F30" s="3375"/>
      <c r="G30" s="3375"/>
      <c r="H30" s="3455" t="s">
        <v>44</v>
      </c>
      <c r="I30" s="3455"/>
      <c r="J30" s="3456"/>
      <c r="K30" s="3629">
        <f ca="1">KALKULATION!H664</f>
        <v>0.28000000000000003</v>
      </c>
      <c r="L30" s="3630"/>
      <c r="M30" s="3457"/>
      <c r="N30" s="3458"/>
      <c r="O30" s="3547">
        <f ca="1">K30*O28</f>
        <v>9.9499999999999993</v>
      </c>
      <c r="P30" s="3548"/>
      <c r="R30" s="784"/>
    </row>
    <row r="31" spans="1:18" x14ac:dyDescent="0.2">
      <c r="A31" s="43">
        <v>13</v>
      </c>
      <c r="B31" s="3375" t="s">
        <v>45</v>
      </c>
      <c r="C31" s="3375"/>
      <c r="D31" s="3375"/>
      <c r="E31" s="3375"/>
      <c r="F31" s="3375"/>
      <c r="G31" s="3375"/>
      <c r="H31" s="3455" t="s">
        <v>44</v>
      </c>
      <c r="I31" s="3455"/>
      <c r="J31" s="3456"/>
      <c r="K31" s="3629">
        <f ca="1">KALKULATION!H665</f>
        <v>0.72</v>
      </c>
      <c r="L31" s="3630"/>
      <c r="M31" s="3457"/>
      <c r="N31" s="3458"/>
      <c r="O31" s="3547">
        <f ca="1">K31*O28</f>
        <v>25.57</v>
      </c>
      <c r="P31" s="3548"/>
      <c r="R31" s="784"/>
    </row>
    <row r="32" spans="1:18" ht="15.75" thickBot="1" x14ac:dyDescent="0.25">
      <c r="A32" s="43">
        <v>14</v>
      </c>
      <c r="B32" s="3473" t="s">
        <v>46</v>
      </c>
      <c r="C32" s="3474"/>
      <c r="D32" s="3474"/>
      <c r="E32" s="3474"/>
      <c r="F32" s="3474"/>
      <c r="G32" s="3474"/>
      <c r="H32" s="3475" t="s">
        <v>44</v>
      </c>
      <c r="I32" s="3475"/>
      <c r="J32" s="3476"/>
      <c r="K32" s="3620">
        <f ca="1">O32/O28</f>
        <v>2E-3</v>
      </c>
      <c r="L32" s="3621"/>
      <c r="M32" s="3497"/>
      <c r="N32" s="3498"/>
      <c r="O32" s="3551">
        <f ca="1">KALKULATION!H666</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f ca="1">SUM(O28:P32)</f>
        <v>72.209999999999994</v>
      </c>
      <c r="P33" s="3625"/>
      <c r="R33" s="784"/>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IF(_Anzeige_Prozent=_Nein,KALKULATION!G667+KALKULATION!H667/O33,KALKULATION!G667)</f>
        <v>0.06</v>
      </c>
      <c r="L34" s="3496"/>
      <c r="M34" s="3631">
        <f ca="1">IF(_Anzeige_Prozent=_Nein,"",KALKULATION!H667)</f>
        <v>3.46</v>
      </c>
      <c r="N34" s="3632"/>
      <c r="O34" s="3631">
        <f ca="1">SUM(KALKULATION!H667,KALKULATION!G667*O33)</f>
        <v>7.79</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4"/>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4"/>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4"/>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80</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80</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f ca="1">K43*O39</f>
        <v>23.2</v>
      </c>
      <c r="P43" s="3639"/>
      <c r="R43" s="784"/>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103.2</v>
      </c>
      <c r="P44" s="3535"/>
      <c r="R44" s="784"/>
    </row>
    <row r="45" spans="1:18" ht="27.95" customHeight="1" x14ac:dyDescent="0.2">
      <c r="A45" s="44">
        <v>22</v>
      </c>
      <c r="B45" s="3556" t="str">
        <f ca="1">KALKULATION!C679</f>
        <v>Regielohnpreis gesamt für [Facharbeiter (&gt; 2Verwendungsjahr)] als [Überstunde 50% (50%)]</v>
      </c>
      <c r="C45" s="3557"/>
      <c r="D45" s="3557"/>
      <c r="E45" s="3557"/>
      <c r="F45" s="3557"/>
      <c r="G45" s="3557"/>
      <c r="H45" s="3557"/>
      <c r="I45" s="3557"/>
      <c r="J45" s="3558"/>
      <c r="K45" s="3472" t="s">
        <v>186</v>
      </c>
      <c r="L45" s="3044"/>
      <c r="M45" s="1164"/>
      <c r="N45" s="3559">
        <f ca="1">IFERROR(SUM(M44:P44),"??")</f>
        <v>103.2</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Musterprojekt Baunebengewerbe (Hafner-, Platten-, Fliesenleger</v>
      </c>
      <c r="H1" s="3605"/>
      <c r="I1" s="3605"/>
      <c r="J1" s="3605"/>
      <c r="K1" s="3605"/>
      <c r="L1" s="3605"/>
      <c r="M1" s="3605"/>
      <c r="N1" s="3605"/>
      <c r="O1" s="3605"/>
      <c r="P1" s="3606"/>
      <c r="R1" s="785"/>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5"/>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5"/>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5"/>
    </row>
    <row r="7" spans="1:21" x14ac:dyDescent="0.2">
      <c r="A7" s="3600"/>
      <c r="B7" s="2726" t="s">
        <v>126</v>
      </c>
      <c r="C7" s="3440"/>
      <c r="D7" s="3440"/>
      <c r="E7" s="3440"/>
      <c r="F7" s="3597" t="str">
        <f>IF(OR(COUNTA(KALKULATION!A695:C699)&gt;1),"FÜR REGIEPARTIE","FÜR REGIE")</f>
        <v>FÜR REGIE</v>
      </c>
      <c r="G7" s="3598"/>
      <c r="H7" s="3598"/>
      <c r="I7" s="3598"/>
      <c r="J7" s="3599"/>
      <c r="K7" s="3412" t="s">
        <v>140</v>
      </c>
      <c r="L7" s="3412"/>
      <c r="M7" s="3412"/>
      <c r="N7" s="3412"/>
      <c r="O7" s="3412"/>
      <c r="P7" s="3413"/>
      <c r="R7" s="785"/>
    </row>
    <row r="8" spans="1:21" ht="15.75" thickBot="1" x14ac:dyDescent="0.25">
      <c r="A8" s="3600"/>
      <c r="B8" s="3591" t="str">
        <f ca="1">Stammdaten!B3</f>
        <v>KollV Hafner, Platten- und Fliesenleger (ohne Kärnten)</v>
      </c>
      <c r="C8" s="3592"/>
      <c r="D8" s="3592"/>
      <c r="E8" s="3592"/>
      <c r="F8" s="3592"/>
      <c r="G8" s="3592"/>
      <c r="H8" s="3592"/>
      <c r="I8" s="3592"/>
      <c r="J8" s="3592"/>
      <c r="K8" s="3592"/>
      <c r="L8" s="3593"/>
      <c r="M8" s="3390" t="s">
        <v>26</v>
      </c>
      <c r="N8" s="3391"/>
      <c r="O8" s="3587">
        <f ca="1">Stammdaten!B4</f>
        <v>46143</v>
      </c>
      <c r="P8" s="3588"/>
      <c r="R8" s="785"/>
    </row>
    <row r="9" spans="1:21" x14ac:dyDescent="0.2">
      <c r="A9" s="79">
        <v>1</v>
      </c>
      <c r="B9" s="3421" t="s">
        <v>106</v>
      </c>
      <c r="C9" s="3422"/>
      <c r="D9" s="3422"/>
      <c r="E9" s="3423"/>
      <c r="F9" s="3457" t="s">
        <v>107</v>
      </c>
      <c r="G9" s="3649"/>
      <c r="H9" s="78" t="str">
        <f>IF(KALKULATION!H693="Ø","Anteil","Anzahl")</f>
        <v>Anteil</v>
      </c>
      <c r="I9" s="3511" t="s">
        <v>257</v>
      </c>
      <c r="J9" s="3512"/>
      <c r="K9" s="3422" t="s">
        <v>108</v>
      </c>
      <c r="L9" s="3422"/>
      <c r="M9" s="3422"/>
      <c r="N9" s="3422"/>
      <c r="O9" s="3422"/>
      <c r="P9" s="28">
        <f ca="1">KALKULATION!C87</f>
        <v>39</v>
      </c>
      <c r="R9" s="785"/>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5"/>
      <c r="U10">
        <f>COUNTA(B11:E16)</f>
        <v>5</v>
      </c>
    </row>
    <row r="11" spans="1:21" ht="15.75" x14ac:dyDescent="0.25">
      <c r="A11" s="43" t="s">
        <v>31</v>
      </c>
      <c r="B11" s="3642" t="str">
        <f>IF(KALKULATION!A695=0,"",(KALKULATION!A695))</f>
        <v/>
      </c>
      <c r="C11" s="3643"/>
      <c r="D11" s="3643"/>
      <c r="E11" s="3644"/>
      <c r="F11" s="3547" t="str">
        <f ca="1">IFERROR((VLOOKUP(B11,Stammdaten!A$7:D$33,4,FALSE)),"")</f>
        <v/>
      </c>
      <c r="G11" s="3548"/>
      <c r="H11" s="381" t="str">
        <f ca="1">IF(F11="","",IF(KALKULATION!H$693="Ø",TEXT(KALKULATION!F695,"0,00%"),TEXT(KALKULATION!E695,"0,0")))</f>
        <v/>
      </c>
      <c r="I11" s="3547" t="str">
        <f ca="1">IFERROR(IF(OR(F11*H11=0,B11=""),"",F11*H11),"")</f>
        <v/>
      </c>
      <c r="J11" s="3548"/>
      <c r="K11" s="3614" t="str">
        <f>IF(B11="","1b darf nicht leer sein!",KALKULATION!N726)</f>
        <v>1b darf nicht leer sein!</v>
      </c>
      <c r="L11" s="3615"/>
      <c r="M11" s="3615"/>
      <c r="N11" s="3615"/>
      <c r="O11" s="1035" t="str">
        <f>KALKULATION!P726</f>
        <v/>
      </c>
      <c r="P11" s="163">
        <v>1</v>
      </c>
      <c r="R11" s="786"/>
    </row>
    <row r="12" spans="1:21" x14ac:dyDescent="0.2">
      <c r="A12" s="43" t="s">
        <v>32</v>
      </c>
      <c r="B12" s="3642" t="str">
        <f>IF(KALKULATION!A696=0,"",(KALKULATION!A696))</f>
        <v/>
      </c>
      <c r="C12" s="3643"/>
      <c r="D12" s="3643"/>
      <c r="E12" s="3644"/>
      <c r="F12" s="3547" t="str">
        <f ca="1">IFERROR((VLOOKUP(B12,Stammdaten!A$7:D$33,4,FALSE)),"")</f>
        <v/>
      </c>
      <c r="G12" s="3548"/>
      <c r="H12" s="381" t="str">
        <f ca="1">IF(F12="","",IF(KALKULATION!H$693="Ø",TEXT(KALKULATION!F696,"0,00%"),TEXT(KALKULATION!E696,"0,0")))</f>
        <v/>
      </c>
      <c r="I12" s="3547" t="str">
        <f t="shared" ref="I12:I15" ca="1" si="0">IFERROR(IF(OR(F12*H12=0,B12=""),"",F12*H12),"")</f>
        <v/>
      </c>
      <c r="J12" s="3548"/>
      <c r="K12" s="3577" t="str">
        <f>IF(AND(_Anzeige_Prozent=_Ja,KALKULATION!N730&lt;&gt;""),"Erfasst sind Verr.std. für: "&amp;KALKULATION!N730,"")</f>
        <v/>
      </c>
      <c r="L12" s="3578"/>
      <c r="M12" s="3578"/>
      <c r="N12" s="3579"/>
      <c r="O12" s="556"/>
      <c r="P12" s="35"/>
      <c r="R12" s="785"/>
    </row>
    <row r="13" spans="1:21" x14ac:dyDescent="0.2">
      <c r="A13" s="43" t="s">
        <v>33</v>
      </c>
      <c r="B13" s="3642" t="str">
        <f>IF(KALKULATION!A697=0,"",(KALKULATION!A697))</f>
        <v/>
      </c>
      <c r="C13" s="3643"/>
      <c r="D13" s="3643"/>
      <c r="E13" s="3644"/>
      <c r="F13" s="3547" t="str">
        <f ca="1">IFERROR((VLOOKUP(B13,Stammdaten!A$7:D$33,4,FALSE)),"")</f>
        <v/>
      </c>
      <c r="G13" s="3548"/>
      <c r="H13" s="381" t="str">
        <f ca="1">IF(F13="","",IF(KALKULATION!H$693="Ø",TEXT(KALKULATION!F697,"0,00%"),TEXT(KALKULATION!E697,"0,0")))</f>
        <v/>
      </c>
      <c r="I13" s="3547" t="str">
        <f t="shared" ca="1" si="0"/>
        <v/>
      </c>
      <c r="J13" s="3548"/>
      <c r="K13" s="3577"/>
      <c r="L13" s="3578"/>
      <c r="M13" s="3578"/>
      <c r="N13" s="3579"/>
      <c r="O13" s="556"/>
      <c r="P13" s="35"/>
      <c r="R13" s="785"/>
    </row>
    <row r="14" spans="1:21" x14ac:dyDescent="0.2">
      <c r="A14" s="43" t="s">
        <v>34</v>
      </c>
      <c r="B14" s="3642" t="str">
        <f>IF(KALKULATION!A698=0,"",(KALKULATION!A698))</f>
        <v/>
      </c>
      <c r="C14" s="3643"/>
      <c r="D14" s="3643"/>
      <c r="E14" s="3644"/>
      <c r="F14" s="3547" t="str">
        <f ca="1">IFERROR((VLOOKUP(B14,Stammdaten!A$7:D$33,4,FALSE)),"")</f>
        <v/>
      </c>
      <c r="G14" s="3548"/>
      <c r="H14" s="381" t="str">
        <f ca="1">IF(F14="","",IF(KALKULATION!H$693="Ø",TEXT(KALKULATION!F698,"0,00%"),TEXT(KALKULATION!E698,"0,0")))</f>
        <v/>
      </c>
      <c r="I14" s="3547" t="str">
        <f t="shared" ca="1" si="0"/>
        <v/>
      </c>
      <c r="J14" s="3548"/>
      <c r="K14" s="3577"/>
      <c r="L14" s="3578"/>
      <c r="M14" s="3578"/>
      <c r="N14" s="3579"/>
      <c r="O14" s="34"/>
      <c r="P14" s="35"/>
      <c r="R14" s="785"/>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5"/>
    </row>
    <row r="16" spans="1:21" x14ac:dyDescent="0.2">
      <c r="A16" s="43" t="s">
        <v>36</v>
      </c>
      <c r="B16" s="3572"/>
      <c r="C16" s="3572"/>
      <c r="D16" s="3572"/>
      <c r="E16" s="3572"/>
      <c r="F16" s="3575"/>
      <c r="G16" s="3576"/>
      <c r="H16" s="200"/>
      <c r="I16" s="3575"/>
      <c r="J16" s="3576"/>
      <c r="K16" s="3616"/>
      <c r="L16" s="3616"/>
      <c r="M16" s="3616"/>
      <c r="N16" s="3617"/>
      <c r="O16" s="36"/>
      <c r="P16" s="37"/>
      <c r="R16" s="785"/>
    </row>
    <row r="17" spans="1:18" x14ac:dyDescent="0.2">
      <c r="A17" s="43" t="s">
        <v>37</v>
      </c>
      <c r="B17" s="3572"/>
      <c r="C17" s="3572"/>
      <c r="D17" s="3572"/>
      <c r="E17" s="3572"/>
      <c r="F17" s="3575"/>
      <c r="G17" s="3576"/>
      <c r="H17" s="200"/>
      <c r="I17" s="3575"/>
      <c r="J17" s="3576"/>
      <c r="K17" s="3616"/>
      <c r="L17" s="3616"/>
      <c r="M17" s="3616"/>
      <c r="N17" s="3617"/>
      <c r="O17" s="36"/>
      <c r="P17" s="37"/>
      <c r="R17" s="785"/>
    </row>
    <row r="18" spans="1:18" ht="15.75" thickBot="1" x14ac:dyDescent="0.25">
      <c r="A18" s="43" t="s">
        <v>38</v>
      </c>
      <c r="B18" s="3565"/>
      <c r="C18" s="3566"/>
      <c r="D18" s="3566"/>
      <c r="E18" s="3566"/>
      <c r="F18" s="3569"/>
      <c r="G18" s="3570"/>
      <c r="H18" s="201"/>
      <c r="I18" s="3569"/>
      <c r="J18" s="3570"/>
      <c r="K18" s="3618"/>
      <c r="L18" s="3618"/>
      <c r="M18" s="3618"/>
      <c r="N18" s="3619"/>
      <c r="O18" s="39"/>
      <c r="P18" s="40"/>
      <c r="R18" s="785"/>
    </row>
    <row r="19" spans="1:18" x14ac:dyDescent="0.2">
      <c r="A19" s="43">
        <v>2</v>
      </c>
      <c r="B19" s="1169" t="s">
        <v>258</v>
      </c>
      <c r="C19" s="1170"/>
      <c r="D19" s="1171"/>
      <c r="E19" s="1171"/>
      <c r="F19" s="1171"/>
      <c r="G19" s="1171"/>
      <c r="H19" s="1172" t="str">
        <f>IF(KALKULATION!H$693="Ø",TEXT(KALKULATION!F700,"0%"),TEXT(KALKULATION!E700,"0,0"))</f>
        <v>0%</v>
      </c>
      <c r="I19" s="3376">
        <f ca="1">IF(AND(_OK?="OK!",_OK_KV?="OK_KV!"),SUM(I10:J18),KALKULATION!G700)</f>
        <v>0</v>
      </c>
      <c r="J19" s="3377"/>
      <c r="K19" s="3626" t="s">
        <v>143</v>
      </c>
      <c r="L19" s="3626"/>
      <c r="M19" s="3626"/>
      <c r="N19" s="3626"/>
      <c r="O19" s="3626"/>
      <c r="P19" s="1173">
        <v>1</v>
      </c>
      <c r="R19" s="785"/>
    </row>
    <row r="20" spans="1:18" x14ac:dyDescent="0.2">
      <c r="A20" s="43"/>
      <c r="B20" s="3440"/>
      <c r="C20" s="3440"/>
      <c r="D20" s="3440"/>
      <c r="E20" s="3440"/>
      <c r="F20" s="3440"/>
      <c r="G20" s="3440"/>
      <c r="H20" s="3440"/>
      <c r="I20" s="3440"/>
      <c r="J20" s="3440"/>
      <c r="K20" s="3440"/>
      <c r="L20" s="2727"/>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785"/>
    </row>
    <row r="22" spans="1:18" ht="15.75" thickBot="1" x14ac:dyDescent="0.25">
      <c r="A22" s="43">
        <v>4</v>
      </c>
      <c r="B22" s="3442" t="s">
        <v>40</v>
      </c>
      <c r="C22" s="3443"/>
      <c r="D22" s="3443"/>
      <c r="E22" s="3443"/>
      <c r="F22" s="3443"/>
      <c r="G22" s="3443"/>
      <c r="H22" s="3450" t="s">
        <v>41</v>
      </c>
      <c r="I22" s="3450"/>
      <c r="J22" s="3451"/>
      <c r="K22" s="3620" t="e">
        <f ca="1">KALKULATION!G712</f>
        <v>#DIV/0!</v>
      </c>
      <c r="L22" s="3621"/>
      <c r="M22" s="3444"/>
      <c r="N22" s="3445"/>
      <c r="O22" s="3622" t="e">
        <f ca="1">K22*O21</f>
        <v>#DIV/0!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5"/>
    </row>
    <row r="24" spans="1:18" x14ac:dyDescent="0.2">
      <c r="A24" s="43">
        <v>6</v>
      </c>
      <c r="B24" s="3375" t="s">
        <v>109</v>
      </c>
      <c r="C24" s="3375"/>
      <c r="D24" s="3375"/>
      <c r="E24" s="3375"/>
      <c r="F24" s="3375"/>
      <c r="G24" s="3375"/>
      <c r="H24" s="3455" t="s">
        <v>87</v>
      </c>
      <c r="I24" s="3455"/>
      <c r="J24" s="3456"/>
      <c r="K24" s="3495" t="e">
        <f ca="1">KALKULATION!H712</f>
        <v>#DIV/0!</v>
      </c>
      <c r="L24" s="3496"/>
      <c r="M24" s="3457"/>
      <c r="N24" s="3458"/>
      <c r="O24" s="3547" t="e">
        <f ca="1">K24*O23</f>
        <v>#DIV/0!</v>
      </c>
      <c r="P24" s="3548"/>
      <c r="R24" s="785"/>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t="e">
        <f ca="1">K25*O23</f>
        <v>#DIV/0!</v>
      </c>
      <c r="P25" s="3548"/>
      <c r="R25" s="785"/>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t="e">
        <f ca="1">K26*O23</f>
        <v>#DIV/0!</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KALKULATION!H736</f>
        <v>#DIV/0!</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5"/>
    </row>
    <row r="29" spans="1:18" x14ac:dyDescent="0.2">
      <c r="A29" s="43">
        <v>11</v>
      </c>
      <c r="B29" s="2280" t="s">
        <v>104</v>
      </c>
      <c r="C29" s="2280"/>
      <c r="D29" s="2280"/>
      <c r="E29" s="2280"/>
      <c r="F29" s="2280"/>
      <c r="G29" s="2280"/>
      <c r="H29" s="2280"/>
      <c r="I29" s="2280"/>
      <c r="J29" s="2280"/>
      <c r="K29" s="2280"/>
      <c r="L29" s="2280"/>
      <c r="M29" s="2280"/>
      <c r="N29" s="2280"/>
      <c r="O29" s="3547" t="e">
        <f ca="1">KALKULATION!H737</f>
        <v>#DIV/0!</v>
      </c>
      <c r="P29" s="3548"/>
      <c r="R29" s="785"/>
    </row>
    <row r="30" spans="1:18" x14ac:dyDescent="0.2">
      <c r="A30" s="43">
        <v>12</v>
      </c>
      <c r="B30" s="3375" t="s">
        <v>43</v>
      </c>
      <c r="C30" s="3375"/>
      <c r="D30" s="3375"/>
      <c r="E30" s="3375"/>
      <c r="F30" s="3375"/>
      <c r="G30" s="3375"/>
      <c r="H30" s="3455" t="s">
        <v>44</v>
      </c>
      <c r="I30" s="3455"/>
      <c r="J30" s="3456"/>
      <c r="K30" s="3629">
        <f ca="1">KALKULATION!H738</f>
        <v>0.28000000000000003</v>
      </c>
      <c r="L30" s="3630"/>
      <c r="M30" s="3457"/>
      <c r="N30" s="3458"/>
      <c r="O30" s="3547" t="e">
        <f ca="1">K30*O28</f>
        <v>#DIV/0!</v>
      </c>
      <c r="P30" s="3548"/>
      <c r="R30" s="785"/>
    </row>
    <row r="31" spans="1:18" x14ac:dyDescent="0.2">
      <c r="A31" s="43">
        <v>13</v>
      </c>
      <c r="B31" s="3375" t="s">
        <v>45</v>
      </c>
      <c r="C31" s="3375"/>
      <c r="D31" s="3375"/>
      <c r="E31" s="3375"/>
      <c r="F31" s="3375"/>
      <c r="G31" s="3375"/>
      <c r="H31" s="3455" t="s">
        <v>44</v>
      </c>
      <c r="I31" s="3455"/>
      <c r="J31" s="3456"/>
      <c r="K31" s="3629">
        <f ca="1">KALKULATION!H739</f>
        <v>0.72</v>
      </c>
      <c r="L31" s="3630"/>
      <c r="M31" s="3457"/>
      <c r="N31" s="3458"/>
      <c r="O31" s="3547" t="e">
        <f ca="1">K31*O28</f>
        <v>#DIV/0!</v>
      </c>
      <c r="P31" s="3548"/>
      <c r="R31" s="78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KALKULATION!H740</f>
        <v>7.0000000000000007E-2</v>
      </c>
      <c r="P32" s="3552"/>
      <c r="R32" s="78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IF(_Anzeige_Prozent=_Nein,KALKULATION!G741+KALKULATION!H741/O33,KALKULATION!G741)</f>
        <v>0.06</v>
      </c>
      <c r="L34" s="3658"/>
      <c r="M34" s="3659">
        <f ca="1">IF(_Anzeige_Prozent=_Nein,"",KALKULATION!H741)</f>
        <v>3.46</v>
      </c>
      <c r="N34" s="3660"/>
      <c r="O34" s="3547" t="e">
        <f ca="1">SUM(KALKULATION!H741,KALKULATION!G741*O33)</f>
        <v>#DIV/0!</v>
      </c>
      <c r="P34" s="3548"/>
      <c r="R34" s="78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5"/>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5"/>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5"/>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785"/>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t="e">
        <f ca="1">IF(KALKULATION!H693="Ø",SUM(M39,O39),SUM(M39,O39)*H19)</f>
        <v>#DIV/0!</v>
      </c>
      <c r="O40" s="3559"/>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t="e">
        <f ca="1">K43*O39</f>
        <v>#DIV/0!</v>
      </c>
      <c r="P43" s="3639"/>
      <c r="R43" s="78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785"/>
    </row>
    <row r="45" spans="1:19" ht="27.95" customHeight="1" x14ac:dyDescent="0.2">
      <c r="A45" s="44">
        <v>22</v>
      </c>
      <c r="B45" s="3556" t="str">
        <f>KALKULATION!C753</f>
        <v>Regielohnpreis gesamt als Ø-Preis pro Person und Stunde</v>
      </c>
      <c r="C45" s="3557"/>
      <c r="D45" s="3557"/>
      <c r="E45" s="3557"/>
      <c r="F45" s="3557"/>
      <c r="G45" s="3557"/>
      <c r="H45" s="3557"/>
      <c r="I45" s="3557"/>
      <c r="J45" s="3558"/>
      <c r="K45" s="3472" t="s">
        <v>186</v>
      </c>
      <c r="L45" s="3044"/>
      <c r="M45" s="375"/>
      <c r="N45" s="3559">
        <f ca="1">IFERROR(IF(KALKULATION!H693="Ø",SUM(M44,O44),SUM(M44,O44)*KALKULATION!E700),"??")</f>
        <v>0</v>
      </c>
      <c r="O45" s="3559"/>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Baunebengewerbe (Hafner-, Platten-, Fliesenleger</v>
      </c>
      <c r="H1" s="3605"/>
      <c r="I1" s="3605"/>
      <c r="J1" s="3605"/>
      <c r="K1" s="3605"/>
      <c r="L1" s="3605"/>
      <c r="M1" s="3605"/>
      <c r="N1" s="3605"/>
      <c r="O1" s="3605"/>
      <c r="P1" s="3606"/>
      <c r="R1" s="815"/>
    </row>
    <row r="2" spans="1:18" x14ac:dyDescent="0.2">
      <c r="A2" s="3600"/>
      <c r="B2" s="3402" t="s">
        <v>57</v>
      </c>
      <c r="C2" s="3403"/>
      <c r="D2" s="3403"/>
      <c r="E2" s="3403"/>
      <c r="F2" s="3601" t="str">
        <f>IF(KALKULATION!D764="","Regiepartiepersonalpreis",KALKULATION!D764)</f>
        <v>Regiepartie02</v>
      </c>
      <c r="G2" s="3601"/>
      <c r="H2" s="3601"/>
      <c r="I2" s="3601"/>
      <c r="J2" s="3602"/>
      <c r="K2" s="3374" t="s">
        <v>24</v>
      </c>
      <c r="L2" s="3375"/>
      <c r="M2" s="3375"/>
      <c r="N2" s="3375"/>
      <c r="O2" s="3375"/>
      <c r="P2" s="3389"/>
      <c r="R2" s="81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815"/>
    </row>
    <row r="7" spans="1:18" x14ac:dyDescent="0.2">
      <c r="A7" s="3600"/>
      <c r="B7" s="2726" t="s">
        <v>126</v>
      </c>
      <c r="C7" s="3440"/>
      <c r="D7" s="3440"/>
      <c r="E7" s="3440"/>
      <c r="F7" s="3597" t="str">
        <f>IF(OR(COUNTA(KALKULATION!A769:C773)&gt;1),"FÜR REGIEPARTIE","FÜR REGIE")</f>
        <v>FÜR REGIE</v>
      </c>
      <c r="G7" s="3598"/>
      <c r="H7" s="3598"/>
      <c r="I7" s="3598"/>
      <c r="J7" s="3599"/>
      <c r="K7" s="3412" t="s">
        <v>140</v>
      </c>
      <c r="L7" s="3412"/>
      <c r="M7" s="3412"/>
      <c r="N7" s="3412"/>
      <c r="O7" s="3412"/>
      <c r="P7" s="3413"/>
      <c r="R7" s="815"/>
    </row>
    <row r="8" spans="1:18" ht="15.75" thickBot="1" x14ac:dyDescent="0.25">
      <c r="A8" s="3600"/>
      <c r="B8" s="3591" t="str">
        <f ca="1">Stammdaten!B3</f>
        <v>KollV Hafner, Platten- und Fliesenleger (ohne Kärnten)</v>
      </c>
      <c r="C8" s="3592"/>
      <c r="D8" s="3592"/>
      <c r="E8" s="3592"/>
      <c r="F8" s="3592"/>
      <c r="G8" s="3592"/>
      <c r="H8" s="3592"/>
      <c r="I8" s="3592"/>
      <c r="J8" s="3592"/>
      <c r="K8" s="3592"/>
      <c r="L8" s="3593"/>
      <c r="M8" s="3390" t="s">
        <v>26</v>
      </c>
      <c r="N8" s="3391"/>
      <c r="O8" s="3587">
        <f ca="1">Stammdaten!B4</f>
        <v>46143</v>
      </c>
      <c r="P8" s="3588"/>
      <c r="R8" s="815"/>
    </row>
    <row r="9" spans="1:18" x14ac:dyDescent="0.2">
      <c r="A9" s="79">
        <v>1</v>
      </c>
      <c r="B9" s="3421" t="s">
        <v>106</v>
      </c>
      <c r="C9" s="3422"/>
      <c r="D9" s="3422"/>
      <c r="E9" s="3423"/>
      <c r="F9" s="3457" t="s">
        <v>107</v>
      </c>
      <c r="G9" s="3649"/>
      <c r="H9" s="78" t="str">
        <f>IF(KALKULATION!H767="Ø","Anteil","Anzahl")</f>
        <v>Anzahl</v>
      </c>
      <c r="I9" s="3511" t="s">
        <v>257</v>
      </c>
      <c r="J9" s="3512"/>
      <c r="K9" s="3422" t="s">
        <v>108</v>
      </c>
      <c r="L9" s="3422"/>
      <c r="M9" s="3422"/>
      <c r="N9" s="3422"/>
      <c r="O9" s="3422"/>
      <c r="P9" s="28">
        <f ca="1">KALKULATION!C87</f>
        <v>39</v>
      </c>
      <c r="R9" s="815"/>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5"/>
    </row>
    <row r="11" spans="1:18" ht="15.75" x14ac:dyDescent="0.25">
      <c r="A11" s="43" t="s">
        <v>31</v>
      </c>
      <c r="B11" s="3643" t="str">
        <f>IF(KALKULATION!A769=0,"",(KALKULATION!A769))</f>
        <v/>
      </c>
      <c r="C11" s="3643"/>
      <c r="D11" s="3643"/>
      <c r="E11" s="3643"/>
      <c r="F11" s="3547" t="str">
        <f ca="1">IFERROR((VLOOKUP(B11,Stammdaten!A$7:D$33,4,FALSE)),"")</f>
        <v/>
      </c>
      <c r="G11" s="3548"/>
      <c r="H11" s="381" t="str">
        <f ca="1">IF(F11="","",IF(KALKULATION!H$767="Ø",TEXT(KALKULATION!F769,"0,00%"),TEXT(KALKULATION!E769,"0,0")))</f>
        <v/>
      </c>
      <c r="I11" s="3547" t="str">
        <f ca="1">IFERROR(IF(OR(F11*H11=0,B11=""),"",F11*H11),"")</f>
        <v/>
      </c>
      <c r="J11" s="3548"/>
      <c r="K11" s="3614" t="str">
        <f>IF(B11="","1b darf nicht leer sein!!!",KALKULATION!N800)</f>
        <v>1b darf nicht leer sein!!!</v>
      </c>
      <c r="L11" s="3615"/>
      <c r="M11" s="3615"/>
      <c r="N11" s="3615"/>
      <c r="O11" s="1034" t="str">
        <f>KALKULATION!P800</f>
        <v/>
      </c>
      <c r="P11" s="163">
        <v>1</v>
      </c>
      <c r="R11" s="816"/>
    </row>
    <row r="12" spans="1:18" x14ac:dyDescent="0.2">
      <c r="A12" s="43" t="s">
        <v>32</v>
      </c>
      <c r="B12" s="3643" t="str">
        <f>IF(KALKULATION!A770=0,"",(KALKULATION!A770))</f>
        <v/>
      </c>
      <c r="C12" s="3643"/>
      <c r="D12" s="3643"/>
      <c r="E12" s="3643"/>
      <c r="F12" s="3547" t="str">
        <f ca="1">IFERROR((VLOOKUP(B12,Stammdaten!A$7:D$33,4,FALSE)),"")</f>
        <v/>
      </c>
      <c r="G12" s="3548"/>
      <c r="H12" s="381" t="str">
        <f ca="1">IF(F12="","",IF(KALKULATION!H$767="Ø",TEXT(KALKULATION!F770,"0,00%"),TEXT(KALKULATION!E770,"0,0")))</f>
        <v/>
      </c>
      <c r="I12" s="3547" t="str">
        <f t="shared" ref="I12:I15" ca="1" si="0">IFERROR(IF(OR(F12*H12=0,B12=""),"",F12*H12),"")</f>
        <v/>
      </c>
      <c r="J12" s="3548"/>
      <c r="K12" s="3577" t="str">
        <f>IF(AND(_Anzeige_Prozent=_Ja,KALKULATION!N804&lt;&gt;""),"Erfasst sind Verr.std. für: "&amp;KALKULATION!O804,"")</f>
        <v xml:space="preserve">Erfasst sind Verr.std. für: </v>
      </c>
      <c r="L12" s="3578"/>
      <c r="M12" s="3578"/>
      <c r="N12" s="3579"/>
      <c r="O12" s="556"/>
      <c r="P12" s="164"/>
      <c r="R12" s="815"/>
    </row>
    <row r="13" spans="1:18" x14ac:dyDescent="0.2">
      <c r="A13" s="43" t="s">
        <v>33</v>
      </c>
      <c r="B13" s="3643" t="str">
        <f>IF(KALKULATION!A771=0,"",(KALKULATION!A771))</f>
        <v/>
      </c>
      <c r="C13" s="3643"/>
      <c r="D13" s="3643"/>
      <c r="E13" s="3643"/>
      <c r="F13" s="3547" t="str">
        <f ca="1">IFERROR((VLOOKUP(B13,Stammdaten!A$7:D$33,4,FALSE)),"")</f>
        <v/>
      </c>
      <c r="G13" s="3548"/>
      <c r="H13" s="381" t="str">
        <f ca="1">IF(F13="","",IF(KALKULATION!H$767="Ø",TEXT(KALKULATION!F771,"0,00%"),TEXT(KALKULATION!E771,"0,0")))</f>
        <v/>
      </c>
      <c r="I13" s="3547" t="str">
        <f t="shared" ca="1" si="0"/>
        <v/>
      </c>
      <c r="J13" s="3548"/>
      <c r="K13" s="3577"/>
      <c r="L13" s="3578"/>
      <c r="M13" s="3578"/>
      <c r="N13" s="3579"/>
      <c r="O13" s="556"/>
      <c r="P13" s="35"/>
      <c r="R13" s="815"/>
    </row>
    <row r="14" spans="1:18" x14ac:dyDescent="0.2">
      <c r="A14" s="43" t="s">
        <v>34</v>
      </c>
      <c r="B14" s="3643" t="str">
        <f>IF(KALKULATION!A772=0,"",(KALKULATION!A772))</f>
        <v/>
      </c>
      <c r="C14" s="3643"/>
      <c r="D14" s="3643"/>
      <c r="E14" s="3643"/>
      <c r="F14" s="3547" t="str">
        <f ca="1">IFERROR((VLOOKUP(B14,Stammdaten!A$7:D$33,4,FALSE)),"")</f>
        <v/>
      </c>
      <c r="G14" s="3548"/>
      <c r="H14" s="381" t="str">
        <f ca="1">IF(F14="","",IF(KALKULATION!H$767="Ø",TEXT(KALKULATION!F772,"0,00%"),TEXT(KALKULATION!E772,"0,0")))</f>
        <v/>
      </c>
      <c r="I14" s="3547" t="str">
        <f t="shared" ca="1" si="0"/>
        <v/>
      </c>
      <c r="J14" s="3548"/>
      <c r="K14" s="3577"/>
      <c r="L14" s="3578"/>
      <c r="M14" s="3578"/>
      <c r="N14" s="3579"/>
      <c r="O14" s="34"/>
      <c r="P14" s="35"/>
      <c r="R14" s="815"/>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5"/>
    </row>
    <row r="16" spans="1:18" x14ac:dyDescent="0.2">
      <c r="A16" s="43" t="s">
        <v>36</v>
      </c>
      <c r="B16" s="3572"/>
      <c r="C16" s="3572"/>
      <c r="D16" s="3572"/>
      <c r="E16" s="3572"/>
      <c r="F16" s="3575"/>
      <c r="G16" s="3576"/>
      <c r="H16" s="200"/>
      <c r="I16" s="3575"/>
      <c r="J16" s="3576"/>
      <c r="K16" s="3616"/>
      <c r="L16" s="3616"/>
      <c r="M16" s="3616"/>
      <c r="N16" s="3617"/>
      <c r="O16" s="36"/>
      <c r="P16" s="37"/>
      <c r="R16" s="815"/>
    </row>
    <row r="17" spans="1:18" x14ac:dyDescent="0.2">
      <c r="A17" s="43" t="s">
        <v>37</v>
      </c>
      <c r="B17" s="3572"/>
      <c r="C17" s="3572"/>
      <c r="D17" s="3572"/>
      <c r="E17" s="3572"/>
      <c r="F17" s="3575"/>
      <c r="G17" s="3576"/>
      <c r="H17" s="200"/>
      <c r="I17" s="3575"/>
      <c r="J17" s="3576"/>
      <c r="K17" s="3616"/>
      <c r="L17" s="3616"/>
      <c r="M17" s="3616"/>
      <c r="N17" s="3617"/>
      <c r="O17" s="36"/>
      <c r="P17" s="37"/>
      <c r="R17" s="815"/>
    </row>
    <row r="18" spans="1:18" ht="15.75" thickBot="1" x14ac:dyDescent="0.25">
      <c r="A18" s="43" t="s">
        <v>38</v>
      </c>
      <c r="B18" s="3565"/>
      <c r="C18" s="3566"/>
      <c r="D18" s="3566"/>
      <c r="E18" s="3566"/>
      <c r="F18" s="3569"/>
      <c r="G18" s="3570"/>
      <c r="H18" s="201"/>
      <c r="I18" s="3569"/>
      <c r="J18" s="3570"/>
      <c r="K18" s="3618"/>
      <c r="L18" s="3618"/>
      <c r="M18" s="3618"/>
      <c r="N18" s="3619"/>
      <c r="O18" s="39"/>
      <c r="P18" s="40"/>
      <c r="R18" s="815"/>
    </row>
    <row r="19" spans="1:18" x14ac:dyDescent="0.2">
      <c r="A19" s="43">
        <v>2</v>
      </c>
      <c r="B19" s="1169" t="s">
        <v>258</v>
      </c>
      <c r="C19" s="1170"/>
      <c r="D19" s="1171"/>
      <c r="E19" s="1171"/>
      <c r="F19" s="1171"/>
      <c r="G19" s="1171"/>
      <c r="H19" s="1172" t="str">
        <f>IF(KALKULATION!H$767="Ø",TEXT(KALKULATION!F774,"0%"),TEXT(KALKULATION!E774,"0,0"))</f>
        <v>0,0</v>
      </c>
      <c r="I19" s="3376">
        <f ca="1">IF(AND(_OK?="OK!",_OK_KV?="OK_KV!"),SUM(I10:J18),KALKULATION!G774)</f>
        <v>0</v>
      </c>
      <c r="J19" s="3377"/>
      <c r="K19" s="3626" t="s">
        <v>143</v>
      </c>
      <c r="L19" s="3626"/>
      <c r="M19" s="3626"/>
      <c r="N19" s="3626"/>
      <c r="O19" s="3626"/>
      <c r="P19" s="1173">
        <v>1</v>
      </c>
      <c r="R19" s="815"/>
    </row>
    <row r="20" spans="1:18" x14ac:dyDescent="0.2">
      <c r="A20" s="43"/>
      <c r="B20" s="3440"/>
      <c r="C20" s="3440"/>
      <c r="D20" s="3440"/>
      <c r="E20" s="3440"/>
      <c r="F20" s="3440"/>
      <c r="G20" s="3440"/>
      <c r="H20" s="3440"/>
      <c r="I20" s="3440"/>
      <c r="J20" s="3440"/>
      <c r="K20" s="3440"/>
      <c r="L20" s="2727"/>
      <c r="M20" s="3433" t="s">
        <v>6</v>
      </c>
      <c r="N20" s="3434"/>
      <c r="O20" s="3435" t="s">
        <v>7</v>
      </c>
      <c r="P20" s="3434"/>
      <c r="R20" s="81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815"/>
    </row>
    <row r="22" spans="1:18" ht="15.75" thickBot="1" x14ac:dyDescent="0.25">
      <c r="A22" s="43">
        <v>4</v>
      </c>
      <c r="B22" s="3442" t="s">
        <v>40</v>
      </c>
      <c r="C22" s="3443"/>
      <c r="D22" s="3443"/>
      <c r="E22" s="3443"/>
      <c r="F22" s="3443"/>
      <c r="G22" s="3443"/>
      <c r="H22" s="3450" t="s">
        <v>41</v>
      </c>
      <c r="I22" s="3450"/>
      <c r="J22" s="3451"/>
      <c r="K22" s="3620" t="e">
        <f ca="1">KALKULATION!G786</f>
        <v>#DIV/0!</v>
      </c>
      <c r="L22" s="3621"/>
      <c r="M22" s="3444"/>
      <c r="N22" s="3445"/>
      <c r="O22" s="3622" t="e">
        <f ca="1">K22*O21</f>
        <v>#DIV/0!</v>
      </c>
      <c r="P22" s="3623"/>
      <c r="R22" s="81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815"/>
    </row>
    <row r="24" spans="1:18" x14ac:dyDescent="0.2">
      <c r="A24" s="43">
        <v>6</v>
      </c>
      <c r="B24" s="3375" t="s">
        <v>109</v>
      </c>
      <c r="C24" s="3375"/>
      <c r="D24" s="3375"/>
      <c r="E24" s="3375"/>
      <c r="F24" s="3375"/>
      <c r="G24" s="3375"/>
      <c r="H24" s="3455" t="s">
        <v>87</v>
      </c>
      <c r="I24" s="3455"/>
      <c r="J24" s="3456"/>
      <c r="K24" s="3495" t="e">
        <f ca="1">KALKULATION!H786</f>
        <v>#DIV/0!</v>
      </c>
      <c r="L24" s="3496"/>
      <c r="M24" s="3457"/>
      <c r="N24" s="3458"/>
      <c r="O24" s="3547" t="e">
        <f ca="1">K24*O23</f>
        <v>#DIV/0!</v>
      </c>
      <c r="P24" s="3548"/>
      <c r="R24" s="815"/>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t="e">
        <f ca="1">K25*O23</f>
        <v>#DIV/0!</v>
      </c>
      <c r="P25" s="3548"/>
      <c r="R25" s="815"/>
    </row>
    <row r="26" spans="1:18" x14ac:dyDescent="0.2">
      <c r="A26" s="43">
        <v>8</v>
      </c>
      <c r="B26" s="3375" t="s">
        <v>67</v>
      </c>
      <c r="C26" s="3375"/>
      <c r="D26" s="3375"/>
      <c r="E26" s="3375"/>
      <c r="F26" s="3375"/>
      <c r="G26" s="3375"/>
      <c r="H26" s="3455" t="s">
        <v>87</v>
      </c>
      <c r="I26" s="3455"/>
      <c r="J26" s="3456"/>
      <c r="K26" s="3629">
        <f ca="1">KALKULATION!H806</f>
        <v>0</v>
      </c>
      <c r="L26" s="3630"/>
      <c r="M26" s="3457"/>
      <c r="N26" s="3458"/>
      <c r="O26" s="3547" t="e">
        <f ca="1">K26*O23</f>
        <v>#DIV/0!</v>
      </c>
      <c r="P26" s="3548"/>
      <c r="R26" s="81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KALKULATION!H810</f>
        <v>#DIV/0!</v>
      </c>
      <c r="P27" s="3552"/>
      <c r="R27" s="81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815"/>
    </row>
    <row r="29" spans="1:18" x14ac:dyDescent="0.2">
      <c r="A29" s="43">
        <v>11</v>
      </c>
      <c r="B29" s="2280" t="s">
        <v>104</v>
      </c>
      <c r="C29" s="2280"/>
      <c r="D29" s="2280"/>
      <c r="E29" s="2280"/>
      <c r="F29" s="2280"/>
      <c r="G29" s="2280"/>
      <c r="H29" s="2280"/>
      <c r="I29" s="2280"/>
      <c r="J29" s="2280"/>
      <c r="K29" s="2280"/>
      <c r="L29" s="2280"/>
      <c r="M29" s="2280"/>
      <c r="N29" s="2280"/>
      <c r="O29" s="3547" t="e">
        <f ca="1">KALKULATION!H811</f>
        <v>#DIV/0!</v>
      </c>
      <c r="P29" s="3548"/>
      <c r="R29" s="815"/>
    </row>
    <row r="30" spans="1:18" x14ac:dyDescent="0.2">
      <c r="A30" s="43">
        <v>12</v>
      </c>
      <c r="B30" s="3375" t="s">
        <v>43</v>
      </c>
      <c r="C30" s="3375"/>
      <c r="D30" s="3375"/>
      <c r="E30" s="3375"/>
      <c r="F30" s="3375"/>
      <c r="G30" s="3375"/>
      <c r="H30" s="3455" t="s">
        <v>44</v>
      </c>
      <c r="I30" s="3455"/>
      <c r="J30" s="3456"/>
      <c r="K30" s="3629">
        <f ca="1">KALKULATION!H812</f>
        <v>0.28000000000000003</v>
      </c>
      <c r="L30" s="3630"/>
      <c r="M30" s="3457"/>
      <c r="N30" s="3458"/>
      <c r="O30" s="3547" t="e">
        <f ca="1">K30*O28</f>
        <v>#DIV/0!</v>
      </c>
      <c r="P30" s="3548"/>
      <c r="R30" s="815"/>
    </row>
    <row r="31" spans="1:18" x14ac:dyDescent="0.2">
      <c r="A31" s="43">
        <v>13</v>
      </c>
      <c r="B31" s="3375" t="s">
        <v>45</v>
      </c>
      <c r="C31" s="3375"/>
      <c r="D31" s="3375"/>
      <c r="E31" s="3375"/>
      <c r="F31" s="3375"/>
      <c r="G31" s="3375"/>
      <c r="H31" s="3455" t="s">
        <v>44</v>
      </c>
      <c r="I31" s="3455"/>
      <c r="J31" s="3456"/>
      <c r="K31" s="3629">
        <f ca="1">KALKULATION!H813</f>
        <v>0.72</v>
      </c>
      <c r="L31" s="3630"/>
      <c r="M31" s="3457"/>
      <c r="N31" s="3458"/>
      <c r="O31" s="3547" t="e">
        <f ca="1">K31*O28</f>
        <v>#DIV/0!</v>
      </c>
      <c r="P31" s="3548"/>
      <c r="R31" s="81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KALKULATION!H814</f>
        <v>7.0000000000000007E-2</v>
      </c>
      <c r="P32" s="3552"/>
      <c r="R32" s="81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81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IF(_Anzeige_Prozent=_Nein,KALKULATION!G815+KALKULATION!H815/O33,KALKULATION!G815)</f>
        <v>0.06</v>
      </c>
      <c r="L34" s="3658"/>
      <c r="M34" s="3659">
        <f ca="1">IF(_Anzeige_Prozent=_Nein,"",KALKULATION!H815)</f>
        <v>3.46</v>
      </c>
      <c r="N34" s="3660"/>
      <c r="O34" s="3547" t="e">
        <f ca="1">SUM(KALKULATION!H815,KALKULATION!G815*O33)</f>
        <v>#DIV/0!</v>
      </c>
      <c r="P34" s="3548"/>
      <c r="R34" s="81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5"/>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5"/>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5"/>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815"/>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t="e">
        <f ca="1">IF(KALKULATION!H767="Ø",SUM(M39,O39),SUM(M39,O39)*H19)</f>
        <v>#DIV/0!</v>
      </c>
      <c r="O40" s="3559"/>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5"/>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t="e">
        <f ca="1">K43*O39</f>
        <v>#DIV/0!</v>
      </c>
      <c r="P43" s="3639"/>
      <c r="R43" s="81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815"/>
    </row>
    <row r="45" spans="1:19" ht="27.95" customHeight="1" x14ac:dyDescent="0.2">
      <c r="A45" s="44">
        <v>22</v>
      </c>
      <c r="B45" s="3556" t="str">
        <f>KALKULATION!C827</f>
        <v>Regielohnpreis gesamt als Partiepreis pro Stunde für [0 Personen]</v>
      </c>
      <c r="C45" s="3557"/>
      <c r="D45" s="3557"/>
      <c r="E45" s="3557"/>
      <c r="F45" s="3557"/>
      <c r="G45" s="3557"/>
      <c r="H45" s="3557"/>
      <c r="I45" s="3557"/>
      <c r="J45" s="3558"/>
      <c r="K45" s="3472" t="s">
        <v>186</v>
      </c>
      <c r="L45" s="3044"/>
      <c r="M45" s="375"/>
      <c r="N45" s="3559">
        <f ca="1">IFERROR(IF(KALKULATION!H767="Ø",SUM(M44,O44),SUM(M44,O44)*KALKULATION!E774),"??")</f>
        <v>0</v>
      </c>
      <c r="O45" s="3559"/>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933</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991</v>
      </c>
    </row>
    <row r="25" spans="2:9" x14ac:dyDescent="0.25">
      <c r="B25" s="267"/>
      <c r="D25" s="3662" t="s">
        <v>1120</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4"/>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[hafner_platten_fliesenl_26].  Die dort angelegten Stammdaten werden in das Kalk-Tool übertragen. </v>
      </c>
      <c r="B2" s="3051"/>
      <c r="C2" s="3051"/>
      <c r="D2" s="3051"/>
      <c r="E2" s="3051"/>
      <c r="F2" s="3052"/>
      <c r="G2" s="3025"/>
      <c r="H2" s="403" t="s">
        <v>442</v>
      </c>
      <c r="I2" s="1279" t="s">
        <v>978</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KollV Hafner, Platten- und Fliesenleger (ohne Kärnten)</v>
      </c>
      <c r="C3" s="3047"/>
      <c r="D3" s="3047"/>
      <c r="E3" s="3047"/>
      <c r="F3" s="3048"/>
      <c r="G3" s="3026"/>
      <c r="H3" s="404" t="s">
        <v>443</v>
      </c>
      <c r="I3" s="1280" t="s">
        <v>1140</v>
      </c>
      <c r="J3" s="10"/>
      <c r="K3" s="1945"/>
    </row>
    <row r="4" spans="1:16" ht="15.75" customHeight="1" x14ac:dyDescent="0.25">
      <c r="A4" s="148" t="s">
        <v>99</v>
      </c>
      <c r="B4" s="258">
        <f ca="1">IFERROR(INDIRECT(CONCATENATE("[",$I$2,".xlsx]",$I$4,"!B4")),"?")</f>
        <v>46143</v>
      </c>
      <c r="C4" s="188" t="s">
        <v>224</v>
      </c>
      <c r="D4" s="189">
        <f ca="1">INDIRECT(CONCATENATE("[",$I$2,".xlsx]",$I$4,"!D4"))</f>
        <v>1</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hafner_platten_fliesenl_26</v>
      </c>
      <c r="J4" s="89"/>
      <c r="K4" s="1945"/>
    </row>
    <row r="5" spans="1:16" x14ac:dyDescent="0.25">
      <c r="A5" s="2992" t="s">
        <v>747</v>
      </c>
      <c r="B5" s="2994" t="s">
        <v>173</v>
      </c>
      <c r="C5" s="2994" t="s">
        <v>91</v>
      </c>
      <c r="D5" s="2988" t="s">
        <v>127</v>
      </c>
      <c r="E5" s="2994" t="s">
        <v>113</v>
      </c>
      <c r="F5" s="2988" t="s">
        <v>71</v>
      </c>
      <c r="G5" s="2982"/>
      <c r="H5" s="256" t="s">
        <v>279</v>
      </c>
      <c r="I5" s="97" t="str">
        <f ca="1">IFERROR(TEXT(B4,"TT.MM.JJJJ"),"Nicht auslesbar!!")</f>
        <v>01.05.2026</v>
      </c>
      <c r="J5" s="89"/>
      <c r="K5" s="1945"/>
    </row>
    <row r="6" spans="1:16" x14ac:dyDescent="0.25">
      <c r="A6" s="2993"/>
      <c r="B6" s="2995"/>
      <c r="C6" s="2995"/>
      <c r="D6" s="2989"/>
      <c r="E6" s="2995"/>
      <c r="F6" s="2989"/>
      <c r="G6" s="2982"/>
      <c r="H6" s="257" t="s">
        <v>281</v>
      </c>
      <c r="I6" s="191">
        <f ca="1">IFERROR(TODAY()-B4,99999999)</f>
        <v>-1</v>
      </c>
      <c r="J6" s="395"/>
      <c r="K6" s="186"/>
    </row>
    <row r="7" spans="1:16" x14ac:dyDescent="0.25">
      <c r="A7" s="104" t="str">
        <f ca="1">INDIRECT(CONCATENATE("[",$I$2,".xlsx]",$I$4,"!A7"))</f>
        <v>Facharbeiter (&gt; 2Verwendungsjahr)</v>
      </c>
      <c r="B7" s="11">
        <f ca="1">INDIRECT(CONCATENATE("[",$I$2,".xlsx]",$I$4,"!B7"))</f>
        <v>18.75</v>
      </c>
      <c r="C7" s="105">
        <f ca="1">INDIRECT(CONCATENATE("[",$I$2,".xlsx]",$I$4,"!C7"))</f>
        <v>0</v>
      </c>
      <c r="D7" s="118">
        <f t="shared" ref="D7:D27" ca="1" si="0">B7*$D$4</f>
        <v>18.75</v>
      </c>
      <c r="E7" s="121">
        <f ca="1">INDIRECT(CONCATENATE("[",$I$2,".xlsx]",$I$4,"!E7"))</f>
        <v>0.15</v>
      </c>
      <c r="F7" s="118">
        <f ca="1">D7*E7</f>
        <v>2.81</v>
      </c>
      <c r="G7" s="2982"/>
      <c r="J7" s="255"/>
    </row>
    <row r="8" spans="1:16" x14ac:dyDescent="0.25">
      <c r="A8" s="104" t="str">
        <f ca="1">INDIRECT(CONCATENATE("[",$I$2,".xlsx]",$I$4,"!A8"))</f>
        <v>Facharbeiter (2. Verwendungsjahr)</v>
      </c>
      <c r="B8" s="11">
        <f ca="1">INDIRECT(CONCATENATE("[",$I$2,".xlsx]",$I$4,"!B8"))</f>
        <v>17.82</v>
      </c>
      <c r="C8" s="105">
        <f ca="1">INDIRECT(CONCATENATE("[",$I$2,".xlsx]",$I$4,"!C8"))</f>
        <v>0</v>
      </c>
      <c r="D8" s="118">
        <f t="shared" ca="1" si="0"/>
        <v>17.82</v>
      </c>
      <c r="E8" s="121">
        <f ca="1">INDIRECT(CONCATENATE("[",$I$2,".xlsx]",$I$4,"!E8"))</f>
        <v>0.15</v>
      </c>
      <c r="F8" s="118">
        <f t="shared" ref="F8:F27" ca="1" si="1">D8*E8</f>
        <v>2.67</v>
      </c>
      <c r="G8" s="2982"/>
      <c r="J8" s="255"/>
    </row>
    <row r="9" spans="1:16" ht="15.75" customHeight="1" x14ac:dyDescent="0.25">
      <c r="A9" s="104" t="str">
        <f ca="1">INDIRECT(CONCATENATE("[",$I$2,".xlsx]",$I$4,"!A9"))</f>
        <v>Facharbeiter (1. Verwendungsjahr)</v>
      </c>
      <c r="B9" s="11">
        <f ca="1">INDIRECT(CONCATENATE("[",$I$2,".xlsx]",$I$4,"!B9"))</f>
        <v>16.809999999999999</v>
      </c>
      <c r="C9" s="105">
        <f ca="1">INDIRECT(CONCATENATE("[",$I$2,".xlsx]",$I$4,"!C9"))</f>
        <v>0</v>
      </c>
      <c r="D9" s="118">
        <f t="shared" ca="1" si="0"/>
        <v>16.809999999999999</v>
      </c>
      <c r="E9" s="121">
        <f ca="1">INDIRECT(CONCATENATE("[",$I$2,".xlsx]",$I$4,"!E9"))</f>
        <v>0.15</v>
      </c>
      <c r="F9" s="118">
        <f t="shared" ca="1" si="1"/>
        <v>2.52</v>
      </c>
      <c r="G9" s="2982"/>
      <c r="H9" s="253" t="s">
        <v>280</v>
      </c>
      <c r="I9" s="97" t="str">
        <f ca="1">IFERROR(TEXT(B134,"TT.MM.JJJJ"),"Nicht auslesbar!!")</f>
        <v>01.01.2026</v>
      </c>
      <c r="N9" s="1148"/>
      <c r="P9" s="1148"/>
    </row>
    <row r="10" spans="1:16" ht="15.75" customHeight="1" x14ac:dyDescent="0.25">
      <c r="A10" s="104" t="str">
        <f ca="1">INDIRECT(CONCATENATE("[",$I$2,".xlsx]",$I$4,"!A10"))</f>
        <v>Qualifizierter Helfer</v>
      </c>
      <c r="B10" s="11">
        <f ca="1">INDIRECT(CONCATENATE("[",$I$2,".xlsx]",$I$4,"!B10"))</f>
        <v>15.96</v>
      </c>
      <c r="C10" s="105">
        <f ca="1">INDIRECT(CONCATENATE("[",$I$2,".xlsx]",$I$4,"!C10"))</f>
        <v>0</v>
      </c>
      <c r="D10" s="118">
        <f t="shared" ca="1" si="0"/>
        <v>15.96</v>
      </c>
      <c r="E10" s="121">
        <f ca="1">INDIRECT(CONCATENATE("[",$I$2,".xlsx]",$I$4,"!E10"))</f>
        <v>0.15</v>
      </c>
      <c r="F10" s="118">
        <f t="shared" ca="1" si="1"/>
        <v>2.39</v>
      </c>
      <c r="G10" s="2983"/>
      <c r="H10" s="257" t="s">
        <v>281</v>
      </c>
      <c r="I10" s="191">
        <f ca="1">IFERROR(TODAY()-B134,999999999)</f>
        <v>119</v>
      </c>
    </row>
    <row r="11" spans="1:16" ht="15.75" customHeight="1" x14ac:dyDescent="0.25">
      <c r="A11" s="104" t="str">
        <f ca="1">INDIRECT(CONCATENATE("[",$I$2,".xlsx]",$I$4,"!A11"))</f>
        <v>Helfer</v>
      </c>
      <c r="B11" s="11">
        <f ca="1">INDIRECT(CONCATENATE("[",$I$2,".xlsx]",$I$4,"!B11"))</f>
        <v>15.33</v>
      </c>
      <c r="C11" s="105">
        <f ca="1">INDIRECT(CONCATENATE("[",$I$2,".xlsx]",$I$4,"!C11"))</f>
        <v>0</v>
      </c>
      <c r="D11" s="118">
        <f t="shared" ca="1" si="0"/>
        <v>15.33</v>
      </c>
      <c r="E11" s="121">
        <f ca="1">INDIRECT(CONCATENATE("[",$I$2,".xlsx]",$I$4,"!E11"))</f>
        <v>0.15</v>
      </c>
      <c r="F11" s="118">
        <f t="shared" ca="1" si="1"/>
        <v>2.2999999999999998</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t="str">
        <f ca="1">INDIRECT(CONCATENATE("[",$I$2,".xlsx]",$I$4,"!A12"))</f>
        <v>Lenkstunde</v>
      </c>
      <c r="B12" s="11">
        <f ca="1">INDIRECT(CONCATENATE("[",$I$2,".xlsx]",$I$4,"!B12"))</f>
        <v>15.31</v>
      </c>
      <c r="C12" s="105">
        <f ca="1">INDIRECT(CONCATENATE("[",$I$2,".xlsx]",$I$4,"!C12"))</f>
        <v>0</v>
      </c>
      <c r="D12" s="118">
        <f t="shared" ca="1" si="0"/>
        <v>15.31</v>
      </c>
      <c r="E12" s="121">
        <f ca="1">INDIRECT(CONCATENATE("[",$I$2,".xlsx]",$I$4,"!E12"))</f>
        <v>0.15</v>
      </c>
      <c r="F12" s="118">
        <f t="shared" ca="1" si="1"/>
        <v>2.2999999999999998</v>
      </c>
      <c r="G12" s="252"/>
      <c r="H12" s="3040"/>
      <c r="I12" s="3040"/>
      <c r="J12" s="3040"/>
      <c r="L12" s="1148"/>
      <c r="M12" s="1148"/>
      <c r="N12" s="1148"/>
      <c r="O12" s="1148"/>
      <c r="P12" s="1148" t="s">
        <v>999</v>
      </c>
    </row>
    <row r="13" spans="1:16" ht="15.75" customHeight="1" x14ac:dyDescent="0.25">
      <c r="A13" s="104">
        <f ca="1">INDIRECT(CONCATENATE("[",$I$2,".xlsx]",$I$4,"!A13"))</f>
        <v>0</v>
      </c>
      <c r="B13" s="11">
        <f ca="1">INDIRECT(CONCATENATE("[",$I$2,".xlsx]",$I$4,"!B13"))</f>
        <v>0</v>
      </c>
      <c r="C13" s="105">
        <f ca="1">INDIRECT(CONCATENATE("[",$I$2,".xlsx]",$I$4,"!C13"))</f>
        <v>0</v>
      </c>
      <c r="D13" s="118">
        <f t="shared" ca="1" si="0"/>
        <v>0</v>
      </c>
      <c r="E13" s="121">
        <f ca="1">INDIRECT(CONCATENATE("[",$I$2,".xlsx]",$I$4,"!E13"))</f>
        <v>0</v>
      </c>
      <c r="F13" s="118">
        <f t="shared" ca="1" si="1"/>
        <v>0</v>
      </c>
      <c r="H13" s="3040"/>
      <c r="I13" s="3040"/>
      <c r="J13" s="3040"/>
      <c r="L13" s="3037"/>
      <c r="M13" s="3037"/>
      <c r="N13" s="3037"/>
      <c r="O13" s="3037"/>
      <c r="P13" s="3037"/>
    </row>
    <row r="14" spans="1:16" ht="15.75" customHeight="1" x14ac:dyDescent="0.25">
      <c r="A14" s="104">
        <f ca="1">INDIRECT(CONCATENATE("[",$I$2,".xlsx]",$I$4,"!A14"))</f>
        <v>0</v>
      </c>
      <c r="B14" s="11">
        <f ca="1">INDIRECT(CONCATENATE("[",$I$2,".xlsx]",$I$4,"!B14"))</f>
        <v>0</v>
      </c>
      <c r="C14" s="105">
        <f ca="1">INDIRECT(CONCATENATE("[",$I$2,".xlsx]",$I$4,"!C14"))</f>
        <v>0</v>
      </c>
      <c r="D14" s="118">
        <f t="shared" ca="1" si="0"/>
        <v>0</v>
      </c>
      <c r="E14" s="121">
        <f ca="1">INDIRECT(CONCATENATE("[",$I$2,".xlsx]",$I$4,"!E14"))</f>
        <v>0</v>
      </c>
      <c r="F14" s="118">
        <f t="shared" ca="1" si="1"/>
        <v>0</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3036"/>
      <c r="H15" s="3040"/>
      <c r="I15" s="3040"/>
      <c r="J15" s="3040"/>
    </row>
    <row r="16" spans="1:16" ht="15.75" customHeight="1" x14ac:dyDescent="0.25">
      <c r="A16" s="104" t="str">
        <f ca="1">INDIRECT(CONCATENATE("[",$I$2,".xlsx]",$I$4,"!A16"))</f>
        <v># eingetragene Werte prüfen</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t="str">
        <f ca="1">INDIRECT(CONCATENATE("[",$I$2,".xlsx]",$I$4,"!A17"))</f>
        <v># AKV auf betriebliche Werte ändern!</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3036"/>
      <c r="H19" s="3040"/>
      <c r="I19" s="3040"/>
      <c r="J19" s="3040"/>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3036"/>
      <c r="H20" s="3040"/>
      <c r="I20" s="3040"/>
      <c r="J20" s="3040"/>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3036"/>
      <c r="H21" s="3040"/>
      <c r="I21" s="3040"/>
      <c r="J21" s="3040"/>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3036"/>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3036"/>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3036"/>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3036"/>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3036"/>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8"/>
      <c r="B33" s="895"/>
      <c r="C33" s="901"/>
      <c r="D33" s="902">
        <f ca="1">B33*D4</f>
        <v>0</v>
      </c>
      <c r="E33" s="900"/>
      <c r="F33" s="902">
        <f>B33*E33</f>
        <v>0</v>
      </c>
      <c r="G33" s="3036"/>
    </row>
    <row r="34" spans="1:7" x14ac:dyDescent="0.25">
      <c r="A34" s="2134" t="s">
        <v>149</v>
      </c>
      <c r="B34" s="2135"/>
      <c r="C34" s="2135"/>
      <c r="D34" s="2135"/>
      <c r="E34" s="2135"/>
      <c r="F34" s="2136"/>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39</v>
      </c>
      <c r="E37" s="3029"/>
      <c r="F37" s="3030"/>
    </row>
    <row r="38" spans="1:7" x14ac:dyDescent="0.25">
      <c r="A38" s="106" t="s">
        <v>174</v>
      </c>
      <c r="B38" s="107" t="s">
        <v>175</v>
      </c>
      <c r="C38" s="107" t="s">
        <v>70</v>
      </c>
      <c r="E38" s="3029"/>
      <c r="F38" s="3030"/>
    </row>
    <row r="39" spans="1:7" x14ac:dyDescent="0.25">
      <c r="A39" s="104" t="str">
        <f ca="1">INDIRECT(CONCATENATE("[",$I$2,".xlsx]",$I$4,"!A39"))</f>
        <v>Mehrarbeit (40igsteSTD)</v>
      </c>
      <c r="B39" s="111">
        <f ca="1">INDIRECT(CONCATENATE("[",$I$2,".xlsx]",$I$4,"!B39"))</f>
        <v>1</v>
      </c>
      <c r="C39" s="113">
        <f ca="1">INDIRECT(CONCATENATE("[",$I$2,".xlsx]",$I$4,"!C39"))</f>
        <v>0</v>
      </c>
      <c r="E39" s="3029"/>
      <c r="F39" s="3030"/>
    </row>
    <row r="40" spans="1:7" x14ac:dyDescent="0.25">
      <c r="A40" s="104">
        <f ca="1">INDIRECT(CONCATENATE("[",$I$2,".xlsx]",$I$4,"!A40"))</f>
        <v>0</v>
      </c>
      <c r="B40" s="112">
        <f ca="1">INDIRECT(CONCATENATE("[",$I$2,".xlsx]",$I$4,"!B40"))</f>
        <v>0</v>
      </c>
      <c r="C40" s="113">
        <f ca="1">INDIRECT(CONCATENATE("[",$I$2,".xlsx]",$I$4,"!C40"))</f>
        <v>0</v>
      </c>
      <c r="E40" s="3029"/>
      <c r="F40" s="3030"/>
    </row>
    <row r="41" spans="1:7" x14ac:dyDescent="0.25">
      <c r="A41" s="104" t="str">
        <f ca="1">INDIRECT(CONCATENATE("[",$I$2,".xlsx]",$I$4,"!A41"))</f>
        <v>Überstunde 50%</v>
      </c>
      <c r="B41" s="112">
        <f ca="1">INDIRECT(CONCATENATE("[",$I$2,".xlsx]",$I$4,"!B41"))</f>
        <v>1</v>
      </c>
      <c r="C41" s="113">
        <f ca="1">INDIRECT(CONCATENATE("[",$I$2,".xlsx]",$I$4,"!C41"))</f>
        <v>0.5</v>
      </c>
      <c r="E41" s="3029"/>
      <c r="F41" s="3030"/>
    </row>
    <row r="42" spans="1:7" x14ac:dyDescent="0.25">
      <c r="A42" s="104" t="str">
        <f ca="1">INDIRECT(CONCATENATE("[",$I$2,".xlsx]",$I$4,"!A42"))</f>
        <v>Überstunde 100%</v>
      </c>
      <c r="B42" s="112">
        <f ca="1">INDIRECT(CONCATENATE("[",$I$2,".xlsx]",$I$4,"!B42"))</f>
        <v>1</v>
      </c>
      <c r="C42" s="113">
        <f ca="1">INDIRECT(CONCATENATE("[",$I$2,".xlsx]",$I$4,"!C42"))</f>
        <v>1</v>
      </c>
      <c r="E42" s="3029"/>
      <c r="F42" s="3030"/>
    </row>
    <row r="43" spans="1:7" x14ac:dyDescent="0.25">
      <c r="A43" s="104">
        <f ca="1">INDIRECT(CONCATENATE("[",$I$2,".xlsx]",$I$4,"!A43"))</f>
        <v>0</v>
      </c>
      <c r="B43" s="112">
        <f ca="1">INDIRECT(CONCATENATE("[",$I$2,".xlsx]",$I$4,"!B43"))</f>
        <v>0</v>
      </c>
      <c r="C43" s="113">
        <f ca="1">INDIRECT(CONCATENATE("[",$I$2,".xlsx]",$I$4,"!C43"))</f>
        <v>0</v>
      </c>
      <c r="E43" s="3029"/>
      <c r="F43" s="3030"/>
    </row>
    <row r="44" spans="1:7" x14ac:dyDescent="0.25">
      <c r="A44" s="104">
        <f ca="1">INDIRECT(CONCATENATE("[",$I$2,".xlsx]",$I$4,"!A44"))</f>
        <v>0</v>
      </c>
      <c r="B44" s="112">
        <f ca="1">INDIRECT(CONCATENATE("[",$I$2,".xlsx]",$I$4,"!B44"))</f>
        <v>0</v>
      </c>
      <c r="C44" s="113">
        <f ca="1">INDIRECT(CONCATENATE("[",$I$2,".xlsx]",$I$4,"!C44"))</f>
        <v>0</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1"/>
      <c r="B48" s="892"/>
      <c r="C48" s="899"/>
      <c r="E48" s="3029"/>
      <c r="F48" s="3030"/>
    </row>
    <row r="49" spans="1:6" x14ac:dyDescent="0.25">
      <c r="A49" s="106" t="s">
        <v>176</v>
      </c>
      <c r="B49" s="107" t="s">
        <v>175</v>
      </c>
      <c r="C49" s="107" t="s">
        <v>70</v>
      </c>
      <c r="E49" s="3029"/>
      <c r="F49" s="3030"/>
    </row>
    <row r="50" spans="1:6" x14ac:dyDescent="0.25">
      <c r="A50" s="104">
        <f ca="1">INDIRECT(CONCATENATE("[",$I$2,".xlsx]",$I$4,"!A50"))</f>
        <v>0</v>
      </c>
      <c r="B50" s="112">
        <f ca="1">INDIRECT(CONCATENATE("[",$I$2,".xlsx]",$I$4,"!B50"))</f>
        <v>0</v>
      </c>
      <c r="C50" s="113">
        <f ca="1">INDIRECT(CONCATENATE("[",$I$2,".xlsx]",$I$4,"!C50"))</f>
        <v>0</v>
      </c>
      <c r="E50" s="3029"/>
      <c r="F50" s="3030"/>
    </row>
    <row r="51" spans="1:6" x14ac:dyDescent="0.25">
      <c r="A51" s="104">
        <f ca="1">INDIRECT(CONCATENATE("[",$I$2,".xlsx]",$I$4,"!A51"))</f>
        <v>0</v>
      </c>
      <c r="B51" s="112">
        <f ca="1">INDIRECT(CONCATENATE("[",$I$2,".xlsx]",$I$4,"!B51"))</f>
        <v>0</v>
      </c>
      <c r="C51" s="113">
        <f ca="1">INDIRECT(CONCATENATE("[",$I$2,".xlsx]",$I$4,"!C51"))</f>
        <v>0</v>
      </c>
      <c r="E51" s="3029"/>
      <c r="F51" s="3030"/>
    </row>
    <row r="52" spans="1:6" x14ac:dyDescent="0.25">
      <c r="A52" s="104">
        <f ca="1">INDIRECT(CONCATENATE("[",$I$2,".xlsx]",$I$4,"!A52"))</f>
        <v>0</v>
      </c>
      <c r="B52" s="112">
        <f ca="1">INDIRECT(CONCATENATE("[",$I$2,".xlsx]",$I$4,"!B52"))</f>
        <v>0</v>
      </c>
      <c r="C52" s="113">
        <f ca="1">INDIRECT(CONCATENATE("[",$I$2,".xlsx]",$I$4,"!C52"))</f>
        <v>0</v>
      </c>
      <c r="E52" s="3029"/>
      <c r="F52" s="3030"/>
    </row>
    <row r="53" spans="1:6" x14ac:dyDescent="0.25">
      <c r="A53" s="104">
        <f ca="1">INDIRECT(CONCATENATE("[",$I$2,".xlsx]",$I$4,"!A53"))</f>
        <v>0</v>
      </c>
      <c r="B53" s="112">
        <f ca="1">INDIRECT(CONCATENATE("[",$I$2,".xlsx]",$I$4,"!B53"))</f>
        <v>0</v>
      </c>
      <c r="C53" s="113">
        <f ca="1">INDIRECT(CONCATENATE("[",$I$2,".xlsx]",$I$4,"!C53"))</f>
        <v>0</v>
      </c>
      <c r="E53" s="3029"/>
      <c r="F53" s="3030"/>
    </row>
    <row r="54" spans="1:6" x14ac:dyDescent="0.25">
      <c r="A54" s="104">
        <f ca="1">INDIRECT(CONCATENATE("[",$I$2,".xlsx]",$I$4,"!A54"))</f>
        <v>0</v>
      </c>
      <c r="B54" s="112">
        <f ca="1">INDIRECT(CONCATENATE("[",$I$2,".xlsx]",$I$4,"!B54"))</f>
        <v>0</v>
      </c>
      <c r="C54" s="113">
        <f ca="1">INDIRECT(CONCATENATE("[",$I$2,".xlsx]",$I$4,"!C54"))</f>
        <v>0</v>
      </c>
      <c r="E54" s="3031"/>
      <c r="F54" s="3032"/>
    </row>
    <row r="55" spans="1:6" x14ac:dyDescent="0.25">
      <c r="A55" s="888"/>
      <c r="B55" s="889"/>
      <c r="C55" s="890"/>
      <c r="D55" s="119"/>
      <c r="E55" s="885"/>
      <c r="F55" s="853"/>
    </row>
    <row r="56" spans="1:6" x14ac:dyDescent="0.25">
      <c r="A56" s="434" t="s">
        <v>194</v>
      </c>
      <c r="B56" s="886" t="s">
        <v>195</v>
      </c>
      <c r="C56" s="887"/>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82" t="s">
        <v>748</v>
      </c>
      <c r="E68" s="2411"/>
      <c r="F68" s="2794"/>
    </row>
    <row r="69" spans="1:6" x14ac:dyDescent="0.25">
      <c r="A69" s="114" t="s">
        <v>88</v>
      </c>
      <c r="B69" s="159" t="s">
        <v>90</v>
      </c>
      <c r="C69" s="115" t="s">
        <v>110</v>
      </c>
      <c r="D69" s="2582"/>
      <c r="E69" s="2411"/>
      <c r="F69" s="2794"/>
    </row>
    <row r="70" spans="1:6" x14ac:dyDescent="0.25">
      <c r="A70" s="116" t="str">
        <f ca="1">INDIRECT(CONCATENATE("[",$I$2,".xlsx]",$I$4,"!A68"))</f>
        <v>Akkordzul. Helfer (OÖ+W)</v>
      </c>
      <c r="B70" s="1216">
        <f ca="1">INDIRECT(CONCATENATE("[",$I$2,".xlsx]",$I$4,"!B68"))</f>
        <v>0.18</v>
      </c>
      <c r="C70" s="249">
        <f ca="1">INDIRECT(CONCATENATE("[",$I$2,".xlsx]",$I$4,"!C68"))</f>
        <v>0</v>
      </c>
      <c r="D70" s="2582"/>
      <c r="E70" s="2411"/>
      <c r="F70" s="2794"/>
    </row>
    <row r="71" spans="1:6" x14ac:dyDescent="0.25">
      <c r="A71" s="104" t="str">
        <f ca="1">INDIRECT(CONCATENATE("[",$I$2,".xlsx]",$I$4,"!A69"))</f>
        <v>Akkordzul. Helfer (Stmk)</v>
      </c>
      <c r="B71" s="1216">
        <f ca="1">INDIRECT(CONCATENATE("[",$I$2,".xlsx]",$I$4,"!B69"))</f>
        <v>0.13</v>
      </c>
      <c r="C71" s="249">
        <f ca="1">INDIRECT(CONCATENATE("[",$I$2,".xlsx]",$I$4,"!C69"))</f>
        <v>0</v>
      </c>
      <c r="D71" s="2582"/>
      <c r="E71" s="2411"/>
      <c r="F71" s="2794"/>
    </row>
    <row r="72" spans="1:6" x14ac:dyDescent="0.25">
      <c r="A72" s="104">
        <f ca="1">INDIRECT(CONCATENATE("[",$I$2,".xlsx]",$I$4,"!A70"))</f>
        <v>0</v>
      </c>
      <c r="B72" s="1216">
        <f ca="1">INDIRECT(CONCATENATE("[",$I$2,".xlsx]",$I$4,"!B70"))</f>
        <v>0</v>
      </c>
      <c r="C72" s="249">
        <f ca="1">INDIRECT(CONCATENATE("[",$I$2,".xlsx]",$I$4,"!C70"))</f>
        <v>0</v>
      </c>
      <c r="D72" s="161"/>
      <c r="F72" s="89"/>
    </row>
    <row r="73" spans="1:6" x14ac:dyDescent="0.25">
      <c r="A73" s="104">
        <f ca="1">INDIRECT(CONCATENATE("[",$I$2,".xlsx]",$I$4,"!A71"))</f>
        <v>0</v>
      </c>
      <c r="B73" s="1216">
        <f ca="1">INDIRECT(CONCATENATE("[",$I$2,".xlsx]",$I$4,"!B71"))</f>
        <v>0</v>
      </c>
      <c r="C73" s="249">
        <f ca="1">INDIRECT(CONCATENATE("[",$I$2,".xlsx]",$I$4,"!C71"))</f>
        <v>0</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49"/>
      <c r="B97" s="3039"/>
      <c r="C97" s="3039"/>
      <c r="F97" s="89"/>
    </row>
    <row r="98" spans="1:6" x14ac:dyDescent="0.25">
      <c r="A98" s="2996" t="s">
        <v>433</v>
      </c>
      <c r="B98" s="2997"/>
      <c r="C98" s="2997"/>
      <c r="D98" s="2998"/>
      <c r="F98" s="89"/>
    </row>
    <row r="99" spans="1:6" x14ac:dyDescent="0.25">
      <c r="A99" s="8" t="s">
        <v>976</v>
      </c>
      <c r="B99" s="118">
        <f ca="1">INDIRECT(CONCATENATE("[",$I$2,".xlsx]",$I$4,"!B97"))</f>
        <v>30</v>
      </c>
      <c r="C99" s="1214" t="s">
        <v>977</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Taggeld</v>
      </c>
      <c r="B102" s="11">
        <f ca="1">INDIRECT(CONCATENATE("[",$I$2,".xlsx]",$I$4,"!B100"))</f>
        <v>8.3000000000000007</v>
      </c>
      <c r="C102" s="11">
        <f ca="1">INDIRECT(CONCATENATE("[",$I$2,".xlsx]",$I$4,"!C100"))</f>
        <v>0</v>
      </c>
      <c r="D102" s="11">
        <f ca="1">B102+C102</f>
        <v>8.3000000000000007</v>
      </c>
      <c r="F102" s="89"/>
    </row>
    <row r="103" spans="1:6" x14ac:dyDescent="0.25">
      <c r="A103" s="104" t="str">
        <f ca="1">INDIRECT(CONCATENATE("[",$I$2,".xlsx]",$I$4,"!A101"))</f>
        <v>Taggeld (b keiner tägl Rückreise)</v>
      </c>
      <c r="B103" s="11">
        <f ca="1">INDIRECT(CONCATENATE("[",$I$2,".xlsx]",$I$4,"!B101"))</f>
        <v>30</v>
      </c>
      <c r="C103" s="11">
        <f ca="1">INDIRECT(CONCATENATE("[",$I$2,".xlsx]",$I$4,"!C101"))</f>
        <v>0</v>
      </c>
      <c r="D103" s="11">
        <f t="shared" ref="D103:D111" ca="1" si="4">B103+C103</f>
        <v>30</v>
      </c>
      <c r="F103" s="89"/>
    </row>
    <row r="104" spans="1:6" x14ac:dyDescent="0.25">
      <c r="A104" s="104">
        <f ca="1">INDIRECT(CONCATENATE("[",$I$2,".xlsx]",$I$4,"!A102"))</f>
        <v>0</v>
      </c>
      <c r="B104" s="11">
        <f ca="1">INDIRECT(CONCATENATE("[",$I$2,".xlsx]",$I$4,"!B102"))</f>
        <v>0</v>
      </c>
      <c r="C104" s="11">
        <f ca="1">INDIRECT(CONCATENATE("[",$I$2,".xlsx]",$I$4,"!C102"))</f>
        <v>0</v>
      </c>
      <c r="D104" s="11">
        <f t="shared" ca="1" si="4"/>
        <v>0</v>
      </c>
      <c r="F104" s="89"/>
    </row>
    <row r="105" spans="1:6" x14ac:dyDescent="0.25">
      <c r="A105" s="104" t="str">
        <f ca="1">INDIRECT(CONCATENATE("[",$I$2,".xlsx]",$I$4,"!A103"))</f>
        <v>Nächtigungsgeld</v>
      </c>
      <c r="B105" s="11">
        <f ca="1">INDIRECT(CONCATENATE("[",$I$2,".xlsx]",$I$4,"!B103"))</f>
        <v>12</v>
      </c>
      <c r="C105" s="11">
        <f ca="1">INDIRECT(CONCATENATE("[",$I$2,".xlsx]",$I$4,"!C103"))</f>
        <v>0</v>
      </c>
      <c r="D105" s="11">
        <f t="shared" ca="1" si="4"/>
        <v>12</v>
      </c>
      <c r="F105" s="89"/>
    </row>
    <row r="106" spans="1:6" x14ac:dyDescent="0.25">
      <c r="A106" s="104">
        <f ca="1">INDIRECT(CONCATENATE("[",$I$2,".xlsx]",$I$4,"!A104"))</f>
        <v>0</v>
      </c>
      <c r="B106" s="11">
        <f ca="1">INDIRECT(CONCATENATE("[",$I$2,".xlsx]",$I$4,"!B104"))</f>
        <v>0</v>
      </c>
      <c r="C106" s="11">
        <f ca="1">INDIRECT(CONCATENATE("[",$I$2,".xlsx]",$I$4,"!C104"))</f>
        <v>0</v>
      </c>
      <c r="D106" s="11">
        <f t="shared" ca="1" si="4"/>
        <v>0</v>
      </c>
      <c r="F106" s="89"/>
    </row>
    <row r="107" spans="1:6" x14ac:dyDescent="0.25">
      <c r="A107" s="104" t="str">
        <f ca="1">INDIRECT(CONCATENATE("[",$I$2,".xlsx]",$I$4,"!A105"))</f>
        <v># Fahrscheinvergütung (individ. Wert eintragen)</v>
      </c>
      <c r="B107" s="11">
        <f ca="1">INDIRECT(CONCATENATE("[",$I$2,".xlsx]",$I$4,"!B105"))</f>
        <v>0</v>
      </c>
      <c r="C107" s="11">
        <f ca="1">INDIRECT(CONCATENATE("[",$I$2,".xlsx]",$I$4,"!C105"))</f>
        <v>5</v>
      </c>
      <c r="D107" s="11">
        <f t="shared" ca="1" si="4"/>
        <v>5</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f ca="1">INDIRECT(CONCATENATE("[",$I$2,".xlsx]",$I$4,"!A114"))</f>
        <v>0</v>
      </c>
      <c r="B116" s="249">
        <f ca="1">INDIRECT(CONCATENATE("[",$I$2,".xlsx]",$I$4,"!B114"))</f>
        <v>0</v>
      </c>
      <c r="C116" s="249">
        <f ca="1">INDIRECT(CONCATENATE("[",$I$2,".xlsx]",$I$4,"!C114"))</f>
        <v>0</v>
      </c>
      <c r="D116" s="249">
        <f ca="1">B116+C116</f>
        <v>0</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t="str">
        <f ca="1">INDIRECT(CONCATENATE("[",$I$2,".xlsx]",$I$4,"!A121"))</f>
        <v># INDIVIDUELLER WERT:</v>
      </c>
      <c r="B124" s="11">
        <f ca="1">INDIRECT(CONCATENATE("[",$I$2,".xlsx]",$I$4,"!B121"))</f>
        <v>0</v>
      </c>
      <c r="C124" s="11">
        <f ca="1">INDIRECT(CONCATENATE("[",$I$2,".xlsx]",$I$4,"!C121"))</f>
        <v>0</v>
      </c>
      <c r="D124" s="11">
        <f t="shared" ca="1" si="5"/>
        <v>0</v>
      </c>
      <c r="F124" s="89"/>
    </row>
    <row r="125" spans="1:6" x14ac:dyDescent="0.25">
      <c r="A125" s="104" t="str">
        <f ca="1">INDIRECT(CONCATENATE("[",$I$2,".xlsx]",$I$4,"!A122"))</f>
        <v># Heimfahrt (&gt;120 km); alle 4 Wo - 1/4</v>
      </c>
      <c r="B125" s="11">
        <f ca="1">INDIRECT(CONCATENATE("[",$I$2,".xlsx]",$I$4,"!B122"))</f>
        <v>20</v>
      </c>
      <c r="C125" s="11">
        <f ca="1">INDIRECT(CONCATENATE("[",$I$2,".xlsx]",$I$4,"!C122"))</f>
        <v>0</v>
      </c>
      <c r="D125" s="11">
        <f t="shared" ca="1" si="5"/>
        <v>20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KollV Hafner, Platten- und Fliesenleger (ohne Kärnten)</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[hafner_platten_fliesenl_26].</v>
      </c>
      <c r="E134" s="2410"/>
      <c r="F134" s="2985"/>
    </row>
    <row r="135" spans="1:6" x14ac:dyDescent="0.25">
      <c r="A135" s="75" t="s">
        <v>43</v>
      </c>
      <c r="B135" s="3018" t="s">
        <v>90</v>
      </c>
      <c r="C135" s="3034"/>
      <c r="D135" s="2582"/>
      <c r="E135" s="2411"/>
      <c r="F135" s="2794"/>
    </row>
    <row r="136" spans="1:6" x14ac:dyDescent="0.25">
      <c r="A136" s="76">
        <f ca="1">B134</f>
        <v>46023</v>
      </c>
      <c r="B136" s="3019"/>
      <c r="C136" s="3034"/>
      <c r="D136" s="2582"/>
      <c r="E136" s="2411"/>
      <c r="F136" s="2794"/>
    </row>
    <row r="137" spans="1:6" x14ac:dyDescent="0.25">
      <c r="A137" s="129"/>
      <c r="B137" s="128" t="s">
        <v>111</v>
      </c>
      <c r="C137" s="3034"/>
      <c r="D137" s="2582"/>
      <c r="E137" s="2411"/>
      <c r="F137" s="2794"/>
    </row>
    <row r="138" spans="1:6" x14ac:dyDescent="0.25">
      <c r="A138" s="130" t="str">
        <f ca="1">INDIRECT(CONCATENATE("[",$I$2,".xlsx]",$I$4,"!A134"))</f>
        <v>Arbeitslosenversicherung</v>
      </c>
      <c r="B138" s="125">
        <f ca="1">INDIRECT(CONCATENATE("[",$I$2,".xlsx]",$I$4,"!C134"))</f>
        <v>2.9499999999999998E-2</v>
      </c>
      <c r="C138" s="3034"/>
      <c r="D138" s="2582"/>
      <c r="E138" s="2411"/>
      <c r="F138" s="2794"/>
    </row>
    <row r="139" spans="1:6" x14ac:dyDescent="0.25">
      <c r="A139" s="131" t="str">
        <f ca="1">INDIRECT(CONCATENATE("[",$I$2,".xlsx]",$I$4,"!A135"))</f>
        <v>Zuschlag Insolvenzentgeltsicherung</v>
      </c>
      <c r="B139" s="126">
        <f ca="1">INDIRECT(CONCATENATE("[",$I$2,".xlsx]",$I$4,"!C135"))</f>
        <v>1E-3</v>
      </c>
      <c r="C139" s="3034"/>
      <c r="D139" s="2582"/>
      <c r="E139" s="2411"/>
      <c r="F139" s="2794"/>
    </row>
    <row r="140" spans="1:6" x14ac:dyDescent="0.25">
      <c r="A140" s="131" t="str">
        <f ca="1">INDIRECT(CONCATENATE("[",$I$2,".xlsx]",$I$4,"!A136"))</f>
        <v>Pensionsversicherung ASVG</v>
      </c>
      <c r="B140" s="126">
        <f ca="1">INDIRECT(CONCATENATE("[",$I$2,".xlsx]",$I$4,"!C136"))</f>
        <v>0.1255</v>
      </c>
      <c r="C140" s="3034"/>
      <c r="D140" s="2583"/>
      <c r="E140" s="2584"/>
      <c r="F140" s="2795"/>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t="str">
        <f ca="1">INDIRECT(CONCATENATE("[",$I$2,".xlsx]",$I$4,"!C143"))</f>
        <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0.28039999999999998</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677" t="s">
        <v>116</v>
      </c>
      <c r="B155" s="2679"/>
      <c r="C155" s="2987"/>
      <c r="D155" s="2987" t="s">
        <v>98</v>
      </c>
      <c r="E155" s="2987" t="s">
        <v>117</v>
      </c>
    </row>
    <row r="156" spans="1:5" x14ac:dyDescent="0.25">
      <c r="A156" s="3022" t="s">
        <v>188</v>
      </c>
      <c r="B156" s="3023"/>
      <c r="C156" s="123">
        <f ca="1">INDIRECT(CONCATENATE("[",$I$2,".xlsx]",$I$4,"!E152"))</f>
        <v>0.22900000000000001</v>
      </c>
      <c r="D156" s="591"/>
      <c r="E156" s="124">
        <f ca="1">IF(ISBLANK(D156),C156,D156)</f>
        <v>0.22900000000000001</v>
      </c>
    </row>
    <row r="157" spans="1:5" x14ac:dyDescent="0.25">
      <c r="A157" s="3020" t="s">
        <v>189</v>
      </c>
      <c r="B157" s="3021"/>
      <c r="C157" s="123">
        <f ca="1">INDIRECT(CONCATENATE("[",$I$2,".xlsx]",$I$4,"!E153"))</f>
        <v>0.13800000000000001</v>
      </c>
      <c r="D157" s="591"/>
      <c r="E157" s="124">
        <f ca="1">IF(ISBLANK(D157),C157,D157)</f>
        <v>0.13800000000000001</v>
      </c>
    </row>
    <row r="158" spans="1:5" x14ac:dyDescent="0.25">
      <c r="A158" s="3020" t="s">
        <v>190</v>
      </c>
      <c r="B158" s="3021"/>
      <c r="C158" s="123">
        <f ca="1">INDIRECT(CONCATENATE("[",$I$2,".xlsx]",$I$4,"!E154"))</f>
        <v>0</v>
      </c>
      <c r="D158" s="591"/>
      <c r="E158" s="124">
        <f ca="1">IF(ISBLANK(D158),C158,D158)</f>
        <v>0</v>
      </c>
    </row>
    <row r="159" spans="1:5" ht="16.5" thickBot="1" x14ac:dyDescent="0.3">
      <c r="A159" s="3010" t="s">
        <v>191</v>
      </c>
      <c r="B159" s="3011"/>
      <c r="C159" s="123">
        <f ca="1">INDIRECT(CONCATENATE("[",$I$2,".xlsx]",$I$4,"!E155"))</f>
        <v>0.501</v>
      </c>
      <c r="D159" s="591"/>
      <c r="E159" s="124">
        <f ca="1">IF(ISBLANK(D159),C159,D159)</f>
        <v>0.501</v>
      </c>
    </row>
    <row r="160" spans="1:5" x14ac:dyDescent="0.25">
      <c r="A160" s="2221" t="s">
        <v>56</v>
      </c>
      <c r="B160" s="2306"/>
      <c r="C160" s="122">
        <f ca="1">SUM(C156:C159)</f>
        <v>0.86799999999999999</v>
      </c>
      <c r="D160" s="122"/>
      <c r="E160" s="122">
        <f ca="1">SUM(E156:E159)</f>
        <v>0.86799999999999999</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54"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602" t="s">
        <v>153</v>
      </c>
      <c r="B1" s="2603"/>
      <c r="C1" s="2603"/>
      <c r="D1" s="2603"/>
      <c r="E1" s="2603"/>
      <c r="F1" s="2603"/>
      <c r="G1" s="2603"/>
      <c r="H1" s="2603"/>
      <c r="I1" s="2604"/>
      <c r="J1" s="2149" t="s">
        <v>990</v>
      </c>
      <c r="K1" s="2150"/>
      <c r="L1" s="2277"/>
      <c r="M1" s="1946" t="s">
        <v>297</v>
      </c>
      <c r="N1" s="1947">
        <f ca="1">F18-TODAY()</f>
        <v>1</v>
      </c>
      <c r="O1" s="1948"/>
      <c r="P1" s="1948"/>
      <c r="Q1" s="1948"/>
      <c r="R1" s="1948"/>
      <c r="S1" s="1948"/>
      <c r="T1" s="1948"/>
      <c r="U1" s="1948"/>
      <c r="V1" s="1948"/>
      <c r="W1" s="1948"/>
      <c r="X1" s="1948"/>
      <c r="Y1" s="1948"/>
    </row>
    <row r="2" spans="1:25" ht="59.85" customHeight="1" x14ac:dyDescent="0.25">
      <c r="A2" s="2626"/>
      <c r="B2" s="1146"/>
      <c r="C2" s="1146"/>
      <c r="D2" s="1146"/>
      <c r="E2" s="1146"/>
      <c r="F2" s="1146"/>
      <c r="G2" s="1146"/>
      <c r="H2" s="1146"/>
      <c r="I2" s="1147"/>
      <c r="J2" s="2152"/>
      <c r="K2" s="2152"/>
      <c r="L2" s="2279"/>
      <c r="M2" s="1342" t="s">
        <v>296</v>
      </c>
      <c r="N2" s="1949">
        <f ca="1">H34-TODAY()</f>
        <v>1</v>
      </c>
      <c r="P2" s="1950" t="s">
        <v>1100</v>
      </c>
      <c r="Q2" s="1342" t="str">
        <f ca="1">IF(AND(H6&gt;30,_OK?="OK!"),"Danke für die Nutzung des K3-Tools. Ihre Lizenz ist noch "&amp;TEXT(H6,"0")&amp;" Tage gültig. Informationen zur K3-Kalkulation erfahren Sie laufend auf www.bauwesen.at.","")</f>
        <v/>
      </c>
    </row>
    <row r="3" spans="1:25" ht="59.85" customHeight="1" x14ac:dyDescent="0.25">
      <c r="A3" s="2626"/>
      <c r="B3" s="1146"/>
      <c r="C3" s="1146"/>
      <c r="D3" s="1146"/>
      <c r="E3" s="1146"/>
      <c r="F3" s="1146"/>
      <c r="G3" s="1146"/>
      <c r="H3" s="1146"/>
      <c r="I3" s="1142"/>
      <c r="J3" s="2152"/>
      <c r="K3" s="2152"/>
      <c r="L3" s="2279"/>
      <c r="M3" s="1342" t="s">
        <v>298</v>
      </c>
      <c r="N3" s="1342">
        <f ca="1">H34-F18</f>
        <v>0</v>
      </c>
      <c r="P3" s="1950" t="s">
        <v>1101</v>
      </c>
      <c r="Q3" s="1342" t="str">
        <f ca="1">IF(AND(H6&lt;=30,H6&gt;0,_OK?="OK!"),"Lizenz läuft in Kürze am "&amp;TEXT('Lizenz u lies mich'!B14,"TT.MM.JJJJ")&amp;" ab. Danach können Sie das K3-TOOL nur mehr wenige Tage ohne Einschränkungen nutzen. "&amp;Q6,"")</f>
        <v/>
      </c>
    </row>
    <row r="4" spans="1:25" ht="59.85" customHeight="1" x14ac:dyDescent="0.25">
      <c r="A4" s="2626"/>
      <c r="B4" s="1146"/>
      <c r="C4" s="1146"/>
      <c r="D4" s="1146"/>
      <c r="E4" s="1146"/>
      <c r="F4" s="1146"/>
      <c r="G4" s="1146"/>
      <c r="H4" s="1146"/>
      <c r="I4" s="1142"/>
      <c r="J4" s="2152"/>
      <c r="K4" s="2152"/>
      <c r="L4" s="2279"/>
      <c r="P4" s="1950" t="s">
        <v>1104</v>
      </c>
      <c r="Q4" s="1342" t="str">
        <f ca="1">IF(AND(H6&lt;=0,_OK?="OK!"),"Lizenz ist am "&amp;TEXT('Lizenz u lies mich'!B14,"TT.MM.JJJJ")&amp;" abgelaufen. Sie können das K3-TOOL nur mehr wenige Tage ohne Einschränkungen nutzen. "&amp;Q6,"")</f>
        <v/>
      </c>
    </row>
    <row r="5" spans="1:25" ht="59.85" customHeight="1" x14ac:dyDescent="0.25">
      <c r="A5" s="2626"/>
      <c r="B5" s="1146"/>
      <c r="C5" s="1146"/>
      <c r="D5" s="1146"/>
      <c r="E5" s="1146"/>
      <c r="F5" s="1146"/>
      <c r="G5" s="1146"/>
      <c r="H5" s="1146"/>
      <c r="I5" s="1143"/>
      <c r="J5" s="2154"/>
      <c r="K5" s="2154"/>
      <c r="L5" s="2278"/>
      <c r="P5" s="1950" t="s">
        <v>1102</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213" t="str">
        <f ca="1">'Lizenz u lies mich'!B29</f>
        <v>Nur als Testversion nutzbar!</v>
      </c>
      <c r="E6" s="2213"/>
      <c r="F6" s="2213"/>
      <c r="G6" s="2213"/>
      <c r="H6" s="2212">
        <f ca="1">'Lizenz u lies mich'!B15</f>
        <v>-699</v>
      </c>
      <c r="I6" s="2606"/>
      <c r="J6" s="2596" t="str">
        <f ca="1">Stammdaten!H11</f>
        <v/>
      </c>
      <c r="K6" s="2596"/>
      <c r="L6" s="2551"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1103</v>
      </c>
      <c r="Q6" s="1951" t="s">
        <v>1105</v>
      </c>
    </row>
    <row r="7" spans="1:25" ht="20.100000000000001" customHeight="1" x14ac:dyDescent="0.25">
      <c r="A7" s="2554"/>
      <c r="B7" s="2555"/>
      <c r="C7" s="2555"/>
      <c r="D7" s="2555"/>
      <c r="E7" s="2555"/>
      <c r="F7" s="2555"/>
      <c r="G7" s="2555"/>
      <c r="H7" s="2555"/>
      <c r="I7" s="2555"/>
      <c r="J7" s="2597"/>
      <c r="K7" s="2597"/>
      <c r="L7" s="2551"/>
    </row>
    <row r="8" spans="1:25" ht="25.15" customHeight="1" x14ac:dyDescent="0.25">
      <c r="A8" s="2223" t="s">
        <v>831</v>
      </c>
      <c r="B8" s="2224"/>
      <c r="C8" s="2224"/>
      <c r="D8" s="2224"/>
      <c r="E8" s="2224"/>
      <c r="F8" s="2224"/>
      <c r="G8" s="2224"/>
      <c r="H8" s="2224"/>
      <c r="I8" s="2224"/>
      <c r="J8" s="2597"/>
      <c r="K8" s="2597"/>
      <c r="L8" s="2551"/>
      <c r="M8" s="1952">
        <v>0</v>
      </c>
      <c r="N8" s="1953">
        <v>1</v>
      </c>
    </row>
    <row r="9" spans="1:25" ht="17.850000000000001" customHeight="1" x14ac:dyDescent="0.25">
      <c r="A9" s="2556" t="s">
        <v>763</v>
      </c>
      <c r="B9" s="2557"/>
      <c r="C9" s="2557"/>
      <c r="D9" s="2557"/>
      <c r="E9" s="2557"/>
      <c r="F9" s="2557"/>
      <c r="G9" s="2557"/>
      <c r="H9" s="2557"/>
      <c r="I9" s="2557"/>
      <c r="J9" s="2597"/>
      <c r="K9" s="2597"/>
      <c r="L9" s="2551"/>
      <c r="M9" s="1954">
        <v>1</v>
      </c>
      <c r="N9" s="1955">
        <v>2</v>
      </c>
    </row>
    <row r="10" spans="1:25" ht="17.850000000000001" customHeight="1" x14ac:dyDescent="0.25">
      <c r="A10" s="2556"/>
      <c r="B10" s="2557"/>
      <c r="C10" s="2557"/>
      <c r="D10" s="2557"/>
      <c r="E10" s="2557"/>
      <c r="F10" s="2557"/>
      <c r="G10" s="2557"/>
      <c r="H10" s="2557"/>
      <c r="I10" s="2557"/>
      <c r="J10" s="2597"/>
      <c r="K10" s="2597"/>
      <c r="L10" s="2551"/>
      <c r="M10" s="1954">
        <v>2</v>
      </c>
      <c r="N10" s="1955">
        <v>3</v>
      </c>
    </row>
    <row r="11" spans="1:25" ht="17.850000000000001" customHeight="1" x14ac:dyDescent="0.25">
      <c r="A11" s="2552" t="s">
        <v>481</v>
      </c>
      <c r="B11" s="2403"/>
      <c r="C11" s="2404"/>
      <c r="D11" s="2605" t="str">
        <f ca="1">'Lizenz u lies mich'!B22</f>
        <v>Nur als Testversion nutzbar!</v>
      </c>
      <c r="E11" s="2403"/>
      <c r="F11" s="2403"/>
      <c r="G11" s="2403"/>
      <c r="H11" s="2615"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15"/>
      <c r="J11" s="2597"/>
      <c r="K11" s="2597"/>
      <c r="L11" s="2551"/>
      <c r="M11" s="1954">
        <v>3</v>
      </c>
      <c r="N11" s="1955">
        <v>4</v>
      </c>
    </row>
    <row r="12" spans="1:25" ht="17.850000000000001" customHeight="1" x14ac:dyDescent="0.25">
      <c r="A12" s="2117"/>
      <c r="B12" s="2417"/>
      <c r="C12" s="2418"/>
      <c r="D12" s="2553" t="str">
        <f ca="1">'Lizenz u lies mich'!B23</f>
        <v>Nur als Testversion nutzbar!</v>
      </c>
      <c r="E12" s="2417"/>
      <c r="F12" s="2417"/>
      <c r="G12" s="2417"/>
      <c r="H12" s="2615"/>
      <c r="I12" s="2615"/>
      <c r="J12" s="2597"/>
      <c r="K12" s="2597"/>
      <c r="L12" s="2551"/>
      <c r="M12" s="1956">
        <v>4</v>
      </c>
      <c r="N12" s="1957"/>
    </row>
    <row r="13" spans="1:25" ht="17.850000000000001" customHeight="1" x14ac:dyDescent="0.25">
      <c r="A13" s="2553"/>
      <c r="B13" s="2417"/>
      <c r="C13" s="2418"/>
      <c r="D13" s="2405" t="str">
        <f ca="1">'Lizenz u lies mich'!B24</f>
        <v>Nur als Testversion nutzbar!</v>
      </c>
      <c r="E13" s="2406"/>
      <c r="F13" s="2406"/>
      <c r="G13" s="2406"/>
      <c r="H13" s="2615"/>
      <c r="I13" s="2615"/>
      <c r="J13" s="2597"/>
      <c r="K13" s="2597"/>
      <c r="L13" s="2551"/>
    </row>
    <row r="14" spans="1:25" ht="17.850000000000001" customHeight="1" x14ac:dyDescent="0.25">
      <c r="A14" s="2611" t="s">
        <v>480</v>
      </c>
      <c r="B14" s="2612"/>
      <c r="C14" s="2612"/>
      <c r="D14" s="2571" t="s">
        <v>1134</v>
      </c>
      <c r="E14" s="2571"/>
      <c r="F14" s="2571"/>
      <c r="G14" s="2571"/>
      <c r="H14" s="2615"/>
      <c r="I14" s="2615"/>
      <c r="J14" s="2597"/>
      <c r="K14" s="2597"/>
      <c r="L14" s="2551"/>
    </row>
    <row r="15" spans="1:25" ht="17.850000000000001" customHeight="1" x14ac:dyDescent="0.25">
      <c r="A15" s="2613"/>
      <c r="B15" s="2614"/>
      <c r="C15" s="2614"/>
      <c r="D15" s="2387"/>
      <c r="E15" s="2387"/>
      <c r="F15" s="2387"/>
      <c r="G15" s="2387"/>
      <c r="H15" s="2615"/>
      <c r="I15" s="2615"/>
      <c r="J15" s="2597"/>
      <c r="K15" s="2597"/>
      <c r="L15" s="2551"/>
    </row>
    <row r="16" spans="1:25" ht="17.850000000000001" customHeight="1" x14ac:dyDescent="0.25">
      <c r="A16" s="2117" t="s">
        <v>482</v>
      </c>
      <c r="B16" s="2417"/>
      <c r="C16" s="2417"/>
      <c r="D16" s="2385" t="s">
        <v>1139</v>
      </c>
      <c r="E16" s="2385"/>
      <c r="F16" s="2385"/>
      <c r="G16" s="2385"/>
      <c r="H16" s="2615"/>
      <c r="I16" s="2615"/>
      <c r="J16" s="2597" t="str">
        <f ca="1">IF(J6="","","Bitte tragen Sie den Dateinamen der Quelldatei im Blatt STAMMDATEN ein.")</f>
        <v/>
      </c>
      <c r="K16" s="2597"/>
      <c r="L16" s="2551"/>
    </row>
    <row r="17" spans="1:18" ht="17.850000000000001" customHeight="1" x14ac:dyDescent="0.25">
      <c r="A17" s="2405"/>
      <c r="B17" s="2406"/>
      <c r="C17" s="2406"/>
      <c r="D17" s="2387"/>
      <c r="E17" s="2387"/>
      <c r="F17" s="2571"/>
      <c r="G17" s="2571"/>
      <c r="H17" s="2615"/>
      <c r="I17" s="2615"/>
      <c r="J17" s="2597"/>
      <c r="K17" s="2597"/>
      <c r="L17" s="2551"/>
    </row>
    <row r="18" spans="1:18" ht="17.850000000000001" customHeight="1" x14ac:dyDescent="0.25">
      <c r="A18" s="46" t="s">
        <v>483</v>
      </c>
      <c r="B18" s="2609" t="s">
        <v>315</v>
      </c>
      <c r="C18" s="2610"/>
      <c r="D18" s="2582" t="s">
        <v>484</v>
      </c>
      <c r="E18" s="2411"/>
      <c r="F18" s="2578">
        <v>46143</v>
      </c>
      <c r="G18" s="2578"/>
      <c r="H18" s="438"/>
      <c r="I18" s="438"/>
      <c r="J18" s="2319"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19"/>
      <c r="L18" s="2551"/>
    </row>
    <row r="19" spans="1:18" ht="17.850000000000001" customHeight="1" x14ac:dyDescent="0.25">
      <c r="A19" s="604" t="s">
        <v>749</v>
      </c>
      <c r="B19" s="2607" t="s">
        <v>316</v>
      </c>
      <c r="C19" s="2608"/>
      <c r="D19" s="2583"/>
      <c r="E19" s="2584"/>
      <c r="F19" s="2579"/>
      <c r="G19" s="2579"/>
      <c r="H19" s="438"/>
      <c r="I19" s="438"/>
      <c r="J19" s="2319"/>
      <c r="K19" s="2319"/>
      <c r="L19" s="2551"/>
    </row>
    <row r="20" spans="1:18" ht="17.850000000000001" customHeight="1" x14ac:dyDescent="0.25">
      <c r="A20" s="2616" t="s">
        <v>435</v>
      </c>
      <c r="B20" s="2617"/>
      <c r="C20" s="2617"/>
      <c r="D20" s="2617"/>
      <c r="E20" s="2617"/>
      <c r="F20" s="2572"/>
      <c r="G20" s="2573"/>
      <c r="H20" s="438"/>
      <c r="I20" s="438"/>
      <c r="J20" s="2319"/>
      <c r="K20" s="2319"/>
      <c r="L20" s="2551"/>
    </row>
    <row r="21" spans="1:18" ht="17.850000000000001" customHeight="1" x14ac:dyDescent="0.25">
      <c r="A21" s="2430" t="s">
        <v>1005</v>
      </c>
      <c r="B21" s="2431"/>
      <c r="C21" s="2431"/>
      <c r="D21" s="2431"/>
      <c r="E21" s="2431"/>
      <c r="F21" s="2431"/>
      <c r="G21" s="2431"/>
      <c r="H21" s="2431"/>
      <c r="I21" s="438"/>
      <c r="J21" s="2319"/>
      <c r="K21" s="2319"/>
      <c r="L21" s="764"/>
    </row>
    <row r="22" spans="1:18" ht="17.850000000000001" customHeight="1" x14ac:dyDescent="0.25">
      <c r="A22" s="2384" t="s">
        <v>1065</v>
      </c>
      <c r="B22" s="2275"/>
      <c r="C22" s="2275"/>
      <c r="D22" s="2275"/>
      <c r="E22" s="2275"/>
      <c r="F22" s="2275"/>
      <c r="G22" s="2275"/>
      <c r="H22" s="2275"/>
      <c r="I22" s="438"/>
      <c r="J22" s="2319"/>
      <c r="K22" s="2319"/>
      <c r="L22" s="764"/>
    </row>
    <row r="23" spans="1:18" ht="17.850000000000001" customHeight="1" x14ac:dyDescent="0.25">
      <c r="A23" s="2560"/>
      <c r="B23" s="2561"/>
      <c r="C23" s="2561"/>
      <c r="D23" s="2561"/>
      <c r="E23" s="2561"/>
      <c r="F23" s="2561"/>
      <c r="G23" s="2561"/>
      <c r="H23" s="2561"/>
      <c r="I23" s="438"/>
      <c r="J23" s="2319"/>
      <c r="K23" s="2319"/>
      <c r="L23" s="764"/>
    </row>
    <row r="24" spans="1:18" ht="17.850000000000001" customHeight="1" x14ac:dyDescent="0.25">
      <c r="A24" s="2560"/>
      <c r="B24" s="2561"/>
      <c r="C24" s="2561"/>
      <c r="D24" s="2561"/>
      <c r="E24" s="2561"/>
      <c r="F24" s="2561"/>
      <c r="G24" s="2561"/>
      <c r="H24" s="2561"/>
      <c r="I24" s="438"/>
      <c r="J24" s="2319"/>
      <c r="K24" s="2319"/>
      <c r="L24" s="764"/>
    </row>
    <row r="25" spans="1:18" ht="17.850000000000001" customHeight="1" x14ac:dyDescent="0.25">
      <c r="A25" s="2560"/>
      <c r="B25" s="2561"/>
      <c r="C25" s="2561"/>
      <c r="D25" s="2561"/>
      <c r="E25" s="2561"/>
      <c r="F25" s="2561"/>
      <c r="G25" s="2561"/>
      <c r="H25" s="2561"/>
      <c r="I25" s="438"/>
      <c r="J25" s="2319"/>
      <c r="K25" s="2319"/>
      <c r="L25" s="764"/>
    </row>
    <row r="26" spans="1:18" ht="17.850000000000001" customHeight="1" x14ac:dyDescent="0.25">
      <c r="A26" s="2562"/>
      <c r="B26" s="2563"/>
      <c r="C26" s="2563"/>
      <c r="D26" s="2563"/>
      <c r="E26" s="2563"/>
      <c r="F26" s="2563"/>
      <c r="G26" s="2563"/>
      <c r="H26" s="2563"/>
      <c r="I26" s="438"/>
      <c r="J26" s="1097"/>
      <c r="K26" s="1097"/>
      <c r="L26" s="764"/>
    </row>
    <row r="27" spans="1:18" ht="17.850000000000001" customHeight="1" x14ac:dyDescent="0.25">
      <c r="A27" s="2807"/>
      <c r="B27" s="2808"/>
      <c r="C27" s="2799"/>
      <c r="D27" s="2799"/>
      <c r="E27" s="2799"/>
      <c r="F27" s="2799"/>
      <c r="G27" s="2799"/>
      <c r="H27" s="2799"/>
      <c r="I27" s="438"/>
      <c r="L27" s="2634"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74" t="s">
        <v>322</v>
      </c>
      <c r="B28" s="2575"/>
      <c r="C28" s="2349" t="s">
        <v>5</v>
      </c>
      <c r="D28" s="2598"/>
      <c r="E28" s="2882" t="s">
        <v>1080</v>
      </c>
      <c r="F28" s="2883"/>
      <c r="G28" s="2883"/>
      <c r="H28" s="2883"/>
      <c r="I28" s="438"/>
      <c r="J28" s="2550" t="str">
        <f>IF(OR(ISBLANK(C28),ISBLANK(C29)),"Bitte Auswählen: Lohn | Gehalt bzw Montage | Fertigung | Dienstleistung","")</f>
        <v/>
      </c>
      <c r="K28" s="2550"/>
      <c r="L28" s="2634"/>
    </row>
    <row r="29" spans="1:18" ht="17.850000000000001" customHeight="1" x14ac:dyDescent="0.25">
      <c r="A29" s="2576"/>
      <c r="B29" s="2577"/>
      <c r="C29" s="2350" t="s">
        <v>152</v>
      </c>
      <c r="D29" s="2598"/>
      <c r="E29" s="1307" t="s">
        <v>1081</v>
      </c>
      <c r="F29" s="2137"/>
      <c r="G29" s="2138"/>
      <c r="H29" s="2138"/>
      <c r="I29" s="438"/>
      <c r="J29" s="2550"/>
      <c r="K29" s="2550"/>
      <c r="L29" s="2634"/>
    </row>
    <row r="30" spans="1:18" ht="17.850000000000001" customHeight="1" x14ac:dyDescent="0.25">
      <c r="A30" s="2558" t="str">
        <f>"Berechnung erfolgt für ["&amp;' K3 PP'!B45&amp;" ("&amp;C29&amp;")]"</f>
        <v>Berechnung erfolgt für [Mittellohnpreis (Montage)]</v>
      </c>
      <c r="B30" s="2559"/>
      <c r="C30" s="2559"/>
      <c r="D30" s="2559"/>
      <c r="E30" s="2559"/>
      <c r="F30" s="2559"/>
      <c r="G30" s="2559"/>
      <c r="H30" s="2559"/>
      <c r="I30" s="438"/>
      <c r="J30" s="1112"/>
      <c r="K30" s="1112"/>
      <c r="L30" s="2634"/>
      <c r="M30" s="1958" t="s">
        <v>618</v>
      </c>
      <c r="N30" s="1959"/>
      <c r="O30" s="1958" t="s">
        <v>620</v>
      </c>
      <c r="P30" s="1960"/>
      <c r="Q30" s="1961" t="s">
        <v>681</v>
      </c>
      <c r="R30" s="1962" t="s">
        <v>811</v>
      </c>
    </row>
    <row r="31" spans="1:18" ht="17.850000000000001" customHeight="1" x14ac:dyDescent="0.25">
      <c r="A31" s="2618"/>
      <c r="B31" s="2619"/>
      <c r="C31" s="2619"/>
      <c r="D31" s="2619"/>
      <c r="E31" s="2619"/>
      <c r="F31" s="2619"/>
      <c r="G31" s="2619"/>
      <c r="H31" s="2619"/>
      <c r="I31" s="2619"/>
      <c r="J31" s="1112"/>
      <c r="K31" s="1112"/>
      <c r="L31" s="2634"/>
      <c r="M31" s="1963" t="s">
        <v>5</v>
      </c>
      <c r="O31" s="1964" t="s">
        <v>152</v>
      </c>
      <c r="P31" s="1965"/>
      <c r="Q31" s="1959" t="s">
        <v>192</v>
      </c>
      <c r="R31" s="1966" t="s">
        <v>107</v>
      </c>
    </row>
    <row r="32" spans="1:18" ht="25.15" customHeight="1" x14ac:dyDescent="0.25">
      <c r="A32" s="2223" t="s">
        <v>648</v>
      </c>
      <c r="B32" s="2224"/>
      <c r="C32" s="2224"/>
      <c r="D32" s="2224"/>
      <c r="E32" s="2224"/>
      <c r="F32" s="2224"/>
      <c r="G32" s="2224"/>
      <c r="H32" s="2224"/>
      <c r="I32" s="438"/>
      <c r="J32" s="2178" t="str">
        <f ca="1">IFERROR(IF((TODAY()-H34)&gt;365,"KollV-Datum ist älter als 1 Jahr. Bitte KollV auf Aktualität prüfen und KollV-Gültigkeitsdatum in der Quelldatei aktualisieren!",IF((TODAY()-H34)&lt;-100,"KollV-Datum liegt 100 oder mehr Tage in der Zukunft!","")),"")</f>
        <v/>
      </c>
      <c r="K32" s="2178"/>
      <c r="L32" s="2634"/>
      <c r="M32" s="1963" t="s">
        <v>151</v>
      </c>
      <c r="O32" s="1964" t="s">
        <v>154</v>
      </c>
      <c r="P32" s="1965"/>
      <c r="Q32" s="1967" t="s">
        <v>193</v>
      </c>
      <c r="R32" s="1968" t="s">
        <v>813</v>
      </c>
    </row>
    <row r="33" spans="1:17" ht="17.850000000000001" customHeight="1" x14ac:dyDescent="0.25">
      <c r="A33" s="2580" t="str">
        <f ca="1">IF(OR(E55=0,H56=1),"B1) Produktives Personal","B1) Personal (der produktive Teil davon ergibt sich nach Abzug B2.a)")</f>
        <v>B1) Personal (der produktive Teil davon ergibt sich nach Abzug B2.a)</v>
      </c>
      <c r="B33" s="2581"/>
      <c r="C33" s="2581"/>
      <c r="D33" s="2581"/>
      <c r="E33" s="2581"/>
      <c r="F33" s="2581"/>
      <c r="G33" s="2581"/>
      <c r="H33" s="2581"/>
      <c r="I33" s="438"/>
      <c r="J33" s="2178"/>
      <c r="K33" s="2178"/>
      <c r="L33" s="2634"/>
      <c r="M33" s="1969" t="str">
        <f>IF(C28=M31,"Mittellohnkosten","Mittelgehaltkosten")</f>
        <v>Mittellohnkosten</v>
      </c>
      <c r="O33" s="1946" t="s">
        <v>628</v>
      </c>
      <c r="P33" s="1965"/>
    </row>
    <row r="34" spans="1:17" ht="17.850000000000001" customHeight="1" x14ac:dyDescent="0.25">
      <c r="A34" s="156" t="s">
        <v>780</v>
      </c>
      <c r="B34" s="2142" t="str">
        <f ca="1">IFERROR(Stammdaten!B3,"Kein KollV gefunden!")</f>
        <v>KollV Hafner, Platten- und Fliesenleger (ohne Kärnten)</v>
      </c>
      <c r="C34" s="2143"/>
      <c r="D34" s="2143"/>
      <c r="E34" s="2143"/>
      <c r="F34" s="2143"/>
      <c r="G34" s="2414"/>
      <c r="H34" s="1281">
        <f ca="1">Stammdaten!B4</f>
        <v>46143</v>
      </c>
      <c r="I34" s="438"/>
      <c r="J34" s="2178"/>
      <c r="K34" s="2178"/>
      <c r="L34" s="2634"/>
      <c r="M34" s="1970" t="str">
        <f>IF(C28=M31,"Mittellohnpreis","Mittelgehaltpreis")</f>
        <v>Mittellohnpreis</v>
      </c>
      <c r="O34" s="1946" t="s">
        <v>619</v>
      </c>
      <c r="P34" s="1965"/>
      <c r="Q34" s="1961" t="s">
        <v>1110</v>
      </c>
    </row>
    <row r="35" spans="1:17" ht="17.850000000000001" customHeight="1" thickBot="1" x14ac:dyDescent="0.3">
      <c r="A35" s="2564" t="s">
        <v>779</v>
      </c>
      <c r="B35" s="2565"/>
      <c r="C35" s="2565"/>
      <c r="D35" s="930" t="s">
        <v>802</v>
      </c>
      <c r="E35" s="715" t="s">
        <v>455</v>
      </c>
      <c r="F35" s="1011" t="s">
        <v>596</v>
      </c>
      <c r="G35" s="646" t="s">
        <v>597</v>
      </c>
      <c r="H35" s="929" t="s">
        <v>598</v>
      </c>
      <c r="I35" s="438"/>
      <c r="J35" s="2178"/>
      <c r="K35" s="2178"/>
      <c r="L35" s="2634"/>
      <c r="M35" s="1961" t="s">
        <v>567</v>
      </c>
      <c r="N35" s="1961" t="s">
        <v>570</v>
      </c>
      <c r="O35" s="1961" t="s">
        <v>737</v>
      </c>
      <c r="P35" s="1971"/>
      <c r="Q35" s="1342" t="s">
        <v>1108</v>
      </c>
    </row>
    <row r="36" spans="1:17" ht="17.850000000000001" customHeight="1" thickTop="1" thickBot="1" x14ac:dyDescent="0.3">
      <c r="A36" s="2355" t="s">
        <v>1135</v>
      </c>
      <c r="B36" s="2356"/>
      <c r="C36" s="2357"/>
      <c r="D36" s="51">
        <f ca="1">IF(L$27="",IFERROR(VLOOKUP(A36,Stammdaten!A$7:D$33,4,FALSE),KALKULATION!$M$283),"ungültig")</f>
        <v>18.75</v>
      </c>
      <c r="E36" s="327">
        <v>2</v>
      </c>
      <c r="F36" s="139">
        <f ca="1">IFERROR(IF(AND(A36&lt;&gt;"",D36&lt;&gt;M$283),E36/E$45,""),"")</f>
        <v>0.5</v>
      </c>
      <c r="G36" s="136">
        <f ca="1">IFERROR(VLOOKUP(A36,Stammdaten!A$7:F$33,4,FALSE)*F36,"")</f>
        <v>9.375</v>
      </c>
      <c r="H36" s="1221">
        <f ca="1">IFERROR(VLOOKUP(A36,Stammdaten!A$7:F$33,6,FALSE)*F36,"")</f>
        <v>1.405</v>
      </c>
      <c r="I36" s="577"/>
      <c r="J36" s="2178" t="str">
        <f ca="1">IF(OR(COUNTA(A36,E36)=2,COUNTA(A36,E36)=0),IF(D36=KALKULATION!$M$283,"Auswahl erneut vornehmen (ungültiger Verweis)!",""),"Eingabe unvollständig (ergänzen oder löschen)!")</f>
        <v/>
      </c>
      <c r="K36" s="2178"/>
      <c r="L36" s="2179"/>
      <c r="M36" s="1972" t="str">
        <f t="shared" ref="M36:M62" ca="1" si="0">IFERROR(INDIRECT("O"&amp;(SMALL(P$36:P$62,ROW(P36)-ROW(P$36)+1))),"")</f>
        <v>Facharbeiter (&gt; 2Verwendungsjahr)</v>
      </c>
      <c r="N36" s="1342">
        <f t="shared" ref="N36:N62" ca="1" si="1">IF(M36="","",ROW())</f>
        <v>36</v>
      </c>
      <c r="O36" s="1972" t="str">
        <f ca="1">IF(Stammdaten!A7=0,"",Stammdaten!A7)</f>
        <v>Facharbeiter (&gt; 2Verwendungsjahr)</v>
      </c>
      <c r="P36" s="1965">
        <f t="shared" ref="P36:P61" ca="1" si="2">IF(O36="","",1*ROW())</f>
        <v>36</v>
      </c>
      <c r="Q36" s="1342" t="s">
        <v>1109</v>
      </c>
    </row>
    <row r="37" spans="1:17" ht="17.850000000000001" customHeight="1" thickBot="1" x14ac:dyDescent="0.3">
      <c r="A37" s="2137" t="s">
        <v>1136</v>
      </c>
      <c r="B37" s="2138"/>
      <c r="C37" s="2139"/>
      <c r="D37" s="51">
        <f ca="1">IF(L$27="",IFERROR(VLOOKUP(A37,Stammdaten!A$7:D$33,4,FALSE),KALKULATION!$M$283),"ungültig")</f>
        <v>15.96</v>
      </c>
      <c r="E37" s="327">
        <v>2</v>
      </c>
      <c r="F37" s="139">
        <f t="shared" ref="F37:F44" ca="1" si="3">IFERROR(IF(AND(A37&lt;&gt;"",D37&lt;&gt;M$283),E37/E$45,""),"")</f>
        <v>0.5</v>
      </c>
      <c r="G37" s="54">
        <f ca="1">IFERROR(VLOOKUP(A37,Stammdaten!A$7:F$33,4,FALSE)*F37,"")</f>
        <v>7.98</v>
      </c>
      <c r="H37" s="1222">
        <f ca="1">IFERROR(VLOOKUP(A37,Stammdaten!A$7:F$33,6,FALSE)*F37,"")</f>
        <v>1.1950000000000001</v>
      </c>
      <c r="I37" s="577"/>
      <c r="J37" s="2178" t="str">
        <f ca="1">IF(OR(COUNTA(A37,E37)=2,COUNTA(A37,E37)=0),IF(D37=KALKULATION!$M$283,"Auswahl erneut vornehmen (ungültiger Verweis)!",""),"Eingabe unvollständig (ergänzen oder löschen)!")</f>
        <v/>
      </c>
      <c r="K37" s="2178"/>
      <c r="L37" s="2179"/>
      <c r="M37" s="1972" t="str">
        <f t="shared" ca="1" si="0"/>
        <v>Facharbeiter (2. Verwendungsjahr)</v>
      </c>
      <c r="N37" s="1342">
        <f t="shared" ca="1" si="1"/>
        <v>37</v>
      </c>
      <c r="O37" s="1972" t="str">
        <f ca="1">IF(Stammdaten!A8=0,"",Stammdaten!A8)</f>
        <v>Facharbeiter (2. Verwendungsjahr)</v>
      </c>
      <c r="P37" s="1965">
        <f t="shared" ca="1" si="2"/>
        <v>37</v>
      </c>
    </row>
    <row r="38" spans="1:17" ht="17.850000000000001" customHeight="1" thickBot="1" x14ac:dyDescent="0.3">
      <c r="A38" s="2137"/>
      <c r="B38" s="2138"/>
      <c r="C38" s="2139"/>
      <c r="D38" s="51">
        <f ca="1">IF(L$27="",IFERROR(VLOOKUP(A38,Stammdaten!A$7:D$33,4,FALSE),KALKULATION!$M$283),"ungültig")</f>
        <v>0</v>
      </c>
      <c r="E38" s="327"/>
      <c r="F38" s="139" t="str">
        <f t="shared" ca="1" si="3"/>
        <v/>
      </c>
      <c r="G38" s="54" t="str">
        <f ca="1">IFERROR(VLOOKUP(A38,Stammdaten!A$7:F$33,4,FALSE)*F38,"")</f>
        <v/>
      </c>
      <c r="H38" s="1222" t="str">
        <f ca="1">IFERROR(VLOOKUP(A38,Stammdaten!A$7:F$33,6,FALSE)*F38,"")</f>
        <v/>
      </c>
      <c r="I38" s="577"/>
      <c r="J38" s="2178" t="str">
        <f ca="1">IF(OR(COUNTA(A38,E38)=2,COUNTA(A38,E38)=0),IF(D38=KALKULATION!$M$283,"Auswahl erneut vornehmen (ungültiger Verweis)!",""),"Eingabe unvollständig (ergänzen oder löschen)!")</f>
        <v/>
      </c>
      <c r="K38" s="2178"/>
      <c r="L38" s="2179"/>
      <c r="M38" s="1972" t="str">
        <f t="shared" ca="1" si="0"/>
        <v>Facharbeiter (1. Verwendungsjahr)</v>
      </c>
      <c r="N38" s="1342">
        <f t="shared" ca="1" si="1"/>
        <v>38</v>
      </c>
      <c r="O38" s="1972" t="str">
        <f ca="1">IF(Stammdaten!A9=0,"",Stammdaten!A9)</f>
        <v>Facharbeiter (1. Verwendungsjahr)</v>
      </c>
      <c r="P38" s="1965">
        <f t="shared" ca="1" si="2"/>
        <v>38</v>
      </c>
    </row>
    <row r="39" spans="1:17" ht="17.850000000000001" customHeight="1" thickBot="1" x14ac:dyDescent="0.3">
      <c r="A39" s="2137"/>
      <c r="B39" s="2138"/>
      <c r="C39" s="2139"/>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78" t="str">
        <f ca="1">IF(OR(COUNTA(A39,E39)=2,COUNTA(A39,E39)=0),IF(D39=KALKULATION!$M$283,"Auswahl erneut vornehmen (ungültiger Verweis)!",""),"Eingabe unvollständig (ergänzen oder löschen)!")</f>
        <v/>
      </c>
      <c r="K39" s="2178"/>
      <c r="L39" s="2179"/>
      <c r="M39" s="1972" t="str">
        <f t="shared" ca="1" si="0"/>
        <v>Qualifizierter Helfer</v>
      </c>
      <c r="N39" s="1342">
        <f t="shared" ca="1" si="1"/>
        <v>39</v>
      </c>
      <c r="O39" s="1972" t="str">
        <f ca="1">IF(Stammdaten!A10=0,"",Stammdaten!A10)</f>
        <v>Qualifizierter Helfer</v>
      </c>
      <c r="P39" s="1965">
        <f t="shared" ca="1" si="2"/>
        <v>39</v>
      </c>
    </row>
    <row r="40" spans="1:17" ht="17.850000000000001" customHeight="1" thickBot="1" x14ac:dyDescent="0.3">
      <c r="A40" s="2137"/>
      <c r="B40" s="2138"/>
      <c r="C40" s="2139"/>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78" t="str">
        <f ca="1">IF(OR(COUNTA(A40,E40)=2,COUNTA(A40,E40)=0),IF(D40=KALKULATION!$M$283,"Auswahl erneut vornehmen (ungültiger Verweis)!",""),"Eingabe unvollständig (ergänzen oder löschen)!")</f>
        <v/>
      </c>
      <c r="K40" s="2178"/>
      <c r="L40" s="2179"/>
      <c r="M40" s="1972" t="str">
        <f t="shared" ca="1" si="0"/>
        <v>Helfer</v>
      </c>
      <c r="N40" s="1342">
        <f t="shared" ca="1" si="1"/>
        <v>40</v>
      </c>
      <c r="O40" s="1972" t="str">
        <f ca="1">IF(Stammdaten!A11=0,"",Stammdaten!A11)</f>
        <v>Helfer</v>
      </c>
      <c r="P40" s="1965">
        <f t="shared" ca="1" si="2"/>
        <v>40</v>
      </c>
    </row>
    <row r="41" spans="1:17" ht="17.850000000000001" customHeight="1" thickBot="1" x14ac:dyDescent="0.3">
      <c r="A41" s="2137"/>
      <c r="B41" s="2138"/>
      <c r="C41" s="2139"/>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78" t="str">
        <f ca="1">IF(OR(COUNTA(A41,E41)=2,COUNTA(A41,E41)=0),IF(D41=KALKULATION!$M$283,"Auswahl erneut vornehmen (ungültiger Verweis)!",""),"Eingabe unvollständig (ergänzen oder löschen)!")</f>
        <v/>
      </c>
      <c r="K41" s="2178"/>
      <c r="L41" s="2179"/>
      <c r="M41" s="1972" t="str">
        <f t="shared" ca="1" si="0"/>
        <v>Lenkstunde</v>
      </c>
      <c r="N41" s="1342">
        <f t="shared" ca="1" si="1"/>
        <v>41</v>
      </c>
      <c r="O41" s="1972" t="str">
        <f ca="1">IF(Stammdaten!A12=0,"",Stammdaten!A12)</f>
        <v>Lenkstunde</v>
      </c>
      <c r="P41" s="1965">
        <f t="shared" ca="1" si="2"/>
        <v>41</v>
      </c>
    </row>
    <row r="42" spans="1:17" ht="18" customHeight="1" thickBot="1" x14ac:dyDescent="0.3">
      <c r="A42" s="2137"/>
      <c r="B42" s="2138"/>
      <c r="C42" s="2139"/>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78" t="str">
        <f ca="1">IF(OR(COUNTA(A42,E42)=2,COUNTA(A42,E42)=0),IF(D42=KALKULATION!$M$283,"Auswahl erneut vornehmen (ungültiger Verweis)!",""),"Eingabe unvollständig (ergänzen oder löschen)!")</f>
        <v/>
      </c>
      <c r="K42" s="2178"/>
      <c r="L42" s="2179"/>
      <c r="M42" s="1972" t="str">
        <f t="shared" ca="1" si="0"/>
        <v># eingetragene Werte prüfen</v>
      </c>
      <c r="N42" s="1342">
        <f t="shared" ca="1" si="1"/>
        <v>42</v>
      </c>
      <c r="O42" s="1972" t="str">
        <f ca="1">IF(Stammdaten!A13=0,"",Stammdaten!A13)</f>
        <v/>
      </c>
      <c r="P42" s="1965" t="str">
        <f t="shared" ca="1" si="2"/>
        <v/>
      </c>
    </row>
    <row r="43" spans="1:17" ht="18" customHeight="1" thickBot="1" x14ac:dyDescent="0.3">
      <c r="A43" s="2137"/>
      <c r="B43" s="2138"/>
      <c r="C43" s="2139"/>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78" t="str">
        <f ca="1">IF(OR(COUNTA(A43,E43)=2,COUNTA(A43,E43)=0),IF(D43=KALKULATION!$M$283,"Auswahl erneut vornehmen (ungültiger Verweis)!",""),"Eingabe unvollständig (ergänzen oder löschen)!")</f>
        <v/>
      </c>
      <c r="K43" s="2178"/>
      <c r="L43" s="2179"/>
      <c r="M43" s="1972" t="str">
        <f t="shared" ca="1" si="0"/>
        <v># AKV auf betriebliche Werte ändern!</v>
      </c>
      <c r="N43" s="1342">
        <f t="shared" ca="1" si="1"/>
        <v>43</v>
      </c>
      <c r="O43" s="1972" t="str">
        <f ca="1">IF(Stammdaten!A14=0,"",Stammdaten!A14)</f>
        <v/>
      </c>
      <c r="P43" s="1965" t="str">
        <f t="shared" ca="1" si="2"/>
        <v/>
      </c>
    </row>
    <row r="44" spans="1:17" ht="17.850000000000001" customHeight="1" thickBot="1" x14ac:dyDescent="0.3">
      <c r="A44" s="2395"/>
      <c r="B44" s="2396"/>
      <c r="C44" s="2397"/>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78" t="str">
        <f ca="1">IF(OR(COUNTA(A44,E44)=2,COUNTA(A44,E44)=0),IF(D44=KALKULATION!$M$283,"Auswahl erneut vornehmen (ungültiger Verweis)!",""),"Eingabe unvollständig (ergänzen oder löschen)!")</f>
        <v/>
      </c>
      <c r="K44" s="2178"/>
      <c r="L44" s="2179"/>
      <c r="M44" s="1972" t="str">
        <f t="shared" ca="1" si="0"/>
        <v/>
      </c>
      <c r="N44" s="1342" t="str">
        <f t="shared" ca="1" si="1"/>
        <v/>
      </c>
      <c r="O44" s="1972" t="str">
        <f ca="1">IF(Stammdaten!A15=0,"",Stammdaten!A15)</f>
        <v/>
      </c>
      <c r="P44" s="1965" t="str">
        <f t="shared" ca="1" si="2"/>
        <v/>
      </c>
    </row>
    <row r="45" spans="1:17" ht="17.850000000000001" customHeight="1" thickBot="1" x14ac:dyDescent="0.3">
      <c r="A45" s="2221" t="s">
        <v>803</v>
      </c>
      <c r="B45" s="2222"/>
      <c r="C45" s="2222"/>
      <c r="D45" s="2306"/>
      <c r="E45" s="490">
        <f ca="1">IF(L27="",SUM(E36:E44),"")</f>
        <v>4</v>
      </c>
      <c r="F45" s="150">
        <f ca="1">IFERROR(IF(AND(_Test=9,SUM(Stammdaten!B7:B10)&lt;&gt;50),"FEHLER!",SUM(F36:F44)),KALKULATION!M285)</f>
        <v>1</v>
      </c>
      <c r="G45" s="51">
        <f ca="1">IF(AND(_OK?="OK!",_OK_KV?="OK_KV!"),SUM(G36:G44),ROUND(SUM(G36:G44)*1.05,0))</f>
        <v>18</v>
      </c>
      <c r="H45" s="84">
        <f ca="1">SUM(H36:H44)</f>
        <v>2.6</v>
      </c>
      <c r="I45" s="1251" t="str">
        <f ca="1">IF(_OK?&lt;&gt;"OK!","X","")</f>
        <v>X</v>
      </c>
      <c r="J45" s="2176" t="str">
        <f ca="1">IFERROR(IF(ROUND(F45*100,0)&lt;&gt;100,"Obige Eingaben ergänzen bzw ändern; Ergebnis ≠ 100%!",IF(E45&lt;1,"Anzahl darf nicht unter 1,00 liegen!!!","")),KALKULATION!M286)</f>
        <v/>
      </c>
      <c r="K45" s="2176"/>
      <c r="L45" s="2177"/>
      <c r="M45" s="1972" t="str">
        <f t="shared" ca="1" si="0"/>
        <v/>
      </c>
      <c r="N45" s="1342" t="str">
        <f t="shared" ca="1" si="1"/>
        <v/>
      </c>
      <c r="O45" s="1972" t="str">
        <f ca="1">IF(Stammdaten!A16=0,"",Stammdaten!A16)</f>
        <v># eingetragene Werte prüfen</v>
      </c>
      <c r="P45" s="1965">
        <f t="shared" ca="1" si="2"/>
        <v>45</v>
      </c>
    </row>
    <row r="46" spans="1:17" ht="17.850000000000001" customHeight="1" thickBot="1" x14ac:dyDescent="0.3">
      <c r="A46" s="2587"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588"/>
      <c r="C46" s="2588"/>
      <c r="D46" s="2588"/>
      <c r="E46" s="2588"/>
      <c r="F46" s="2588"/>
      <c r="G46" s="2588"/>
      <c r="H46" s="2588"/>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AKV auf betriebliche Werte ändern!</v>
      </c>
      <c r="P46" s="1965">
        <f t="shared" ca="1" si="2"/>
        <v>46</v>
      </c>
    </row>
    <row r="47" spans="1:17" ht="17.850000000000001" customHeight="1" thickBot="1" x14ac:dyDescent="0.3">
      <c r="A47" s="2589"/>
      <c r="B47" s="2590"/>
      <c r="C47" s="2590"/>
      <c r="D47" s="2590"/>
      <c r="E47" s="2590"/>
      <c r="F47" s="2590"/>
      <c r="G47" s="2590"/>
      <c r="H47" s="2590"/>
      <c r="I47" s="578"/>
      <c r="J47" s="2544"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44"/>
      <c r="L47" s="2545"/>
      <c r="M47" s="1972" t="str">
        <f t="shared" ca="1" si="0"/>
        <v/>
      </c>
      <c r="N47" s="1342" t="str">
        <f t="shared" ca="1" si="1"/>
        <v/>
      </c>
      <c r="O47" s="1972" t="str">
        <f ca="1">IF(Stammdaten!A18=0,"",Stammdaten!A18)</f>
        <v/>
      </c>
      <c r="P47" s="1965" t="str">
        <f t="shared" ca="1" si="2"/>
        <v/>
      </c>
    </row>
    <row r="48" spans="1:17" ht="17.850000000000001" customHeight="1" thickBot="1" x14ac:dyDescent="0.3">
      <c r="A48" s="2589"/>
      <c r="B48" s="2590"/>
      <c r="C48" s="2590"/>
      <c r="D48" s="2590"/>
      <c r="E48" s="2590"/>
      <c r="F48" s="2590"/>
      <c r="G48" s="2590"/>
      <c r="H48" s="2590"/>
      <c r="I48" s="578"/>
      <c r="J48" s="2544"/>
      <c r="K48" s="2544"/>
      <c r="L48" s="2545"/>
      <c r="M48" s="1972" t="str">
        <f t="shared" ca="1" si="0"/>
        <v/>
      </c>
      <c r="N48" s="1342" t="str">
        <f t="shared" ca="1" si="1"/>
        <v/>
      </c>
      <c r="O48" s="1972" t="str">
        <f ca="1">IF(Stammdaten!A19=0,"",Stammdaten!A19)</f>
        <v/>
      </c>
      <c r="P48" s="1965" t="str">
        <f t="shared" ca="1" si="2"/>
        <v/>
      </c>
    </row>
    <row r="49" spans="1:19" ht="17.850000000000001" customHeight="1" thickBot="1" x14ac:dyDescent="0.3">
      <c r="A49" s="2591"/>
      <c r="B49" s="2592"/>
      <c r="C49" s="2592"/>
      <c r="D49" s="2592"/>
      <c r="E49" s="2592"/>
      <c r="F49" s="2592"/>
      <c r="G49" s="2592"/>
      <c r="H49" s="2592"/>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585" t="s">
        <v>750</v>
      </c>
      <c r="B50" s="2586"/>
      <c r="C50" s="2586"/>
      <c r="D50" s="2586"/>
      <c r="E50" s="2586"/>
      <c r="F50" s="2586"/>
      <c r="G50" s="2586"/>
      <c r="H50" s="2586"/>
      <c r="I50" s="438"/>
      <c r="J50" s="2546" t="str">
        <f>VLOOKUP(E51,M71:P74,4,FALSE)</f>
        <v>Die Festlegung des unprod. Personals erfolgt gem B2.a als (Auswahl (3)) Anteil an der in B1 festgelegten Gesamtanzahl. Durch den relativen Bezug ändert sich die Anzahl des unprod. Personals bei Änderung der Anzahl in Pkt B1.</v>
      </c>
      <c r="K50" s="2546"/>
      <c r="L50" s="2547"/>
      <c r="M50" s="1972" t="str">
        <f t="shared" ca="1" si="0"/>
        <v/>
      </c>
      <c r="N50" s="1342" t="str">
        <f t="shared" ca="1" si="1"/>
        <v/>
      </c>
      <c r="O50" s="1972" t="str">
        <f ca="1">IF(Stammdaten!A21=0,"",Stammdaten!A21)</f>
        <v/>
      </c>
      <c r="P50" s="1965" t="str">
        <f t="shared" ca="1" si="2"/>
        <v/>
      </c>
    </row>
    <row r="51" spans="1:19" ht="17.850000000000001" customHeight="1" thickBot="1" x14ac:dyDescent="0.3">
      <c r="A51" s="2568" t="s">
        <v>485</v>
      </c>
      <c r="B51" s="2569"/>
      <c r="C51" s="2570"/>
      <c r="D51" s="928" t="s">
        <v>805</v>
      </c>
      <c r="E51" s="2566" t="s">
        <v>1022</v>
      </c>
      <c r="F51" s="2567"/>
      <c r="G51" s="2567"/>
      <c r="H51" s="2567"/>
      <c r="I51" s="438"/>
      <c r="J51" s="2546"/>
      <c r="K51" s="2546"/>
      <c r="L51" s="2547"/>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 ca="1">IF(E51=M73,"% von "&amp;TEXT(E45,"0,0")&amp;" P.","% v d Person")</f>
        <v>% von 4,0 P.</v>
      </c>
      <c r="E52" s="715" t="str">
        <f>IF(E51=M71,"Anzahl/-teil",IF(OR(E51=M73,E51=M72),"Anzahl","Wählen"))</f>
        <v>Anzahl</v>
      </c>
      <c r="F52" s="1011" t="s">
        <v>107</v>
      </c>
      <c r="G52" s="1011" t="str">
        <f>G35</f>
        <v>Ø KV-Entgelt</v>
      </c>
      <c r="H52" s="1120" t="str">
        <f>H35</f>
        <v>Ø AKV-Entg.</v>
      </c>
      <c r="I52" s="438"/>
      <c r="J52" s="2546"/>
      <c r="K52" s="2546"/>
      <c r="L52" s="2547"/>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22" t="s">
        <v>1135</v>
      </c>
      <c r="B53" s="2123"/>
      <c r="C53" s="2124"/>
      <c r="D53" s="492">
        <v>0.1</v>
      </c>
      <c r="E53" s="327">
        <v>1</v>
      </c>
      <c r="F53" s="51">
        <f ca="1">IF(L$27="",IFERROR(VLOOKUP(A53,Stammdaten!A$7:D$33,4,FALSE),KALKULATION!$M$283),"ungültig")</f>
        <v>18.75</v>
      </c>
      <c r="G53" s="51">
        <f ca="1">IFERROR(IF(E$51=M$71,IF(E53&lt;&gt;0,F53*E53/SUM(E$53:E$54),""),IF(OR(E$51=M$73,E$51=M$72),IF(D53&lt;&gt;0,F53*D53/SUM(D$53:D$54),""),"")),"?")</f>
        <v>18.75</v>
      </c>
      <c r="H53" s="84">
        <f ca="1">IFERROR(VLOOKUP(A53,Stammdaten!A$7:F$33,5,FALSE)*G53,"")</f>
        <v>2.81</v>
      </c>
      <c r="I53" s="577"/>
      <c r="J53" s="2178" t="str">
        <f ca="1">IF(F53=KALKULATION!$M$283,"Auswahl erneut vornehmen (ungültiger Verweis)!",IF(S75="f","Eingabe unvollständig (ergänzen oder löschen)!",""))</f>
        <v/>
      </c>
      <c r="K53" s="2178"/>
      <c r="L53" s="2179"/>
      <c r="M53" s="1972" t="str">
        <f t="shared" ca="1" si="0"/>
        <v/>
      </c>
      <c r="N53" s="1342" t="str">
        <f t="shared" ca="1" si="1"/>
        <v/>
      </c>
      <c r="O53" s="1972" t="str">
        <f ca="1">IF(Stammdaten!A24=0,"",Stammdaten!A24)</f>
        <v/>
      </c>
      <c r="P53" s="1965" t="str">
        <f t="shared" ca="1" si="2"/>
        <v/>
      </c>
    </row>
    <row r="54" spans="1:19" ht="17.850000000000001" customHeight="1" thickBot="1" x14ac:dyDescent="0.3">
      <c r="A54" s="2395"/>
      <c r="B54" s="2396"/>
      <c r="C54" s="2397"/>
      <c r="D54" s="967"/>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78" t="str">
        <f ca="1">IF(F54=KALKULATION!$M$283,"Auswahl erneut vornehmen (ungültiger Verweis)!",IF(T75="f","Eingabe unvollständig (ergänzen oder löschen)!",""))</f>
        <v/>
      </c>
      <c r="K54" s="2178"/>
      <c r="L54" s="2179"/>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1" t="s">
        <v>1019</v>
      </c>
      <c r="B55" s="2222"/>
      <c r="C55" s="2222"/>
      <c r="D55" s="2306"/>
      <c r="E55" s="490">
        <f ca="1">IF(L27&lt;&gt;"","",IF(E51=M71,SUM(E53:E54),IF(E51=M72,SUM(D53,D54),IF(E51=M73,SUM(D53,D54)*E45,0))))</f>
        <v>0.4</v>
      </c>
      <c r="F55" s="150"/>
      <c r="G55" s="51">
        <f ca="1">SUM(G53:G54)</f>
        <v>18.75</v>
      </c>
      <c r="H55" s="85">
        <f ca="1">SUM(H53:H54)</f>
        <v>2.81</v>
      </c>
      <c r="I55" s="438"/>
      <c r="J55" s="2263" t="str">
        <f ca="1">IFERROR(IF(E55/E45&gt;Report!F7,"Hinweis: Anzahl unprod. Pers.  ergibt Umlage% ("&amp;TEXT(E55,"0,00")&amp;" zu "&amp;TEXT(E45,"0,00")&amp;") die über dem Richtwert gem Blatt REPORT liegt!",""),"")</f>
        <v/>
      </c>
      <c r="K55" s="2263"/>
      <c r="L55" s="2264"/>
      <c r="M55" s="1972" t="str">
        <f t="shared" ca="1" si="0"/>
        <v/>
      </c>
      <c r="N55" s="1342" t="str">
        <f t="shared" ca="1" si="1"/>
        <v/>
      </c>
      <c r="O55" s="1972" t="str">
        <f ca="1">IF(Stammdaten!A26=0,"",Stammdaten!A26)</f>
        <v/>
      </c>
      <c r="P55" s="1965" t="str">
        <f t="shared" ca="1" si="2"/>
        <v/>
      </c>
      <c r="R55" s="2859" t="str">
        <f>CONCATENATE(A36,A37,A38,A39,A40,A41,A42,A43,A44)</f>
        <v>Facharbeiter (&gt; 2Verwendungsjahr)Qualifizierter Helfer</v>
      </c>
      <c r="S55" s="2860"/>
    </row>
    <row r="56" spans="1:19" ht="17.850000000000001" customHeight="1" thickBot="1" x14ac:dyDescent="0.3">
      <c r="A56" s="2208" t="str">
        <f ca="1">IF(E55&lt;&gt;0,"B2.a1) Unprod. Personal zusätzlich zum (KZ = 1) oder vom (KZ = 0) prod. Pers.?              KZ: ↓","")</f>
        <v>B2.a1) Unprod. Personal zusätzlich zum (KZ = 1) oder vom (KZ = 0) prod. Pers.?              KZ: ↓</v>
      </c>
      <c r="B56" s="2305"/>
      <c r="C56" s="2305"/>
      <c r="D56" s="2305"/>
      <c r="E56" s="2305"/>
      <c r="F56" s="2305"/>
      <c r="G56" s="2209"/>
      <c r="H56" s="931">
        <v>0</v>
      </c>
      <c r="I56" s="577"/>
      <c r="J56" s="2263"/>
      <c r="K56" s="2263"/>
      <c r="L56" s="2264"/>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476" t="str">
        <f ca="1">IFERROR("Info: Kalk. Ø 'Baustellenbesetzung' ist "&amp;TEXT(G57,"0,0")&amp;" Std prod. zu "&amp;TEXT(H57,"0,0")&amp;" Std unprod.; "&amp;TEXT(H57/G57,"0,0%"),"Unzulässige Division durch 0 - Berechnung kann nicht fortgesetzt werden!")</f>
        <v>Info: Kalk. Ø 'Baustellenbesetzung' ist 3,6 Std prod. zu 0,4 Std unprod.; 11,1%</v>
      </c>
      <c r="B57" s="2477"/>
      <c r="C57" s="2477"/>
      <c r="D57" s="2477"/>
      <c r="E57" s="2477"/>
      <c r="F57" s="2477"/>
      <c r="G57" s="904">
        <f ca="1">IF(H56=1,E45,E45-E55)</f>
        <v>3.6</v>
      </c>
      <c r="H57" s="904">
        <f ca="1">E55</f>
        <v>0.4</v>
      </c>
      <c r="I57" s="438"/>
      <c r="J57" s="2485"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85"/>
      <c r="L57" s="2486"/>
      <c r="M57" s="1972" t="str">
        <f t="shared" ca="1" si="0"/>
        <v/>
      </c>
      <c r="N57" s="1342" t="str">
        <f t="shared" ca="1" si="1"/>
        <v/>
      </c>
      <c r="O57" s="1972" t="str">
        <f ca="1">IF(Stammdaten!A28=0,"",Stammdaten!A28)</f>
        <v/>
      </c>
      <c r="P57" s="1965" t="str">
        <f t="shared" ca="1" si="2"/>
        <v/>
      </c>
      <c r="R57" s="1342" t="b">
        <f>IF(A54&lt;&gt;"",IFERROR(SEARCH(A54,R55),"N"))</f>
        <v>0</v>
      </c>
    </row>
    <row r="58" spans="1:19" ht="17.850000000000001" customHeight="1" thickBot="1" x14ac:dyDescent="0.3">
      <c r="A58" s="2809" t="str">
        <f>IF(AND(H56=0,S58="f"),"Hinweis zu B2.a: KZ = 0, daher sollte eine Beschäftigungsgruppe gewählt sein, die in B1 vorkommt. Ev ändern.","")</f>
        <v/>
      </c>
      <c r="B58" s="2478"/>
      <c r="C58" s="2478"/>
      <c r="D58" s="2478"/>
      <c r="E58" s="2478"/>
      <c r="F58" s="2478"/>
      <c r="G58" s="2478"/>
      <c r="H58" s="2478"/>
      <c r="I58" s="438"/>
      <c r="J58" s="2485"/>
      <c r="K58" s="2485"/>
      <c r="L58" s="2486"/>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599" t="s">
        <v>1082</v>
      </c>
      <c r="B59" s="2600"/>
      <c r="C59" s="2601"/>
      <c r="D59" s="579" t="s">
        <v>193</v>
      </c>
      <c r="E59" s="2643" t="s">
        <v>228</v>
      </c>
      <c r="F59" s="2643" t="s">
        <v>751</v>
      </c>
      <c r="G59" s="2643" t="s">
        <v>752</v>
      </c>
      <c r="H59" s="2868"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593" t="str">
        <f>IF(AND(F61&lt;&gt;0,A61=""),"Grund/Ursache für den %-Satz angeben:","Bezeichnung / Grund:")</f>
        <v>Bezeichnung / Grund:</v>
      </c>
      <c r="B60" s="2594"/>
      <c r="C60" s="2594"/>
      <c r="D60" s="2595"/>
      <c r="E60" s="2644"/>
      <c r="F60" s="2644"/>
      <c r="G60" s="2644"/>
      <c r="H60" s="2869"/>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22"/>
      <c r="B61" s="2123"/>
      <c r="C61" s="2123"/>
      <c r="D61" s="2124"/>
      <c r="E61" s="491">
        <f ca="1">G57</f>
        <v>3.6</v>
      </c>
      <c r="F61" s="492"/>
      <c r="G61" s="713">
        <f>IF(D59=_Ja,F61/(1-F61),0)</f>
        <v>0</v>
      </c>
      <c r="H61" s="573">
        <f>IF(D59=_Ja,E61*F61,0)</f>
        <v>0</v>
      </c>
      <c r="I61" s="578" t="str">
        <f>IF(D59=_Nein,"",IF(F61&lt;&gt;0,"X",""))</f>
        <v/>
      </c>
      <c r="J61" s="2263" t="str">
        <f>IF(D59=_Nein,"",IF(F61&gt;=0.9,"Unzulässiger Wert!",IFERROR(IF(OR(G61&gt;Report!F8,G61&lt;Report!G8),"Hinweis: Eingetragener Wert liegt über oder unter den Richtwerten gemäß Blatt REPORT!",""),"")))</f>
        <v/>
      </c>
      <c r="K61" s="2263"/>
      <c r="L61" s="2264"/>
      <c r="M61" s="1972" t="str">
        <f t="shared" ca="1" si="0"/>
        <v/>
      </c>
      <c r="N61" s="1342" t="str">
        <f t="shared" ca="1" si="1"/>
        <v/>
      </c>
      <c r="O61" s="1972" t="str">
        <f ca="1">IF(Stammdaten!A32=0,"",Stammdaten!A32)</f>
        <v/>
      </c>
      <c r="P61" s="1965" t="str">
        <f t="shared" ca="1" si="2"/>
        <v/>
      </c>
    </row>
    <row r="62" spans="1:19" ht="17.850000000000001" customHeight="1" x14ac:dyDescent="0.25">
      <c r="A62" s="2225"/>
      <c r="B62" s="2639"/>
      <c r="C62" s="2639"/>
      <c r="D62" s="2639"/>
      <c r="E62" s="2639"/>
      <c r="F62" s="2639"/>
      <c r="G62" s="2639"/>
      <c r="H62" s="2639"/>
      <c r="I62" s="438"/>
      <c r="J62" s="2263"/>
      <c r="K62" s="2263"/>
      <c r="L62" s="2264"/>
      <c r="M62" s="1972" t="str">
        <f t="shared" ca="1" si="0"/>
        <v/>
      </c>
      <c r="N62" s="1342" t="str">
        <f t="shared" ca="1" si="1"/>
        <v/>
      </c>
      <c r="O62" s="1972" t="str">
        <f>IF(Stammdaten!A33=0,"",Stammdaten!A33)</f>
        <v/>
      </c>
      <c r="P62" s="1965" t="str">
        <f t="shared" ref="P62" si="4">IF(O62="","",1*ROW())</f>
        <v/>
      </c>
    </row>
    <row r="63" spans="1:19" ht="17.850000000000001" customHeight="1" x14ac:dyDescent="0.25">
      <c r="A63" s="2500" t="str">
        <f>"B2) Ergebnis produktive Zeit (nach 'Köpfen'): "</f>
        <v xml:space="preserve">B2) Ergebnis produktive Zeit (nach 'Köpfen'): </v>
      </c>
      <c r="B63" s="2501"/>
      <c r="C63" s="2501"/>
      <c r="D63" s="2501"/>
      <c r="E63" s="489" t="s">
        <v>526</v>
      </c>
      <c r="F63" s="493">
        <f ca="1">G57-H61</f>
        <v>3.6</v>
      </c>
      <c r="G63" s="489" t="s">
        <v>527</v>
      </c>
      <c r="H63" s="493">
        <f ca="1">H57+H61</f>
        <v>0.4</v>
      </c>
      <c r="I63" s="438"/>
      <c r="J63" s="2469" t="s">
        <v>1107</v>
      </c>
      <c r="K63" s="2469"/>
      <c r="L63" s="2470"/>
      <c r="M63" s="1342" t="s">
        <v>568</v>
      </c>
      <c r="N63" s="1342">
        <f ca="1">MIN(N36:N62,ROW(O36))</f>
        <v>36</v>
      </c>
      <c r="P63" s="1965"/>
    </row>
    <row r="64" spans="1:19" ht="17.850000000000001" customHeight="1" x14ac:dyDescent="0.25">
      <c r="A64" s="2537"/>
      <c r="B64" s="2538"/>
      <c r="C64" s="2538"/>
      <c r="D64" s="2538"/>
      <c r="E64" s="2538"/>
      <c r="F64" s="2538"/>
      <c r="G64" s="2538"/>
      <c r="H64" s="2538"/>
      <c r="I64" s="438"/>
      <c r="J64" s="2471"/>
      <c r="K64" s="2471"/>
      <c r="L64" s="2472"/>
      <c r="M64" s="1967" t="s">
        <v>569</v>
      </c>
      <c r="N64" s="1967">
        <f ca="1">MAX(N36:N62,ROW(O36))</f>
        <v>43</v>
      </c>
      <c r="O64" s="1967"/>
      <c r="P64" s="1974"/>
    </row>
    <row r="65" spans="1:34" ht="17.850000000000001" customHeight="1" thickBot="1" x14ac:dyDescent="0.3">
      <c r="A65" s="2687" t="s">
        <v>740</v>
      </c>
      <c r="B65" s="2688"/>
      <c r="C65" s="2688"/>
      <c r="D65" s="2688"/>
      <c r="E65" s="2688"/>
      <c r="F65" s="2688"/>
      <c r="G65" s="2688"/>
      <c r="H65" s="2688"/>
      <c r="I65" s="438"/>
      <c r="J65" s="2471"/>
      <c r="K65" s="2471"/>
      <c r="L65" s="2472"/>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705"/>
      <c r="G66" s="2810" t="s">
        <v>252</v>
      </c>
      <c r="H66" s="2872" t="s">
        <v>133</v>
      </c>
      <c r="I66" s="438"/>
      <c r="J66" s="2471"/>
      <c r="K66" s="2471"/>
      <c r="L66" s="2472"/>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3.6</v>
      </c>
      <c r="D67" s="449">
        <f ca="1">C67*G45</f>
        <v>64.8</v>
      </c>
      <c r="E67" s="450">
        <f ca="1">C67*H45</f>
        <v>9.36</v>
      </c>
      <c r="F67" s="2706"/>
      <c r="G67" s="2811"/>
      <c r="H67" s="2873"/>
      <c r="I67" s="438"/>
      <c r="J67" s="2471"/>
      <c r="K67" s="2471"/>
      <c r="L67" s="2472"/>
      <c r="Z67" s="1342" t="s">
        <v>743</v>
      </c>
      <c r="AA67" s="1343">
        <f ca="1">_ProdPers</f>
        <v>4</v>
      </c>
      <c r="AB67" s="1342"/>
      <c r="AC67" s="1342"/>
      <c r="AD67" s="1343">
        <f ca="1">E45</f>
        <v>4</v>
      </c>
      <c r="AE67" s="1343">
        <f ca="1">AD67-AD69-AD68</f>
        <v>3.6</v>
      </c>
      <c r="AF67" s="1343">
        <f ca="1">AD67-AD68</f>
        <v>4</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64.8</v>
      </c>
      <c r="H68" s="574">
        <f ca="1">D70</f>
        <v>72.3</v>
      </c>
      <c r="I68" s="438"/>
      <c r="J68" s="2471"/>
      <c r="K68" s="2471"/>
      <c r="L68" s="2472"/>
      <c r="Z68" s="1342" t="s">
        <v>744</v>
      </c>
      <c r="AA68" s="1343">
        <f ca="1">IF(H56=0,AA67-AD68-AD69,AA67-AD68)</f>
        <v>3.6</v>
      </c>
      <c r="AB68" s="1343">
        <f>AE68</f>
        <v>0</v>
      </c>
      <c r="AC68" s="1343">
        <f ca="1">AD69</f>
        <v>0.4</v>
      </c>
      <c r="AD68" s="1343">
        <f>H61</f>
        <v>0</v>
      </c>
      <c r="AE68" s="1343">
        <f>AD68</f>
        <v>0</v>
      </c>
      <c r="AF68" s="1343">
        <f>AE68</f>
        <v>0</v>
      </c>
      <c r="AG68" s="1342"/>
      <c r="AH68" s="267"/>
    </row>
    <row r="69" spans="1:34" ht="17.850000000000001" customHeight="1" thickBot="1" x14ac:dyDescent="0.3">
      <c r="A69" s="460" t="s">
        <v>287</v>
      </c>
      <c r="B69" s="461"/>
      <c r="C69" s="453">
        <f ca="1">H57</f>
        <v>0.4</v>
      </c>
      <c r="D69" s="454">
        <f ca="1">C69*G55</f>
        <v>7.5</v>
      </c>
      <c r="E69" s="455">
        <f ca="1">C69*H55</f>
        <v>1.1200000000000001</v>
      </c>
      <c r="F69" s="456" t="s">
        <v>76</v>
      </c>
      <c r="G69" s="457">
        <f ca="1">D69+D68</f>
        <v>7.5</v>
      </c>
      <c r="H69" s="575">
        <f ca="1">E70</f>
        <v>10.48</v>
      </c>
      <c r="I69" s="438"/>
      <c r="J69" s="2473"/>
      <c r="K69" s="2473"/>
      <c r="L69" s="2474"/>
      <c r="P69" s="1342" t="s">
        <v>1083</v>
      </c>
      <c r="Z69" s="1342"/>
      <c r="AA69" s="1343"/>
      <c r="AB69" s="1342"/>
      <c r="AC69" s="1342"/>
      <c r="AD69" s="1343">
        <f ca="1">E55</f>
        <v>0.4</v>
      </c>
      <c r="AE69" s="1343">
        <f ca="1">AD69</f>
        <v>0.4</v>
      </c>
      <c r="AF69" s="1343">
        <f ca="1">AE69</f>
        <v>0.4</v>
      </c>
      <c r="AG69" s="1342"/>
      <c r="AH69" s="267"/>
    </row>
    <row r="70" spans="1:34" ht="17.850000000000001" customHeight="1" thickBot="1" x14ac:dyDescent="0.3">
      <c r="A70" s="2874" t="s">
        <v>754</v>
      </c>
      <c r="B70" s="2875"/>
      <c r="C70" s="400">
        <f ca="1">SUM(C67:C69)</f>
        <v>4</v>
      </c>
      <c r="D70" s="401">
        <f ca="1">SUM(D67:D69)</f>
        <v>72.3</v>
      </c>
      <c r="E70" s="402">
        <f ca="1">SUM(E67:E69)</f>
        <v>10.48</v>
      </c>
      <c r="F70" s="648" t="s">
        <v>134</v>
      </c>
      <c r="G70" s="649">
        <f ca="1">IFERROR(G69/G68,"")</f>
        <v>0.1157</v>
      </c>
      <c r="H70" s="650">
        <f ca="1">IFERROR(H69/H68,"")</f>
        <v>0.14499999999999999</v>
      </c>
      <c r="I70" s="438"/>
      <c r="L70" s="216"/>
      <c r="M70" s="1975" t="s">
        <v>679</v>
      </c>
      <c r="N70" s="1975"/>
      <c r="O70" s="1976"/>
      <c r="P70" s="1342" t="s">
        <v>1084</v>
      </c>
      <c r="S70" s="1977" t="s">
        <v>843</v>
      </c>
      <c r="T70" s="1977"/>
      <c r="Z70" s="1342"/>
      <c r="AA70" s="1342"/>
      <c r="AB70" s="1342"/>
      <c r="AC70" s="1342"/>
      <c r="AD70" s="1342"/>
      <c r="AE70" s="1342"/>
      <c r="AF70" s="1342"/>
      <c r="AG70" s="1342"/>
      <c r="AH70" s="267"/>
    </row>
    <row r="71" spans="1:34" ht="17.850000000000001" customHeight="1" thickBot="1" x14ac:dyDescent="0.3">
      <c r="A71" s="2479" t="s">
        <v>812</v>
      </c>
      <c r="B71" s="2480"/>
      <c r="C71" s="2480"/>
      <c r="D71" s="2480"/>
      <c r="E71" s="2480"/>
      <c r="F71" s="2481"/>
      <c r="G71" s="342"/>
      <c r="H71" s="576"/>
      <c r="I71" s="578" t="str">
        <f>IF(OR(G71&lt;&gt;0,H71&lt;&gt;0),"X","")</f>
        <v/>
      </c>
      <c r="J71" s="2471" t="str">
        <f ca="1">IFERROR(IF(ABS(H71)/H70&gt;0.35,"Hinweis: Anpassung bei B3.b AKV-Entgelt auffällig hoch. ",""),"")</f>
        <v/>
      </c>
      <c r="K71" s="2471"/>
      <c r="L71" s="2472"/>
      <c r="M71" s="1858" t="s">
        <v>1020</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691" t="str">
        <f ca="1">IFERROR("B) Ergebnis unproduktive Zeiten (K3 Zeile 4) "&amp;TEXT(' K3 PP'!O22,"0,00€")&amp;" bzw in % ",KALKULATION!$M$286)</f>
        <v xml:space="preserve">B) Ergebnis unproduktive Zeiten (K3 Zeile 4) 2,00€ bzw in % </v>
      </c>
      <c r="B72" s="2692"/>
      <c r="C72" s="2692"/>
      <c r="D72" s="2692"/>
      <c r="E72" s="2692"/>
      <c r="F72" s="1886" t="s">
        <v>1108</v>
      </c>
      <c r="G72" s="165">
        <f ca="1">IFERROR(IF(G70=0,0,IF(F72=Q35,ROUNDUP(SUM(G70:G71),3),SUM(G70:G71))),"?")</f>
        <v>0.11600000000000001</v>
      </c>
      <c r="H72" s="45"/>
      <c r="I72" s="438"/>
      <c r="J72" s="2471"/>
      <c r="K72" s="2471"/>
      <c r="L72" s="2472"/>
      <c r="M72" s="1342" t="s">
        <v>1021</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0.1</v>
      </c>
      <c r="T72" s="1980">
        <f>IF(OR(E51=M73,E51=M72),D54,"")</f>
        <v>0</v>
      </c>
    </row>
    <row r="73" spans="1:34" ht="17.850000000000001" customHeight="1" x14ac:dyDescent="0.25">
      <c r="A73" s="2142" t="str">
        <f ca="1">IFERROR("B) Ergebnis außerkollektivvertragliches Entgelt (K3 Zeile 6) ist "&amp;TEXT(' K3 PP'!O24,"0,00€")&amp;" bzw in % ",KALKULATION!$M$286)</f>
        <v xml:space="preserve">B) Ergebnis außerkollektivvertragliches Entgelt (K3 Zeile 6) ist 2,90€ bzw in % </v>
      </c>
      <c r="B73" s="2143"/>
      <c r="C73" s="2143"/>
      <c r="D73" s="2143"/>
      <c r="E73" s="2143"/>
      <c r="F73" s="2143"/>
      <c r="G73" s="1886" t="s">
        <v>1108</v>
      </c>
      <c r="H73" s="932">
        <f ca="1">IFERROR(IF(H70=0,0,IF(G73=Q35,ROUNDUP(SUM(H70:H71),3),SUM(H70:H71))),"?")</f>
        <v>0.14499999999999999</v>
      </c>
      <c r="I73" s="438"/>
      <c r="J73" s="2485" t="str">
        <f ca="1">IF(OR(AND(G70=0,G71&lt;&gt;0),AND(H70=0,H71&lt;&gt;0)),"Zu B3.b: Keine Anpassung ohne Grundkalkulation (bzw Wert =0)!","")</f>
        <v/>
      </c>
      <c r="K73" s="2485"/>
      <c r="L73" s="2264" t="str">
        <f ca="1">IFERROR(IF(H73&gt;0.25,"Höhe des AKV-Entelts mit "&amp;TEXT(H73,"0%")&amp;"  kann zu Nachfragen führen! ",""),"")</f>
        <v/>
      </c>
      <c r="M73" s="1981" t="s">
        <v>1022</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0</v>
      </c>
    </row>
    <row r="74" spans="1:34" ht="20.100000000000001" customHeight="1" x14ac:dyDescent="0.25">
      <c r="A74" s="2317" t="str">
        <f ca="1">"Info: KV &amp; up.Z: "&amp;IFERROR(TEXT(' K3 PP'!O$23,"0,00€"),"?")&amp;" | abgabepfl. Pers.ko: "&amp;IFERROR(TEXT(' K3 PP'!O$28,"0,00€"),"?")&amp;" | vor Uml: "&amp;IFERROR(TEXT(' K3 PP'!O$33,"0,00€"),"?")&amp;" | KOSTEN: "&amp;IFERROR(TEXT(' K3 PP'!U40,"0,00€"),"?")&amp;" | PREIS: "&amp;IFERROR(IF(E410=M287,"Pkt J3 prüfen!!",TEXT(' K3 PP'!U45,"0,00€")),"?")</f>
        <v>Info: KV &amp; up.Z: 20,00€ | abgabepfl. Pers.ko: 26,00€ | vor Uml: 53,00€ | KOSTEN: 59,64€ | PREIS: 76,94€</v>
      </c>
      <c r="B74" s="2318"/>
      <c r="C74" s="2318"/>
      <c r="D74" s="2318"/>
      <c r="E74" s="2318"/>
      <c r="F74" s="2318"/>
      <c r="G74" s="2318"/>
      <c r="H74" s="2318"/>
      <c r="I74" s="438"/>
      <c r="J74" s="2485"/>
      <c r="K74" s="2485"/>
      <c r="L74" s="2264"/>
      <c r="M74" s="1858" t="s">
        <v>1023</v>
      </c>
      <c r="N74" s="1858"/>
      <c r="O74" s="1858"/>
      <c r="P74" s="1342" t="s">
        <v>17</v>
      </c>
      <c r="S74" s="1950">
        <f>IF(LEN(A53)=0,0,1)</f>
        <v>1</v>
      </c>
      <c r="T74" s="1950">
        <f>IF(LEN(A54)=0,0,1)</f>
        <v>0</v>
      </c>
    </row>
    <row r="75" spans="1:34" ht="17.850000000000001" customHeight="1" x14ac:dyDescent="0.25">
      <c r="A75" s="2539"/>
      <c r="B75" s="2540"/>
      <c r="C75" s="2540"/>
      <c r="D75" s="2540"/>
      <c r="E75" s="2540"/>
      <c r="F75" s="2540"/>
      <c r="G75" s="2540"/>
      <c r="H75" s="2540"/>
      <c r="I75" s="2540"/>
      <c r="L75" s="2264"/>
      <c r="Q75" s="1141"/>
      <c r="R75" s="1141"/>
      <c r="S75" s="1950" t="str">
        <f>IF(SUM(S73:S74)=1,"f","")</f>
        <v/>
      </c>
      <c r="T75" s="1950" t="str">
        <f>IF(SUM(T73:T74)=1,"f","")</f>
        <v/>
      </c>
    </row>
    <row r="76" spans="1:34" ht="25.15" customHeight="1" x14ac:dyDescent="0.25">
      <c r="A76" s="2223" t="s">
        <v>487</v>
      </c>
      <c r="B76" s="2224"/>
      <c r="C76" s="2224"/>
      <c r="D76" s="2224"/>
      <c r="E76" s="2224"/>
      <c r="F76" s="2224"/>
      <c r="G76" s="2224"/>
      <c r="H76" s="2224"/>
      <c r="I76" s="438"/>
      <c r="L76" s="216"/>
      <c r="Q76" s="1141"/>
      <c r="R76" s="1141"/>
    </row>
    <row r="77" spans="1:34" ht="20.100000000000001" customHeight="1" thickBot="1" x14ac:dyDescent="0.3">
      <c r="A77" s="2430" t="s">
        <v>534</v>
      </c>
      <c r="B77" s="2431"/>
      <c r="C77" s="2431"/>
      <c r="D77" s="2431"/>
      <c r="E77" s="2431"/>
      <c r="F77" s="2431"/>
      <c r="G77" s="2636"/>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475" t="s">
        <v>528</v>
      </c>
      <c r="B78" s="2475"/>
      <c r="C78" s="2475"/>
      <c r="D78" s="2475"/>
      <c r="E78" s="652" t="s">
        <v>59</v>
      </c>
      <c r="F78" s="652" t="s">
        <v>107</v>
      </c>
      <c r="G78" s="653" t="s">
        <v>137</v>
      </c>
      <c r="H78" s="1174" t="s">
        <v>138</v>
      </c>
      <c r="I78" s="438"/>
      <c r="L78" s="216"/>
      <c r="M78" s="1972" t="str">
        <f t="shared" ref="M78:M87" ca="1" si="5">IFERROR(INDIRECT("O"&amp;(SMALL(P$78:P$87,ROW(P78)-ROW(P$78)+1))),"")</f>
        <v>Mehrarbeit (40igsteSTD)</v>
      </c>
      <c r="N78" s="1342">
        <f t="shared" ref="N78:N87" ca="1" si="6">IF(M78="","",ROW())</f>
        <v>78</v>
      </c>
      <c r="O78" s="1972" t="str">
        <f ca="1">IF(Stammdaten!A39=0,"",Stammdaten!A39)</f>
        <v>Mehrarbeit (40igsteSTD)</v>
      </c>
      <c r="P78" s="1965">
        <f t="shared" ref="P78:P86" ca="1" si="7">IF(O78="","",1*ROW())</f>
        <v>78</v>
      </c>
      <c r="Q78" s="1988" t="s">
        <v>688</v>
      </c>
      <c r="S78" s="1965"/>
      <c r="U78" s="1965"/>
    </row>
    <row r="79" spans="1:34" ht="17.850000000000001" customHeight="1" thickBot="1" x14ac:dyDescent="0.3">
      <c r="A79" s="2635" t="s">
        <v>529</v>
      </c>
      <c r="B79" s="2635"/>
      <c r="C79" s="2635"/>
      <c r="D79" s="2635"/>
      <c r="E79" s="651">
        <f ca="1">F79</f>
        <v>20</v>
      </c>
      <c r="F79" s="654">
        <f ca="1">' K3 PP'!O23</f>
        <v>20</v>
      </c>
      <c r="G79" s="655">
        <f ca="1">E79/F79</f>
        <v>1</v>
      </c>
      <c r="H79" s="1095" t="s">
        <v>100</v>
      </c>
      <c r="I79" s="438"/>
      <c r="L79" s="216"/>
      <c r="M79" s="1972" t="str">
        <f t="shared" ca="1" si="5"/>
        <v>Überstunde 50%</v>
      </c>
      <c r="N79" s="1342">
        <f t="shared" ca="1" si="6"/>
        <v>79</v>
      </c>
      <c r="O79" s="1972" t="str">
        <f ca="1">IF(Stammdaten!A40=0,"",Stammdaten!A40)</f>
        <v/>
      </c>
      <c r="P79" s="1965" t="str">
        <f t="shared" ca="1" si="7"/>
        <v/>
      </c>
      <c r="Q79" s="1988">
        <f>COLUMN()</f>
        <v>17</v>
      </c>
      <c r="S79" s="1965"/>
      <c r="T79" s="1989" t="s">
        <v>690</v>
      </c>
      <c r="U79" s="1989" t="s">
        <v>691</v>
      </c>
    </row>
    <row r="80" spans="1:34" ht="17.850000000000001" customHeight="1" thickBot="1" x14ac:dyDescent="0.3">
      <c r="A80" s="2475" t="s">
        <v>530</v>
      </c>
      <c r="B80" s="2475"/>
      <c r="C80" s="2475"/>
      <c r="D80" s="2475"/>
      <c r="E80" s="651">
        <f ca="1">' K3 PP'!O23+' K3 PP'!O24</f>
        <v>22.9</v>
      </c>
      <c r="F80" s="654">
        <f ca="1">F79</f>
        <v>20</v>
      </c>
      <c r="G80" s="655">
        <f ca="1">E80/F80</f>
        <v>1.145</v>
      </c>
      <c r="H80" s="1095" t="s">
        <v>100</v>
      </c>
      <c r="I80" s="438"/>
      <c r="L80" s="216"/>
      <c r="M80" s="1972" t="str">
        <f t="shared" ca="1" si="5"/>
        <v>Überstunde 100%</v>
      </c>
      <c r="N80" s="1342">
        <f t="shared" ca="1" si="6"/>
        <v>80</v>
      </c>
      <c r="O80" s="1972" t="str">
        <f ca="1">IF(Stammdaten!A41=0,"",Stammdaten!A41)</f>
        <v>Überstunde 50%</v>
      </c>
      <c r="P80" s="1965">
        <f t="shared" ca="1" si="7"/>
        <v>80</v>
      </c>
      <c r="Q80" s="1990" t="str">
        <f>IF(A90="","",A90)</f>
        <v>Überstunde 50%</v>
      </c>
      <c r="R80" s="1951">
        <f>IF(Q80="","",ROW())</f>
        <v>80</v>
      </c>
      <c r="S80" s="1991" t="str">
        <f ca="1">IFERROR(INDIRECT("Q"&amp;(SMALL(R$80:R$84,ROW(Q80)-ROW(Q$80)+1))),"")</f>
        <v>Überstunde 50%</v>
      </c>
      <c r="T80" s="1992">
        <f ca="1">IFERROR(VLOOKUP($S80,$A$90:$D$94,3,FALSE),"")</f>
        <v>2</v>
      </c>
      <c r="U80" s="1993">
        <f ca="1">IFERROR(VLOOKUP($S80,$A$90:$D$94,4,FALSE),"")</f>
        <v>0.5</v>
      </c>
    </row>
    <row r="81" spans="1:21" ht="17.850000000000001" customHeight="1" thickBot="1" x14ac:dyDescent="0.3">
      <c r="A81" s="2475" t="s">
        <v>531</v>
      </c>
      <c r="B81" s="2475"/>
      <c r="C81" s="2475"/>
      <c r="D81" s="2475"/>
      <c r="E81" s="651">
        <f ca="1">E82</f>
        <v>23.1</v>
      </c>
      <c r="F81" s="654">
        <f ca="1">F82</f>
        <v>20</v>
      </c>
      <c r="G81" s="655">
        <f ca="1">E81/F81</f>
        <v>1.155</v>
      </c>
      <c r="H81" s="1095" t="s">
        <v>100</v>
      </c>
      <c r="I81" s="438"/>
      <c r="L81" s="216"/>
      <c r="M81" s="1972" t="str">
        <f t="shared" ca="1" si="5"/>
        <v/>
      </c>
      <c r="N81" s="1342" t="str">
        <f t="shared" ca="1" si="6"/>
        <v/>
      </c>
      <c r="O81" s="1972" t="str">
        <f ca="1">IF(Stammdaten!A42=0,"",Stammdaten!A42)</f>
        <v>Überstunde 100%</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475" t="s">
        <v>532</v>
      </c>
      <c r="B82" s="2475"/>
      <c r="C82" s="2475"/>
      <c r="D82" s="2475"/>
      <c r="E82" s="651">
        <f ca="1">' K3 PP'!O23+' K3 PP'!O24+' K3 PP'!O25</f>
        <v>23.1</v>
      </c>
      <c r="F82" s="651">
        <f ca="1">F79</f>
        <v>20</v>
      </c>
      <c r="G82" s="655">
        <f ca="1">E82/F82</f>
        <v>1.155</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476"/>
      <c r="B83" s="2477"/>
      <c r="C83" s="2477"/>
      <c r="D83" s="2477"/>
      <c r="E83" s="2477"/>
      <c r="F83" s="2477"/>
      <c r="G83" s="2477"/>
      <c r="H83" s="2478"/>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543" t="s">
        <v>633</v>
      </c>
      <c r="B84" s="2543"/>
      <c r="C84" s="2543" t="s">
        <v>230</v>
      </c>
      <c r="D84" s="2543" t="s">
        <v>232</v>
      </c>
      <c r="E84" s="2704" t="s">
        <v>636</v>
      </c>
      <c r="F84" s="2457" t="s">
        <v>137</v>
      </c>
      <c r="G84" s="2543" t="s">
        <v>139</v>
      </c>
      <c r="H84" s="2502" t="s">
        <v>269</v>
      </c>
      <c r="I84" s="438"/>
      <c r="J84" s="2485"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85"/>
      <c r="L84" s="2486"/>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543"/>
      <c r="B85" s="2543"/>
      <c r="C85" s="2543"/>
      <c r="D85" s="2543"/>
      <c r="E85" s="2704"/>
      <c r="F85" s="2457"/>
      <c r="G85" s="2543"/>
      <c r="H85" s="2502"/>
      <c r="I85" s="438"/>
      <c r="J85" s="2485"/>
      <c r="K85" s="2485"/>
      <c r="L85" s="2486"/>
      <c r="M85" s="1972" t="str">
        <f t="shared" ca="1" si="5"/>
        <v/>
      </c>
      <c r="N85" s="1342" t="str">
        <f t="shared" ca="1" si="6"/>
        <v/>
      </c>
      <c r="O85" s="1972" t="str">
        <f ca="1">IF(Stammdaten!A46=0,"",Stammdaten!A46)</f>
        <v/>
      </c>
      <c r="P85" s="1965" t="str">
        <f t="shared" ca="1" si="7"/>
        <v/>
      </c>
    </row>
    <row r="86" spans="1:21" ht="17.850000000000001" customHeight="1" thickBot="1" x14ac:dyDescent="0.3">
      <c r="A86" s="2543"/>
      <c r="B86" s="2543"/>
      <c r="C86" s="2543"/>
      <c r="D86" s="2543"/>
      <c r="E86" s="2704"/>
      <c r="F86" s="2457"/>
      <c r="G86" s="2543"/>
      <c r="H86" s="2502"/>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876" t="s">
        <v>128</v>
      </c>
      <c r="B87" s="2876"/>
      <c r="C87" s="656">
        <f ca="1">IFERROR(Stammdaten!C37,"")</f>
        <v>39</v>
      </c>
      <c r="D87" s="657">
        <v>0</v>
      </c>
      <c r="E87" s="2704"/>
      <c r="F87" s="265"/>
      <c r="G87" s="265"/>
      <c r="H87" s="1176">
        <f ca="1">IFERROR(C87*D87,"")</f>
        <v>0</v>
      </c>
      <c r="I87" s="438"/>
      <c r="J87" s="2485" t="str">
        <f ca="1">IF(C87=0,"In den Stammdaten (Quelldatei) ist die KV-Arbeitszeit nicht eingetragen! Sie ist mit 0 Std übernommen! ÄNDERN!!","")</f>
        <v/>
      </c>
      <c r="K87" s="2485"/>
      <c r="L87" s="2486"/>
      <c r="M87" s="1972" t="str">
        <f t="shared" ca="1" si="5"/>
        <v/>
      </c>
      <c r="N87" s="1342" t="str">
        <f t="shared" ca="1" si="6"/>
        <v/>
      </c>
      <c r="O87" s="1972" t="str">
        <f>IF(Stammdaten!A48=0,"",Stammdaten!A48)</f>
        <v/>
      </c>
      <c r="P87" s="1342" t="str">
        <f t="shared" ref="P87" si="9">IF(O87="","",1*ROW())</f>
        <v/>
      </c>
    </row>
    <row r="88" spans="1:21" ht="17.850000000000001" customHeight="1" x14ac:dyDescent="0.25">
      <c r="A88" s="2536" t="s">
        <v>488</v>
      </c>
      <c r="B88" s="2536"/>
      <c r="C88" s="658"/>
      <c r="D88" s="658"/>
      <c r="E88" s="2704"/>
      <c r="F88" s="658"/>
      <c r="G88" s="658"/>
      <c r="H88" s="1177"/>
      <c r="I88" s="438"/>
      <c r="J88" s="2485"/>
      <c r="K88" s="2485"/>
      <c r="L88" s="2486"/>
      <c r="M88" s="1967" t="s">
        <v>568</v>
      </c>
      <c r="N88" s="1967">
        <f ca="1">MIN(N78:N87,ROW(M78))</f>
        <v>78</v>
      </c>
      <c r="O88" s="1967"/>
      <c r="P88" s="1967"/>
    </row>
    <row r="89" spans="1:21" ht="17.850000000000001" customHeight="1" x14ac:dyDescent="0.25">
      <c r="A89" s="2536"/>
      <c r="B89" s="2536"/>
      <c r="C89" s="1111"/>
      <c r="D89" s="658"/>
      <c r="E89" s="2704"/>
      <c r="F89" s="658"/>
      <c r="G89" s="658"/>
      <c r="H89" s="1177"/>
      <c r="I89" s="438"/>
      <c r="J89" s="2280" t="str">
        <f>IF(OR(E90&lt;&gt;E91,E91&lt;&gt;E92,E92&lt;&gt;E93,E93&lt;&gt;E94),"Hinweis: Unterschiedliche KZ vorhanden; prüfen ob korrekt!","")</f>
        <v/>
      </c>
      <c r="K89" s="2280"/>
      <c r="L89" s="2281"/>
      <c r="M89" s="1342" t="s">
        <v>569</v>
      </c>
      <c r="N89" s="1342">
        <f ca="1">MAX(N78:N87,ROW(M78))</f>
        <v>80</v>
      </c>
      <c r="T89" s="1342" t="s">
        <v>979</v>
      </c>
      <c r="U89" s="1342" t="s">
        <v>980</v>
      </c>
    </row>
    <row r="90" spans="1:21" ht="28.5" customHeight="1" x14ac:dyDescent="0.25">
      <c r="A90" s="2531" t="s">
        <v>934</v>
      </c>
      <c r="B90" s="2531"/>
      <c r="C90" s="335">
        <v>2</v>
      </c>
      <c r="D90" s="56">
        <f ca="1">IF(L$27="",IFERROR(IF(OR(ISBLANK(A90),A90=0),"",VLOOKUP(A90,Stammdaten!A$39:C$48,3,FALSE)),KALKULATION!$M$283),"ungültig")</f>
        <v>0.5</v>
      </c>
      <c r="E90" s="1123">
        <v>4</v>
      </c>
      <c r="F90" s="877">
        <f ca="1">IF(C90&gt;0,IF(E90=1,1,IF(E90=2,(E$80/F$80),IF(OR(E90=3,E90=4),(E$82/F$82),""))),"")</f>
        <v>1.155</v>
      </c>
      <c r="G90" s="877">
        <f>IF(C90&gt;0,IFERROR(IF(OR(E90=1,E90=2,E90=3),VLOOKUP(KALKULATION!A90,Stammdaten!A$39:C$48,2,FALSE),IF(E90=4,1,"")),""),"")</f>
        <v>1</v>
      </c>
      <c r="H90" s="1176">
        <f ca="1">IFERROR((C90*D90*F90*G90),"")</f>
        <v>1.155</v>
      </c>
      <c r="I90" s="438"/>
      <c r="J90" s="2178" t="str">
        <f ca="1">IF(OR(COUNTA(A90,C90,E90)=3,COUNTA(A90,C90,E90)=0,AND(COUNTA(A90,C90,E90)=1,E90&gt;0)),IF(D90=KALKULATION!M$283,"Auswahl erneut vornehmen (ungültiger Verweis)!",""),"Eingabe unvollständig (ergänzen oder löschen)!")</f>
        <v/>
      </c>
      <c r="K90" s="2178"/>
      <c r="L90" s="2179"/>
      <c r="T90" s="1979">
        <f ca="1">VLOOKUP(KALKULATION!A90,Stammdaten!A$39:C$48,2,FALSE)</f>
        <v>1</v>
      </c>
      <c r="U90" s="1950" t="str">
        <f ca="1">IF(AND(E90=4,T90&gt;1),1,"")</f>
        <v/>
      </c>
    </row>
    <row r="91" spans="1:21" ht="28.5" customHeight="1" x14ac:dyDescent="0.25">
      <c r="A91" s="2531"/>
      <c r="B91" s="2531"/>
      <c r="C91" s="335"/>
      <c r="D91" s="56" t="str">
        <f ca="1">IF(L$27="",IFERROR(IF(OR(ISBLANK(A91),A91=0),"",VLOOKUP(A91,Stammdaten!A$39:C$48,3,FALSE)),KALKULATION!$M$283),"ungültig")</f>
        <v/>
      </c>
      <c r="E91" s="352">
        <v>4</v>
      </c>
      <c r="F91" s="877" t="str">
        <f>IF(C91&gt;0,IF(E91=1,1,IF(E91=2,(E$80/F$80),IF(OR(E91=3,E91=4),(E$82/F$82),""))),"")</f>
        <v/>
      </c>
      <c r="G91" s="877" t="str">
        <f>IF(C91&gt;0,IFERROR(IF(OR(E91=1,E91=2,E91=3),VLOOKUP(KALKULATION!A91,Stammdaten!A$39:C$48,2,FALSE),IF(E91=4,1,"")),""),"")</f>
        <v/>
      </c>
      <c r="H91" s="1176" t="str">
        <f ca="1">IFERROR((C91*D91*F91*G91),"")</f>
        <v/>
      </c>
      <c r="I91" s="438"/>
      <c r="J91" s="2178" t="str">
        <f ca="1">IF(OR(COUNTA(A91,C91,E91)=3,COUNTA(A91,C91,E91)=0,AND(COUNTA(A91,C91,E91)=1,E91&gt;0)),IF(D91=KALKULATION!M$283,"Auswahl erneut vornehmen (ungültiger Verweis)!",""),"Eingabe unvollständig (ergänzen oder löschen)!")</f>
        <v/>
      </c>
      <c r="K91" s="2178"/>
      <c r="L91" s="2179"/>
      <c r="T91" s="1979">
        <f ca="1">VLOOKUP(KALKULATION!A91,Stammdaten!A$39:C$48,2,FALSE)</f>
        <v>0</v>
      </c>
      <c r="U91" s="1950" t="str">
        <f t="shared" ref="U91:U94" ca="1" si="10">IF(AND(E91=4,T91&gt;1),1,"")</f>
        <v/>
      </c>
    </row>
    <row r="92" spans="1:21" ht="28.5" customHeight="1" thickBot="1" x14ac:dyDescent="0.3">
      <c r="A92" s="2531"/>
      <c r="B92" s="2531"/>
      <c r="C92" s="335"/>
      <c r="D92" s="56" t="str">
        <f ca="1">IF(L$27="",IFERROR(IF(OR(ISBLANK(A92),A92=0),"",VLOOKUP(A92,Stammdaten!A$39:C$48,3,FALSE)),KALKULATION!$M$283),"ungültig")</f>
        <v/>
      </c>
      <c r="E92" s="352">
        <v>4</v>
      </c>
      <c r="F92" s="877" t="str">
        <f>IF(C92&gt;0,IF(E92=1,1,IF(E92=2,(E$80/F$80),IF(OR(E92=3,E92=4),(E$82/F$82),""))),"")</f>
        <v/>
      </c>
      <c r="G92" s="877" t="str">
        <f>IF(C92&gt;0,IFERROR(IF(OR(E92=1,E92=2,E92=3),VLOOKUP(KALKULATION!A92,Stammdaten!A$39:C$48,2,FALSE),IF(E92=4,1,"")),""),"")</f>
        <v/>
      </c>
      <c r="H92" s="1176" t="str">
        <f ca="1">IFERROR((C92*D92*F92*G92),"")</f>
        <v/>
      </c>
      <c r="I92" s="438"/>
      <c r="J92" s="2178" t="str">
        <f ca="1">IF(OR(COUNTA(A92,C92,E92)=3,COUNTA(A92,C92,E92)=0,AND(COUNTA(A92,C92,E92)=1,E92&gt;0)),IF(D92=KALKULATION!M$283,"Auswahl erneut vornehmen (ungültiger Verweis)!",""),"Eingabe unvollständig (ergänzen oder löschen)!")</f>
        <v/>
      </c>
      <c r="K92" s="2178"/>
      <c r="L92" s="2179"/>
      <c r="M92" s="1961" t="s">
        <v>573</v>
      </c>
      <c r="N92" s="1961" t="s">
        <v>570</v>
      </c>
      <c r="P92" s="1998" t="s">
        <v>1122</v>
      </c>
      <c r="T92" s="1979">
        <f ca="1">VLOOKUP(KALKULATION!A92,Stammdaten!A$39:C$48,2,FALSE)</f>
        <v>0</v>
      </c>
      <c r="U92" s="1950" t="str">
        <f t="shared" ca="1" si="10"/>
        <v/>
      </c>
    </row>
    <row r="93" spans="1:21" ht="28.5" customHeight="1" thickBot="1" x14ac:dyDescent="0.3">
      <c r="A93" s="2531"/>
      <c r="B93" s="2531"/>
      <c r="C93" s="335"/>
      <c r="D93" s="56" t="str">
        <f ca="1">IF(L$27="",IFERROR(IF(OR(ISBLANK(A93),A93=0),"",VLOOKUP(A93,Stammdaten!A$39:C$48,3,FALSE)),KALKULATION!$M$283),"ungültig")</f>
        <v/>
      </c>
      <c r="E93" s="352">
        <v>4</v>
      </c>
      <c r="F93" s="877" t="str">
        <f>IF(C93&gt;0,IF(E93=1,1,IF(E93=2,(E$80/F$80),IF(OR(E93=3,E93=4),(E$82/F$82),""))),"")</f>
        <v/>
      </c>
      <c r="G93" s="877" t="str">
        <f>IF(C93&gt;0,IFERROR(IF(OR(E93=1,E93=2,E93=3),VLOOKUP(KALKULATION!A93,Stammdaten!A$39:C$48,2,FALSE),IF(E93=4,1,"")),""),"")</f>
        <v/>
      </c>
      <c r="H93" s="1176" t="str">
        <f ca="1">IFERROR((C93*D93*F93*G93),"")</f>
        <v/>
      </c>
      <c r="I93" s="438"/>
      <c r="J93" s="2178" t="str">
        <f ca="1">IF(OR(COUNTA(A93,C93,E93)=3,COUNTA(A93,C93,E93)=0,AND(COUNTA(A93,C93,E93)=1,E93&gt;0)),IF(D93=KALKULATION!M$283,"Auswahl erneut vornehmen (ungültiger Verweis)!",""),"Eingabe unvollständig (ergänzen oder löschen)!")</f>
        <v/>
      </c>
      <c r="K93" s="2178"/>
      <c r="L93" s="2179"/>
      <c r="M93" s="1972" t="str">
        <f ca="1">IF(Stammdaten!A50=0,"",Stammdaten!A50)</f>
        <v/>
      </c>
      <c r="N93" s="1342" t="str">
        <f ca="1">IF(M93="","",1*ROW())</f>
        <v/>
      </c>
      <c r="P93" s="1999">
        <f ca="1">IFERROR(SUMPRODUCT(C90:C94,D90:D94)/SUM(C90:C94),0)</f>
        <v>0.5</v>
      </c>
      <c r="Q93" s="1999">
        <f ca="1">IFERROR(H95/SUM(C90:C94),0)</f>
        <v>0.57750000000000001</v>
      </c>
      <c r="T93" s="1979">
        <f ca="1">VLOOKUP(KALKULATION!A93,Stammdaten!A$39:C$48,2,FALSE)</f>
        <v>0</v>
      </c>
      <c r="U93" s="1950" t="str">
        <f t="shared" ca="1" si="10"/>
        <v/>
      </c>
    </row>
    <row r="94" spans="1:21" ht="28.5" customHeight="1" thickBot="1" x14ac:dyDescent="0.3">
      <c r="A94" s="2531"/>
      <c r="B94" s="2531"/>
      <c r="C94" s="335"/>
      <c r="D94" s="56" t="str">
        <f ca="1">IF(L$27="",IFERROR(IF(OR(ISBLANK(A94),A94=0),"",VLOOKUP(A94,Stammdaten!A$39:C$48,3,FALSE)),KALKULATION!$M$283),"ungültig")</f>
        <v/>
      </c>
      <c r="E94" s="352">
        <v>4</v>
      </c>
      <c r="F94" s="877" t="str">
        <f>IF(C94&gt;0,IF(E94=1,1,IF(E94=2,(E$80/F$80),IF(OR(E94=3,E94=4),(E$82/F$82),""))),"")</f>
        <v/>
      </c>
      <c r="G94" s="877" t="str">
        <f>IF(C94&gt;0,IFERROR(IF(OR(E94=1,E94=2,E94=3),VLOOKUP(KALKULATION!A94,Stammdaten!A$39:C$48,2,FALSE),IF(E94=4,1,"")),""),"")</f>
        <v/>
      </c>
      <c r="H94" s="1176" t="str">
        <f ca="1">IFERROR((C94*D94*F94*G94),"")</f>
        <v/>
      </c>
      <c r="I94" s="438"/>
      <c r="J94" s="2178" t="str">
        <f ca="1">IF(OR(COUNTA(A94,C94,E94)=3,COUNTA(A94,C94,E94)=0,AND(COUNTA(A94,C94,E94)=1,E94&gt;0)),IF(D94=KALKULATION!M$283,"Auswahl erneut vornehmen (ungültiger Verweis)!",""),"Eingabe unvollständig (ergänzen oder löschen)!")</f>
        <v/>
      </c>
      <c r="K94" s="2178"/>
      <c r="L94" s="2179"/>
      <c r="M94" s="1972" t="str">
        <f ca="1">IF(Stammdaten!A51=0,"",Stammdaten!A51)</f>
        <v/>
      </c>
      <c r="N94" s="1342" t="str">
        <f ca="1">IF(M94="","",1*ROW())</f>
        <v/>
      </c>
      <c r="P94" s="2000" t="s">
        <v>870</v>
      </c>
      <c r="Q94" s="2000" t="s">
        <v>869</v>
      </c>
      <c r="T94" s="1979">
        <f ca="1">VLOOKUP(KALKULATION!A94,Stammdaten!A$39:C$48,2,FALSE)</f>
        <v>0</v>
      </c>
      <c r="U94" s="1950" t="str">
        <f t="shared" ca="1" si="10"/>
        <v/>
      </c>
    </row>
    <row r="95" spans="1:21" ht="17.850000000000001" customHeight="1" thickBot="1" x14ac:dyDescent="0.3">
      <c r="A95" s="2637" t="s">
        <v>495</v>
      </c>
      <c r="B95" s="2638"/>
      <c r="C95" s="659">
        <f ca="1">IF(H77=_Nein,C87,IF(L$27="",C87+SUM(C90:C94),""))</f>
        <v>41</v>
      </c>
      <c r="D95" s="660" t="str">
        <f ca="1">"Ø "&amp;TEXT(P93,"0,00%")</f>
        <v>Ø 50,00%</v>
      </c>
      <c r="E95" s="658"/>
      <c r="F95" s="658"/>
      <c r="G95" s="660" t="s">
        <v>489</v>
      </c>
      <c r="H95" s="1176">
        <f ca="1">IF(H77="Nein",0,SUM(H90:H94))</f>
        <v>1.155</v>
      </c>
      <c r="I95" s="438"/>
      <c r="J95" s="2319" t="str">
        <f ca="1">IF(OR(C95&gt;Report!F9,C95&lt;Report!G9),"Hinweis: Wochenarbeitszeit (C1) liegt über bzw unter den Richtwerten gem Blatt REPORT! ","")</f>
        <v/>
      </c>
      <c r="K95" s="2319"/>
      <c r="L95" s="2320"/>
      <c r="M95" s="1972" t="str">
        <f ca="1">IF(Stammdaten!A52=0,"",Stammdaten!A52)</f>
        <v/>
      </c>
      <c r="N95" s="1342" t="str">
        <f ca="1">IF(M95="","",1*ROW())</f>
        <v/>
      </c>
      <c r="P95" s="2001"/>
      <c r="T95" s="1342" t="s">
        <v>56</v>
      </c>
      <c r="U95" s="2002">
        <f ca="1">SUM(U90:U94)</f>
        <v>0</v>
      </c>
    </row>
    <row r="96" spans="1:21" ht="17.850000000000001" customHeight="1" thickBot="1" x14ac:dyDescent="0.3">
      <c r="A96" s="2541"/>
      <c r="B96" s="2542"/>
      <c r="C96" s="2542"/>
      <c r="D96" s="2542"/>
      <c r="E96" s="2542"/>
      <c r="F96" s="2542"/>
      <c r="G96" s="2542"/>
      <c r="H96" s="2542"/>
      <c r="I96" s="438"/>
      <c r="J96" s="2319"/>
      <c r="K96" s="2319"/>
      <c r="L96" s="2320"/>
      <c r="M96" s="1972" t="str">
        <f ca="1">IF(Stammdaten!A53=0,"",Stammdaten!A53)</f>
        <v/>
      </c>
      <c r="N96" s="1342" t="str">
        <f ca="1">IF(M96="","",1*ROW())</f>
        <v/>
      </c>
    </row>
    <row r="97" spans="1:21" ht="20.100000000000001" customHeight="1" thickBot="1" x14ac:dyDescent="0.3">
      <c r="A97" s="2169" t="s">
        <v>807</v>
      </c>
      <c r="B97" s="2170"/>
      <c r="C97" s="2170"/>
      <c r="D97" s="2170"/>
      <c r="E97" s="2170"/>
      <c r="F97" s="2170"/>
      <c r="G97" s="2171"/>
      <c r="H97" s="579" t="s">
        <v>193</v>
      </c>
      <c r="I97" s="438"/>
      <c r="J97" s="2293" t="str">
        <f>IF(COUNTIF((C90:C94),0)&lt;&gt;0,"Hinweis zu C1: Eintragung von 0,00 Std vorhanden.","")</f>
        <v/>
      </c>
      <c r="K97" s="2293"/>
      <c r="L97" s="2294"/>
      <c r="M97" s="1972" t="str">
        <f ca="1">IF(Stammdaten!A54=0,"",Stammdaten!A54)</f>
        <v/>
      </c>
      <c r="N97" s="1342" t="str">
        <f ca="1">IF(M97="","",1*ROW())</f>
        <v/>
      </c>
    </row>
    <row r="98" spans="1:21" ht="17.850000000000001" customHeight="1" x14ac:dyDescent="0.25">
      <c r="A98" s="2532" t="s">
        <v>490</v>
      </c>
      <c r="B98" s="2533"/>
      <c r="C98" s="2300" t="s">
        <v>494</v>
      </c>
      <c r="D98" s="2300" t="s">
        <v>232</v>
      </c>
      <c r="E98" s="2300" t="s">
        <v>683</v>
      </c>
      <c r="F98" s="2640" t="s">
        <v>137</v>
      </c>
      <c r="G98" s="2300" t="s">
        <v>139</v>
      </c>
      <c r="H98" s="1178"/>
      <c r="I98" s="438"/>
      <c r="J98" s="2485"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85"/>
      <c r="L98" s="2486"/>
      <c r="M98" s="1972" t="str">
        <f>IF(Stammdaten!A55=0,"",Stammdaten!A55)</f>
        <v/>
      </c>
      <c r="N98" s="1342" t="str">
        <f t="shared" ref="N98" si="11">IF(M98="","",1*ROW())</f>
        <v/>
      </c>
    </row>
    <row r="99" spans="1:21" ht="17.850000000000001" customHeight="1" x14ac:dyDescent="0.25">
      <c r="A99" s="2534"/>
      <c r="B99" s="2535"/>
      <c r="C99" s="2482"/>
      <c r="D99" s="2482"/>
      <c r="E99" s="2482"/>
      <c r="F99" s="2641"/>
      <c r="G99" s="2482"/>
      <c r="H99" s="1179"/>
      <c r="I99" s="438"/>
      <c r="J99" s="2485"/>
      <c r="K99" s="2485"/>
      <c r="L99" s="2486"/>
      <c r="M99" s="1342" t="s">
        <v>568</v>
      </c>
      <c r="N99" s="1342">
        <f ca="1">MIN(N93:N98,ROW(M93))</f>
        <v>93</v>
      </c>
    </row>
    <row r="100" spans="1:21" ht="17.850000000000001" customHeight="1" thickBot="1" x14ac:dyDescent="0.3">
      <c r="A100" s="2483" t="s">
        <v>283</v>
      </c>
      <c r="B100" s="2484"/>
      <c r="C100" s="2301"/>
      <c r="D100" s="2301"/>
      <c r="E100" s="2301"/>
      <c r="F100" s="2642"/>
      <c r="G100" s="2301"/>
      <c r="H100" s="1180"/>
      <c r="I100" s="438"/>
      <c r="L100" s="216"/>
      <c r="M100" s="1342" t="s">
        <v>569</v>
      </c>
      <c r="N100" s="1342">
        <f ca="1">MAX(N93:N98,ROW(M93))</f>
        <v>93</v>
      </c>
    </row>
    <row r="101" spans="1:21" ht="28.5" customHeight="1" thickTop="1" x14ac:dyDescent="0.25">
      <c r="A101" s="2492"/>
      <c r="B101" s="2708"/>
      <c r="C101" s="334"/>
      <c r="D101" s="473" t="str">
        <f ca="1">IF(L$27="",IFERROR(IF(OR(ISBLANK(A101),A101=0),"",VLOOKUP(A101,Stammdaten!A$50:C$55,3,FALSE)),KALKULATION!$M$283),"ungültig")</f>
        <v/>
      </c>
      <c r="E101" s="559">
        <v>4</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78" t="str">
        <f ca="1">IF(OR(COUNTA(A101,C101,E101)=3,COUNTA(A101,C101,E101)=0,AND(COUNTA(A101,C101,E101)=1,E101&gt;0)),IF(D101=KALKULATION!$M$283,"Auswahl erneut vornehmen (ungültiger Verweis)!",""),"Eingabe unvollständig (ergänzen oder löschen)!")</f>
        <v/>
      </c>
      <c r="K101" s="2178"/>
      <c r="L101" s="2179"/>
      <c r="T101" s="1950">
        <f ca="1">VLOOKUP(KALKULATION!A101,Stammdaten!A$50:C$55,2,FALSE)</f>
        <v>0</v>
      </c>
      <c r="U101" s="1950" t="str">
        <f t="shared" ref="U101" ca="1" si="12">IF(AND(E101=4,T101&gt;1),1,"")</f>
        <v/>
      </c>
    </row>
    <row r="102" spans="1:21" ht="28.5" customHeight="1" x14ac:dyDescent="0.25">
      <c r="A102" s="2368"/>
      <c r="B102" s="2369"/>
      <c r="C102" s="335"/>
      <c r="D102" s="473" t="str">
        <f ca="1">IF(L$27="",IFERROR(IF(OR(ISBLANK(A102),A102=0),"",VLOOKUP(A102,Stammdaten!A$50:C$55,3,FALSE)),KALKULATION!$M$283),"ungültig")</f>
        <v/>
      </c>
      <c r="E102" s="351">
        <v>4</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78" t="str">
        <f ca="1">IF(OR(COUNTA(A102,C102,E102)=3,COUNTA(A102,C102,E102)=0,AND(COUNTA(A102,C102,E102)=1,E102&gt;0)),IF(D102=KALKULATION!$M$283,"Auswahl erneut vornehmen (ungültiger Verweis)!",""),"Eingabe unvollständig (ergänzen oder löschen)!")</f>
        <v/>
      </c>
      <c r="K102" s="2178"/>
      <c r="L102" s="2179"/>
      <c r="T102" s="1950">
        <f ca="1">VLOOKUP(KALKULATION!A102,Stammdaten!A$50:C$55,2,FALSE)</f>
        <v>0</v>
      </c>
      <c r="U102" s="1950" t="str">
        <f t="shared" ref="U102:U103" ca="1" si="13">IF(AND(E102=4,T102&gt;1),1,"")</f>
        <v/>
      </c>
    </row>
    <row r="103" spans="1:21" ht="28.5" customHeight="1" thickBot="1" x14ac:dyDescent="0.3">
      <c r="A103" s="2368"/>
      <c r="B103" s="2467"/>
      <c r="C103" s="335"/>
      <c r="D103" s="473" t="str">
        <f ca="1">IF(L$27="",IFERROR(IF(OR(ISBLANK(A103),A103=0),"",VLOOKUP(A103,Stammdaten!A$50:C$55,3,FALSE)),KALKULATION!$M$283),"ungültig")</f>
        <v/>
      </c>
      <c r="E103" s="352">
        <v>4</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78" t="str">
        <f ca="1">IF(OR(COUNTA(A103,C103,E103)=3,COUNTA(A103,C103,E103)=0,AND(COUNTA(A103,C103,E103)=1,E103&gt;0)),IF(D103=KALKULATION!$M$283,"Auswahl erneut vornehmen (ungültiger Verweis)!",""),"Eingabe unvollständig (ergänzen oder löschen)!")</f>
        <v/>
      </c>
      <c r="K103" s="2178"/>
      <c r="L103" s="2179"/>
      <c r="M103" s="1961" t="s">
        <v>572</v>
      </c>
      <c r="N103" s="1961" t="s">
        <v>570</v>
      </c>
      <c r="T103" s="1950">
        <f ca="1">VLOOKUP(KALKULATION!A103,Stammdaten!A$50:C$55,2,FALSE)</f>
        <v>0</v>
      </c>
      <c r="U103" s="1950" t="str">
        <f t="shared" ca="1" si="13"/>
        <v/>
      </c>
    </row>
    <row r="104" spans="1:21" ht="17.850000000000001" customHeight="1" thickBot="1" x14ac:dyDescent="0.3">
      <c r="A104" s="2532" t="s">
        <v>491</v>
      </c>
      <c r="B104" s="2533"/>
      <c r="C104" s="2436" t="s">
        <v>493</v>
      </c>
      <c r="D104" s="2436" t="s">
        <v>231</v>
      </c>
      <c r="E104" s="142"/>
      <c r="F104" s="2436" t="s">
        <v>253</v>
      </c>
      <c r="G104" s="2436" t="s">
        <v>254</v>
      </c>
      <c r="H104" s="2697"/>
      <c r="I104" s="438"/>
      <c r="L104" s="216"/>
      <c r="M104" s="1972" t="str">
        <f ca="1">IF(Stammdaten!A57=0,"",Stammdaten!A57)</f>
        <v/>
      </c>
      <c r="N104" s="1342" t="str">
        <f ca="1">IF(M104="","",1*ROW())</f>
        <v/>
      </c>
      <c r="U104" s="1342">
        <f ca="1">SUM(U101:U103)</f>
        <v>0</v>
      </c>
    </row>
    <row r="105" spans="1:21" ht="17.850000000000001" customHeight="1" thickBot="1" x14ac:dyDescent="0.3">
      <c r="A105" s="2534"/>
      <c r="B105" s="2535"/>
      <c r="C105" s="2437"/>
      <c r="D105" s="2437"/>
      <c r="E105" s="143"/>
      <c r="F105" s="2437"/>
      <c r="G105" s="2437"/>
      <c r="H105" s="2698"/>
      <c r="I105" s="438"/>
      <c r="L105" s="216"/>
      <c r="M105" s="1972" t="str">
        <f ca="1">IF(Stammdaten!A58=0,"",Stammdaten!A58)</f>
        <v/>
      </c>
      <c r="N105" s="1342" t="str">
        <f ca="1">IF(M105="","",1*ROW())</f>
        <v/>
      </c>
    </row>
    <row r="106" spans="1:21" ht="17.850000000000001" customHeight="1" thickBot="1" x14ac:dyDescent="0.3">
      <c r="A106" s="2483" t="s">
        <v>283</v>
      </c>
      <c r="B106" s="2484"/>
      <c r="C106" s="2438"/>
      <c r="D106" s="2438"/>
      <c r="E106" s="662"/>
      <c r="F106" s="2438"/>
      <c r="G106" s="2438"/>
      <c r="H106" s="2699"/>
      <c r="I106" s="438"/>
      <c r="L106" s="216"/>
      <c r="M106" s="1972" t="str">
        <f ca="1">IF(Stammdaten!A59=0,"",Stammdaten!A59)</f>
        <v/>
      </c>
      <c r="N106" s="1342" t="str">
        <f ca="1">IF(M106="","",1*ROW())</f>
        <v/>
      </c>
    </row>
    <row r="107" spans="1:21" ht="28.5" customHeight="1" thickTop="1" thickBot="1" x14ac:dyDescent="0.3">
      <c r="A107" s="2492"/>
      <c r="B107" s="2493"/>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68"/>
      <c r="B108" s="2467"/>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61"/>
      <c r="B109" s="2462"/>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0.57750000000000001</v>
      </c>
    </row>
    <row r="110" spans="1:21" ht="17.850000000000001" customHeight="1" x14ac:dyDescent="0.25">
      <c r="A110" s="2243" t="s">
        <v>862</v>
      </c>
      <c r="B110" s="2244"/>
      <c r="C110" s="2244"/>
      <c r="D110" s="1091" t="str">
        <f ca="1">"Ø "&amp;TEXT(P112,"0,00%")</f>
        <v>Ø 0,00%</v>
      </c>
      <c r="E110" s="2244" t="s">
        <v>492</v>
      </c>
      <c r="F110" s="2244"/>
      <c r="G110" s="2244"/>
      <c r="H110" s="933">
        <f>IF(H97="Nein",0,SUM(H101:H109))</f>
        <v>0</v>
      </c>
      <c r="I110" s="438"/>
      <c r="J110" s="2229" t="str">
        <f>IF(COUNTIF((C101:C109),0)&lt;&gt;0,"Hinweis: Eintragung von 0,00 bei Anzahl gefunden.","")</f>
        <v/>
      </c>
      <c r="K110" s="2229"/>
      <c r="L110" s="2230"/>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430" t="s">
        <v>741</v>
      </c>
      <c r="B111" s="2431"/>
      <c r="C111" s="2431"/>
      <c r="D111" s="2431"/>
      <c r="E111" s="2431"/>
      <c r="F111" s="2431"/>
      <c r="G111" s="2431"/>
      <c r="H111" s="2431"/>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489" t="s">
        <v>535</v>
      </c>
      <c r="B112" s="2172"/>
      <c r="C112" s="2172"/>
      <c r="D112" s="2172"/>
      <c r="E112" s="2172"/>
      <c r="F112" s="2172"/>
      <c r="G112" s="2172"/>
      <c r="H112" s="935">
        <f ca="1">SUM(H87,H95,H110)</f>
        <v>1.155</v>
      </c>
      <c r="I112" s="438"/>
      <c r="L112" s="216"/>
      <c r="O112" s="2004" t="s">
        <v>874</v>
      </c>
      <c r="P112" s="2009">
        <f ca="1">SUM(P110:P111)</f>
        <v>0</v>
      </c>
      <c r="Q112" s="2009">
        <f ca="1">SUM(Q110:Q111)</f>
        <v>0</v>
      </c>
    </row>
    <row r="113" spans="1:17" ht="17.850000000000001" customHeight="1" x14ac:dyDescent="0.25">
      <c r="A113" s="2490" t="str">
        <f ca="1">"Zwischenergebnis als Aufzahlungsprozentsatz pro Std bei "&amp;TEXT(C95,"0,00")&amp;" Std/Wo"</f>
        <v>Zwischenergebnis als Aufzahlungsprozentsatz pro Std bei 41,00 Std/Wo</v>
      </c>
      <c r="B113" s="2491"/>
      <c r="C113" s="2491"/>
      <c r="D113" s="2491"/>
      <c r="E113" s="2491"/>
      <c r="F113" s="2491"/>
      <c r="G113" s="2491"/>
      <c r="H113" s="932">
        <f ca="1">H112/C95</f>
        <v>2.8199999999999999E-2</v>
      </c>
      <c r="I113" s="438"/>
      <c r="L113" s="216"/>
      <c r="O113" s="2010" t="s">
        <v>871</v>
      </c>
      <c r="P113" s="2011">
        <f ca="1">SUM(P109,P112)</f>
        <v>0.5</v>
      </c>
      <c r="Q113" s="2011">
        <f ca="1">SUM(Q109,Q112)</f>
        <v>0.57750000000000001</v>
      </c>
    </row>
    <row r="114" spans="1:17" ht="17.850000000000001" customHeight="1" thickBot="1" x14ac:dyDescent="0.3">
      <c r="A114" s="2421" t="s">
        <v>739</v>
      </c>
      <c r="B114" s="2432"/>
      <c r="C114" s="2432"/>
      <c r="D114" s="2432"/>
      <c r="E114" s="2432"/>
      <c r="F114" s="2432"/>
      <c r="G114" s="2432"/>
      <c r="H114" s="936"/>
      <c r="I114" s="578" t="str">
        <f>IF(H114&lt;&gt;0,"X","")</f>
        <v/>
      </c>
      <c r="J114" s="2433" t="str">
        <f>IF(AND(H114&lt;&gt;0,H97="Nein",H77="Nein"),"Hinweis: Ohne Kalkulation sollte keine Eingabe erfolgen! Im REPORT kann diese Eingabe nicht erfasst werden.","")</f>
        <v/>
      </c>
      <c r="K114" s="2433"/>
      <c r="L114" s="2434"/>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€ 0,58 pro Std) bzw in %</v>
      </c>
      <c r="B115" s="72"/>
      <c r="C115" s="72"/>
      <c r="D115" s="47"/>
      <c r="E115" s="72"/>
      <c r="F115" s="72"/>
      <c r="G115" s="1886" t="s">
        <v>1108</v>
      </c>
      <c r="H115" s="934">
        <f ca="1">IF(H113=0,0,IF(G115=Q35,ROUNDUP(SUM(H113:H114),3),SUM(H113:H114)))</f>
        <v>2.9000000000000001E-2</v>
      </c>
      <c r="I115" s="438"/>
      <c r="J115" s="2433"/>
      <c r="K115" s="2433"/>
      <c r="L115" s="2434"/>
    </row>
    <row r="116" spans="1:17" ht="20.100000000000001" customHeight="1" x14ac:dyDescent="0.25">
      <c r="A116" s="2317" t="str">
        <f ca="1">A74</f>
        <v>Info: KV &amp; up.Z: 20,00€ | abgabepfl. Pers.ko: 26,00€ | vor Uml: 53,00€ | KOSTEN: 59,64€ | PREIS: 76,94€</v>
      </c>
      <c r="B116" s="2318"/>
      <c r="C116" s="2318"/>
      <c r="D116" s="2318"/>
      <c r="E116" s="2318"/>
      <c r="F116" s="2318"/>
      <c r="G116" s="2318"/>
      <c r="H116" s="2318"/>
      <c r="I116" s="438"/>
      <c r="J116" s="2884" t="str">
        <f ca="1">IF(AND(H113=0,H114&lt;&gt;0),"Zu C3.a: Keine Anpassung ohne Grundkalkulation (bzw Wert =0)!","")</f>
        <v/>
      </c>
      <c r="K116" s="2884"/>
      <c r="L116" s="2885"/>
    </row>
    <row r="117" spans="1:17" ht="17.25" customHeight="1" x14ac:dyDescent="0.25">
      <c r="A117" s="2351"/>
      <c r="B117" s="2352"/>
      <c r="C117" s="2352"/>
      <c r="D117" s="2352"/>
      <c r="E117" s="2352"/>
      <c r="F117" s="2352"/>
      <c r="G117" s="2352"/>
      <c r="H117" s="2352"/>
      <c r="I117" s="2352"/>
      <c r="L117" s="216"/>
    </row>
    <row r="118" spans="1:17" ht="25.15" customHeight="1" thickBot="1" x14ac:dyDescent="0.3">
      <c r="A118" s="2223" t="s">
        <v>496</v>
      </c>
      <c r="B118" s="2224"/>
      <c r="C118" s="2224"/>
      <c r="D118" s="2224"/>
      <c r="E118" s="2224"/>
      <c r="F118" s="2224"/>
      <c r="G118" s="2224"/>
      <c r="H118" s="2224"/>
      <c r="I118" s="438"/>
      <c r="L118" s="216"/>
      <c r="M118" s="1961" t="s">
        <v>574</v>
      </c>
      <c r="N118" s="1961" t="s">
        <v>570</v>
      </c>
      <c r="O118" s="1961"/>
      <c r="P118" s="1961"/>
    </row>
    <row r="119" spans="1:17" ht="20.100000000000001" customHeight="1" thickBot="1" x14ac:dyDescent="0.3">
      <c r="A119" s="2511" t="s">
        <v>497</v>
      </c>
      <c r="B119" s="2512"/>
      <c r="C119" s="2512"/>
      <c r="D119" s="2512"/>
      <c r="E119" s="2512"/>
      <c r="F119" s="2512"/>
      <c r="G119" s="2512"/>
      <c r="H119" s="2512"/>
      <c r="I119" s="438"/>
      <c r="L119" s="216"/>
      <c r="M119" s="1972" t="str">
        <f t="shared" ref="M119:M145" ca="1" si="15">IFERROR(INDIRECT("O"&amp;(SMALL(P$119:P$145,ROW(P119)-ROW(P$119)+1))),"")</f>
        <v>Akkordzul. Helfer (OÖ+W)</v>
      </c>
      <c r="N119" s="1342">
        <f t="shared" ref="N119:N145" ca="1" si="16">IF(M119="","",ROW())</f>
        <v>119</v>
      </c>
      <c r="O119" s="1972" t="str">
        <f ca="1">IF(Stammdaten!A70=0,"",Stammdaten!A70)</f>
        <v>Akkordzul. Helfer (OÖ+W)</v>
      </c>
      <c r="P119" s="1342">
        <f t="shared" ref="P119:P144" ca="1" si="17">IF(O119="","",1*ROW())</f>
        <v>119</v>
      </c>
    </row>
    <row r="120" spans="1:17" ht="16.5" thickBot="1" x14ac:dyDescent="0.3">
      <c r="A120" s="2802" t="s">
        <v>604</v>
      </c>
      <c r="B120" s="2803"/>
      <c r="C120" s="2300" t="s">
        <v>599</v>
      </c>
      <c r="D120" s="2300" t="s">
        <v>600</v>
      </c>
      <c r="E120" s="2798" t="s">
        <v>601</v>
      </c>
      <c r="F120" s="2799"/>
      <c r="G120" s="2798" t="s">
        <v>602</v>
      </c>
      <c r="H120" s="2799"/>
      <c r="I120" s="438"/>
      <c r="L120" s="216"/>
      <c r="M120" s="1972" t="str">
        <f t="shared" ca="1" si="15"/>
        <v>Akkordzul. Helfer (Stmk)</v>
      </c>
      <c r="N120" s="1342">
        <f t="shared" ca="1" si="16"/>
        <v>120</v>
      </c>
      <c r="O120" s="1972" t="str">
        <f ca="1">IF(Stammdaten!A71=0,"",Stammdaten!A71)</f>
        <v>Akkordzul. Helfer (Stmk)</v>
      </c>
      <c r="P120" s="1342">
        <f t="shared" ca="1" si="17"/>
        <v>120</v>
      </c>
    </row>
    <row r="121" spans="1:17" ht="16.149999999999999" customHeight="1" thickBot="1" x14ac:dyDescent="0.3">
      <c r="A121" s="2804"/>
      <c r="B121" s="2805"/>
      <c r="C121" s="2482"/>
      <c r="D121" s="2482"/>
      <c r="E121" s="2800" t="s">
        <v>100</v>
      </c>
      <c r="F121" s="2196" t="s">
        <v>603</v>
      </c>
      <c r="G121" s="2800" t="s">
        <v>100</v>
      </c>
      <c r="H121" s="2125" t="s">
        <v>603</v>
      </c>
      <c r="I121" s="438"/>
      <c r="L121" s="216"/>
      <c r="M121" s="1972" t="str">
        <f t="shared" ca="1" si="15"/>
        <v/>
      </c>
      <c r="N121" s="1342" t="str">
        <f t="shared" ca="1" si="16"/>
        <v/>
      </c>
      <c r="O121" s="1972" t="str">
        <f ca="1">IF(Stammdaten!A72=0,"",Stammdaten!A72)</f>
        <v/>
      </c>
      <c r="P121" s="1342" t="str">
        <f t="shared" ca="1" si="17"/>
        <v/>
      </c>
    </row>
    <row r="122" spans="1:17" ht="16.5" thickBot="1" x14ac:dyDescent="0.3">
      <c r="A122" s="2718" t="s">
        <v>318</v>
      </c>
      <c r="B122" s="2719"/>
      <c r="C122" s="2301"/>
      <c r="D122" s="2301"/>
      <c r="E122" s="2801"/>
      <c r="F122" s="2198"/>
      <c r="G122" s="2801"/>
      <c r="H122" s="2127"/>
      <c r="I122" s="438"/>
      <c r="L122" s="216"/>
      <c r="M122" s="1972" t="str">
        <f t="shared" ca="1" si="15"/>
        <v/>
      </c>
      <c r="N122" s="1342" t="str">
        <f t="shared" ca="1" si="16"/>
        <v/>
      </c>
      <c r="O122" s="1972" t="str">
        <f ca="1">IF(Stammdaten!A73=0,"",Stammdaten!A73)</f>
        <v/>
      </c>
      <c r="P122" s="1342" t="str">
        <f t="shared" ca="1" si="17"/>
        <v/>
      </c>
    </row>
    <row r="123" spans="1:17" ht="28.5" customHeight="1" thickTop="1" thickBot="1" x14ac:dyDescent="0.3">
      <c r="A123" s="2492"/>
      <c r="B123" s="2708"/>
      <c r="C123" s="329"/>
      <c r="D123" s="329"/>
      <c r="E123" s="136" t="str">
        <f ca="1">IF(L$27="",IF(ISBLANK(A123),"",IFERROR(VLOOKUP(A123,Stammdaten!$A$70:$C$96,3,FALSE),KALKULATION!$M$283)),"ungültig")</f>
        <v/>
      </c>
      <c r="F123" s="137" t="str">
        <f t="shared" ref="F123:F129" ca="1" si="18">IFERROR(C123*D123*E123,"")</f>
        <v/>
      </c>
      <c r="G123" s="138">
        <f ca="1">IFERROR(VLOOKUP(A123,Stammdaten!$A$70:$C$96,2,FALSE),"")</f>
        <v>0</v>
      </c>
      <c r="H123" s="937">
        <f t="shared" ref="H123:H129" ca="1" si="19">IFERROR(C123*D123*G123,"")</f>
        <v>0</v>
      </c>
      <c r="I123" s="438"/>
      <c r="J123" s="1329" t="str">
        <f>IF(C123&lt;&gt;0,"Info (A): Betriff "&amp;TEXT(C123*E$61,"0,0")&amp;" von "&amp;TEXT(E$61,"0,0")&amp;" prod. Personen.","")</f>
        <v/>
      </c>
      <c r="K123" s="2178" t="str">
        <f ca="1">IF(OR(COUNTA(A123,C123,D123)=3,COUNTA(A123,C123,D123)=0),IF(E123=KALKULATION!$M$283,"Auswahl erneut vornehmen (ungültiger Verweis)!",IF(AND(A123&lt;&gt;"",SUM(F123,H123)=0),"Wert in Spalte A oder B ist (nahe) 0; kein Ergebnis!","")),"Eingabe unvollständig (ergänzen oder löschen)!")</f>
        <v/>
      </c>
      <c r="L123" s="2179"/>
      <c r="M123" s="1972" t="str">
        <f t="shared" ca="1" si="15"/>
        <v/>
      </c>
      <c r="N123" s="1342" t="str">
        <f t="shared" ca="1" si="16"/>
        <v/>
      </c>
      <c r="O123" s="1972" t="str">
        <f ca="1">IF(Stammdaten!A74=0,"",Stammdaten!A74)</f>
        <v/>
      </c>
      <c r="P123" s="1342" t="str">
        <f t="shared" ca="1" si="17"/>
        <v/>
      </c>
    </row>
    <row r="124" spans="1:17" ht="28.5" customHeight="1" thickBot="1" x14ac:dyDescent="0.3">
      <c r="A124" s="2368"/>
      <c r="B124" s="2467"/>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78" t="str">
        <f ca="1">IF(OR(COUNTA(A124,C124,D124)=3,COUNTA(A124,C124,D124)=0),IF(E124=KALKULATION!$M$283,"Auswahl erneut vornehmen (ungültiger Verweis)!",IF(AND(A124&lt;&gt;"",SUM(F124,H124)=0),"Wert in Spalte A oder B ist (nahe) 0; kein Ergebnis!","")),"Eingabe unvollständig (ergänzen oder löschen)!")</f>
        <v/>
      </c>
      <c r="L124" s="2179"/>
      <c r="M124" s="1972" t="str">
        <f t="shared" ca="1" si="15"/>
        <v/>
      </c>
      <c r="N124" s="1342" t="str">
        <f t="shared" ca="1" si="16"/>
        <v/>
      </c>
      <c r="O124" s="1972" t="str">
        <f ca="1">IF(Stammdaten!A75=0,"",Stammdaten!A75)</f>
        <v/>
      </c>
      <c r="P124" s="1342" t="str">
        <f t="shared" ca="1" si="17"/>
        <v/>
      </c>
    </row>
    <row r="125" spans="1:17" ht="28.5" customHeight="1" thickBot="1" x14ac:dyDescent="0.3">
      <c r="A125" s="2368"/>
      <c r="B125" s="2467"/>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78" t="str">
        <f ca="1">IF(OR(COUNTA(A125,C125,D125)=3,COUNTA(A125,C125,D125)=0),IF(E125=KALKULATION!$M$283,"Auswahl erneut vornehmen (ungültiger Verweis)!",IF(AND(A125&lt;&gt;"",SUM(F125,H125)=0),"Wert in Spalte A oder B ist (nahe) 0; kein Ergebnis!","")),"Eingabe unvollständig (ergänzen oder löschen)!")</f>
        <v/>
      </c>
      <c r="L125" s="2179"/>
      <c r="M125" s="1972" t="str">
        <f t="shared" ca="1" si="15"/>
        <v/>
      </c>
      <c r="N125" s="1342" t="str">
        <f t="shared" ca="1" si="16"/>
        <v/>
      </c>
      <c r="O125" s="1972" t="str">
        <f ca="1">IF(Stammdaten!A76=0,"",Stammdaten!A76)</f>
        <v/>
      </c>
      <c r="P125" s="1342" t="str">
        <f t="shared" ca="1" si="17"/>
        <v/>
      </c>
    </row>
    <row r="126" spans="1:17" ht="28.5" customHeight="1" thickBot="1" x14ac:dyDescent="0.3">
      <c r="A126" s="2368"/>
      <c r="B126" s="2467"/>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78" t="str">
        <f ca="1">IF(OR(COUNTA(A126,C126,D126)=3,COUNTA(A126,C126,D126)=0),IF(E126=KALKULATION!$M$283,"Auswahl erneut vornehmen (ungültiger Verweis)!",IF(AND(A126&lt;&gt;"",SUM(F126,H126)=0),"Wert in Spalte A oder B ist (nahe) 0; kein Ergebnis!","")),"Eingabe unvollständig (ergänzen oder löschen)!")</f>
        <v/>
      </c>
      <c r="L126" s="2179"/>
      <c r="M126" s="1972" t="str">
        <f t="shared" ca="1" si="15"/>
        <v/>
      </c>
      <c r="N126" s="1342" t="str">
        <f t="shared" ca="1" si="16"/>
        <v/>
      </c>
      <c r="O126" s="1972" t="str">
        <f ca="1">IF(Stammdaten!A77=0,"",Stammdaten!A77)</f>
        <v/>
      </c>
      <c r="P126" s="1342" t="str">
        <f t="shared" ca="1" si="17"/>
        <v/>
      </c>
    </row>
    <row r="127" spans="1:17" ht="28.5" customHeight="1" thickBot="1" x14ac:dyDescent="0.3">
      <c r="A127" s="2368"/>
      <c r="B127" s="2467"/>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78" t="str">
        <f ca="1">IF(OR(COUNTA(A127,C127,D127)=3,COUNTA(A127,C127,D127)=0),IF(E127=KALKULATION!$M$283,"Auswahl erneut vornehmen (ungültiger Verweis)!",IF(AND(A127&lt;&gt;"",SUM(F127,H127)=0),"Wert in Spalte A oder B ist (nahe) 0; kein Ergebnis!","")),"Eingabe unvollständig (ergänzen oder löschen)!")</f>
        <v/>
      </c>
      <c r="L127" s="2179"/>
      <c r="M127" s="1972" t="str">
        <f t="shared" ca="1" si="15"/>
        <v/>
      </c>
      <c r="N127" s="1342" t="str">
        <f t="shared" ca="1" si="16"/>
        <v/>
      </c>
      <c r="O127" s="1972" t="str">
        <f ca="1">IF(Stammdaten!A78=0,"",Stammdaten!A78)</f>
        <v/>
      </c>
      <c r="P127" s="1342" t="str">
        <f t="shared" ca="1" si="17"/>
        <v/>
      </c>
    </row>
    <row r="128" spans="1:17" ht="28.5" customHeight="1" thickBot="1" x14ac:dyDescent="0.3">
      <c r="A128" s="2368"/>
      <c r="B128" s="2467"/>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78" t="str">
        <f ca="1">IF(OR(COUNTA(A128,C128,D128)=3,COUNTA(A128,C128,D128)=0),IF(E128=KALKULATION!$M$283,"Auswahl erneut vornehmen (ungültiger Verweis)!",IF(AND(A128&lt;&gt;"",SUM(F128,H128)=0),"Wert in Spalte A oder B ist (nahe) 0; kein Ergebnis!","")),"Eingabe unvollständig (ergänzen oder löschen)!")</f>
        <v/>
      </c>
      <c r="L128" s="2179"/>
      <c r="M128" s="1972" t="str">
        <f t="shared" ca="1" si="15"/>
        <v/>
      </c>
      <c r="N128" s="1342" t="str">
        <f t="shared" ca="1" si="16"/>
        <v/>
      </c>
      <c r="O128" s="1972" t="str">
        <f ca="1">IF(Stammdaten!A79=0,"",Stammdaten!A79)</f>
        <v/>
      </c>
      <c r="P128" s="1342" t="str">
        <f t="shared" ca="1" si="17"/>
        <v/>
      </c>
    </row>
    <row r="129" spans="1:16" ht="28.5" customHeight="1" thickBot="1" x14ac:dyDescent="0.3">
      <c r="A129" s="2461"/>
      <c r="B129" s="2462"/>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78" t="str">
        <f ca="1">IF(OR(COUNTA(A129,C129,D129)=3,COUNTA(A129,C129,D129)=0),IF(E129=KALKULATION!$M$283,"Auswahl erneut vornehmen (ungültiger Verweis)!",IF(AND(A129&lt;&gt;"",SUM(F129,H129)=0),"Wert in Spalte A oder B ist (nahe) 0; kein Ergebnis!","")),"Eingabe unvollständig (ergänzen oder löschen)!")</f>
        <v/>
      </c>
      <c r="L129" s="2179"/>
      <c r="M129" s="1972" t="str">
        <f t="shared" ca="1" si="15"/>
        <v/>
      </c>
      <c r="N129" s="1342" t="str">
        <f t="shared" ca="1" si="16"/>
        <v/>
      </c>
      <c r="O129" s="1972" t="str">
        <f ca="1">IF(Stammdaten!A80=0,"",Stammdaten!A80)</f>
        <v/>
      </c>
      <c r="P129" s="1342" t="str">
        <f t="shared" ca="1" si="17"/>
        <v/>
      </c>
    </row>
    <row r="130" spans="1:16" ht="17.850000000000001" customHeight="1" thickBot="1" x14ac:dyDescent="0.3">
      <c r="A130" s="2361" t="s">
        <v>919</v>
      </c>
      <c r="B130" s="2362"/>
      <c r="C130" s="2362"/>
      <c r="D130" s="2363"/>
      <c r="E130" s="344"/>
      <c r="F130" s="214">
        <f ca="1">SUM(F123:F129)</f>
        <v>0</v>
      </c>
      <c r="G130" s="344"/>
      <c r="H130" s="940">
        <f ca="1">SUM(H123:H129)</f>
        <v>0</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548" t="s">
        <v>983</v>
      </c>
      <c r="B131" s="2549"/>
      <c r="C131" s="2549"/>
      <c r="D131" s="2440"/>
      <c r="E131" s="2441"/>
      <c r="F131" s="559" t="s">
        <v>107</v>
      </c>
      <c r="G131" s="869">
        <f>IFERROR(IF(F131=_KV_AKV_Entg.,G$80,1),"")</f>
        <v>1</v>
      </c>
      <c r="H131" s="937">
        <f ca="1">IFERROR(G131*H130,"")</f>
        <v>0</v>
      </c>
      <c r="I131" s="577"/>
      <c r="J131" s="2176" t="str">
        <f>IF(ISBLANK(F131),"Auswahl vornehmen!","")</f>
        <v/>
      </c>
      <c r="K131" s="2176"/>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507" t="s">
        <v>132</v>
      </c>
      <c r="E132" s="2508"/>
      <c r="F132" s="198">
        <f ca="1">SUM(F123:F129)</f>
        <v>0</v>
      </c>
      <c r="G132" s="2749"/>
      <c r="H132" s="2527">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548" t="s">
        <v>120</v>
      </c>
      <c r="E133" s="2549"/>
      <c r="F133" s="197">
        <f ca="1">G45</f>
        <v>18</v>
      </c>
      <c r="G133" s="2530"/>
      <c r="H133" s="2528"/>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496" t="s">
        <v>755</v>
      </c>
      <c r="B134" s="2497"/>
      <c r="C134" s="2497"/>
      <c r="D134" s="2497"/>
      <c r="E134" s="2497"/>
      <c r="F134" s="2362" t="str">
        <f ca="1">IF(H138=0,"","(inkl "&amp;TEXT(H138,"0,00%")&amp;" aus D1.b1)")</f>
        <v/>
      </c>
      <c r="G134" s="2362"/>
      <c r="H134" s="1036">
        <f ca="1">IF(_OK?="OK!",SUM(H131:H133,H138),ROUND(SUM(H131:H133,H138,0.01),2))</f>
        <v>0.01</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67" t="str">
        <f ca="1">IF(AND(H130=0,F137&lt;&gt;0),"Hinweis zu D1.b: Da in D1.a keine Zulage in % gewählt ist, bitte prüfen, ob die Einstellung für die Basis mit ["&amp;F131&amp;"] in D1.a1 korrekt ist. Sie wird für D1.b übernommen.","")</f>
        <v/>
      </c>
      <c r="L135" s="2168"/>
      <c r="M135" s="1972" t="str">
        <f t="shared" ca="1" si="15"/>
        <v/>
      </c>
      <c r="N135" s="1342" t="str">
        <f t="shared" ca="1" si="16"/>
        <v/>
      </c>
      <c r="O135" s="1972" t="str">
        <f ca="1">IF(Stammdaten!A86=0,"",Stammdaten!A86)</f>
        <v/>
      </c>
      <c r="P135" s="1342" t="str">
        <f t="shared" ca="1" si="17"/>
        <v/>
      </c>
    </row>
    <row r="136" spans="1:16" ht="17.850000000000001" customHeight="1" thickBot="1" x14ac:dyDescent="0.3">
      <c r="A136" s="2509" t="s">
        <v>318</v>
      </c>
      <c r="B136" s="2510"/>
      <c r="C136" s="343" t="s">
        <v>6</v>
      </c>
      <c r="D136" s="343" t="s">
        <v>7</v>
      </c>
      <c r="E136" s="942" t="s">
        <v>914</v>
      </c>
      <c r="F136" s="942" t="s">
        <v>915</v>
      </c>
      <c r="G136" s="2428" t="s">
        <v>916</v>
      </c>
      <c r="H136" s="2429"/>
      <c r="I136" s="438"/>
      <c r="K136" s="2167"/>
      <c r="L136" s="2168"/>
      <c r="M136" s="1972" t="str">
        <f t="shared" ca="1" si="15"/>
        <v/>
      </c>
      <c r="N136" s="1342" t="str">
        <f t="shared" ca="1" si="16"/>
        <v/>
      </c>
      <c r="O136" s="1972" t="str">
        <f ca="1">IF(Stammdaten!A87=0,"",Stammdaten!A87)</f>
        <v/>
      </c>
      <c r="P136" s="1342" t="str">
        <f t="shared" ca="1" si="17"/>
        <v/>
      </c>
    </row>
    <row r="137" spans="1:16" ht="28.5" customHeight="1" thickTop="1" thickBot="1" x14ac:dyDescent="0.3">
      <c r="A137" s="2185"/>
      <c r="B137" s="2186"/>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167"/>
      <c r="L137" s="2168"/>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969</v>
      </c>
      <c r="B138" s="1001"/>
      <c r="C138" s="1001"/>
      <c r="D138" s="67"/>
      <c r="E138" s="865" t="s">
        <v>917</v>
      </c>
      <c r="F138" s="337">
        <v>0.3</v>
      </c>
      <c r="G138" s="67" t="s">
        <v>918</v>
      </c>
      <c r="H138" s="1128">
        <f ca="1">IFERROR(F138*H137,"")</f>
        <v>0</v>
      </c>
      <c r="I138" s="438"/>
      <c r="J138" s="2178" t="str">
        <f ca="1">IF(OR(COUNTA(A137,C137,D137)=3,COUNTA(A137,C137,D137)=0),IF(E137=KALKULATION!$M$283,"Auswahl oben erneut vornehmen (ungültiger Verweis)!",IF(AND(A137&lt;&gt;"",SUM(H137)=0),"Wert in Spalte A oder B ist (nahe) 0; kein Ergebnis!","")),"Eingabe oben unvollständig (ergänzen oder löschen)!")</f>
        <v/>
      </c>
      <c r="K138" s="2178"/>
      <c r="L138" s="2179"/>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1085</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503"/>
      <c r="B140" s="2504"/>
      <c r="C140" s="2504"/>
      <c r="D140" s="2504"/>
      <c r="E140" s="2504"/>
      <c r="F140" s="2504"/>
      <c r="G140" s="2504"/>
      <c r="H140" s="2504"/>
      <c r="I140" s="438"/>
      <c r="J140" s="2646" t="str">
        <f ca="1">IF(AND(H142="",SUM(E55)&gt;0),"Auswahl für die Kalkulation der Zulagen treffen!","")</f>
        <v/>
      </c>
      <c r="K140" s="2646"/>
      <c r="L140" s="2647"/>
      <c r="M140" s="1972" t="str">
        <f t="shared" ca="1" si="15"/>
        <v/>
      </c>
      <c r="N140" s="1342" t="str">
        <f t="shared" ca="1" si="16"/>
        <v/>
      </c>
      <c r="O140" s="1972" t="str">
        <f ca="1">IF(Stammdaten!A91=0,"",Stammdaten!A91)</f>
        <v/>
      </c>
      <c r="P140" s="1342" t="str">
        <f t="shared" ca="1" si="17"/>
        <v/>
      </c>
    </row>
    <row r="141" spans="1:16" ht="20.100000000000001" customHeight="1" thickBot="1" x14ac:dyDescent="0.3">
      <c r="A141" s="2515" t="s">
        <v>498</v>
      </c>
      <c r="B141" s="2516"/>
      <c r="C141" s="2516"/>
      <c r="D141" s="2516"/>
      <c r="E141" s="2514" t="str">
        <f ca="1">(IF(SUM($E$55)=0,"Info: In B2.a kein unproduktives Personal angesetzt.",""))</f>
        <v/>
      </c>
      <c r="F141" s="2514"/>
      <c r="G141" s="2514"/>
      <c r="H141" s="2514"/>
      <c r="I141" s="2514"/>
      <c r="J141" s="2646"/>
      <c r="K141" s="2646"/>
      <c r="L141" s="2647"/>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51" t="s">
        <v>605</v>
      </c>
      <c r="B142" s="2452"/>
      <c r="C142" s="2452"/>
      <c r="D142" s="2452"/>
      <c r="E142" s="2453"/>
      <c r="F142" s="2453"/>
      <c r="G142" s="2454"/>
      <c r="H142" s="1215" t="s">
        <v>331</v>
      </c>
      <c r="I142" s="438"/>
      <c r="J142" s="2319"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19"/>
      <c r="L142" s="2320"/>
      <c r="M142" s="1972" t="str">
        <f t="shared" ca="1" si="15"/>
        <v/>
      </c>
      <c r="N142" s="1342" t="str">
        <f t="shared" ca="1" si="16"/>
        <v/>
      </c>
      <c r="O142" s="1972" t="str">
        <f ca="1">IF(Stammdaten!A93=0,"",Stammdaten!A93)</f>
        <v/>
      </c>
      <c r="P142" s="1342" t="str">
        <f t="shared" ca="1" si="17"/>
        <v/>
      </c>
    </row>
    <row r="143" spans="1:16" ht="17.45" customHeight="1" thickBot="1" x14ac:dyDescent="0.3">
      <c r="A143" s="2519" t="str">
        <f>IF(H142="INDIV","D2.b) Zulagen für unproduktiv (dispositiv) tätiges Personal.
Zulagen wählen: ↓","D2.b) Keine individuelle Berücksichtigung der Zulagen; ggf Auswahl ändern.")</f>
        <v>D2.b) Keine individuelle Berücksichtigung der Zulagen; ggf Auswahl ändern.</v>
      </c>
      <c r="B143" s="2520"/>
      <c r="C143" s="2543" t="s">
        <v>970</v>
      </c>
      <c r="D143" s="2543" t="s">
        <v>600</v>
      </c>
      <c r="E143" s="2465" t="s">
        <v>601</v>
      </c>
      <c r="F143" s="2465"/>
      <c r="G143" s="2465" t="s">
        <v>602</v>
      </c>
      <c r="H143" s="2466"/>
      <c r="I143" s="438"/>
      <c r="J143" s="2319"/>
      <c r="K143" s="2319"/>
      <c r="L143" s="2320"/>
      <c r="M143" s="1972" t="str">
        <f t="shared" ca="1" si="15"/>
        <v/>
      </c>
      <c r="N143" s="1342" t="str">
        <f t="shared" ca="1" si="16"/>
        <v/>
      </c>
      <c r="O143" s="1972" t="str">
        <f ca="1">IF(Stammdaten!A94=0,"",Stammdaten!A94)</f>
        <v/>
      </c>
      <c r="P143" s="1342" t="str">
        <f t="shared" ca="1" si="17"/>
        <v/>
      </c>
    </row>
    <row r="144" spans="1:16" ht="18" customHeight="1" thickBot="1" x14ac:dyDescent="0.3">
      <c r="A144" s="2521"/>
      <c r="B144" s="2522"/>
      <c r="C144" s="2543"/>
      <c r="D144" s="2543"/>
      <c r="E144" s="2455" t="s">
        <v>100</v>
      </c>
      <c r="F144" s="2457" t="s">
        <v>603</v>
      </c>
      <c r="G144" s="2455" t="s">
        <v>100</v>
      </c>
      <c r="H144" s="2498" t="s">
        <v>603</v>
      </c>
      <c r="I144" s="438"/>
      <c r="J144" s="2319"/>
      <c r="K144" s="2319"/>
      <c r="L144" s="2320"/>
      <c r="M144" s="1972" t="str">
        <f t="shared" ca="1" si="15"/>
        <v/>
      </c>
      <c r="N144" s="1342" t="str">
        <f t="shared" ca="1" si="16"/>
        <v/>
      </c>
      <c r="O144" s="1972" t="str">
        <f ca="1">IF(Stammdaten!A95=0,"",Stammdaten!A95)</f>
        <v/>
      </c>
      <c r="P144" s="1342" t="str">
        <f t="shared" ca="1" si="17"/>
        <v/>
      </c>
    </row>
    <row r="145" spans="1:16" ht="18" customHeight="1" x14ac:dyDescent="0.25">
      <c r="A145" s="2521"/>
      <c r="B145" s="2522"/>
      <c r="C145" s="2543"/>
      <c r="D145" s="2543"/>
      <c r="E145" s="2455"/>
      <c r="F145" s="2457"/>
      <c r="G145" s="2455"/>
      <c r="H145" s="2498"/>
      <c r="I145" s="438"/>
      <c r="J145" s="2319"/>
      <c r="K145" s="2319"/>
      <c r="L145" s="2320"/>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523"/>
      <c r="B146" s="2524"/>
      <c r="C146" s="2806"/>
      <c r="D146" s="2806"/>
      <c r="E146" s="2456"/>
      <c r="F146" s="2458"/>
      <c r="G146" s="2456"/>
      <c r="H146" s="2499"/>
      <c r="I146" s="438"/>
      <c r="J146" s="2319"/>
      <c r="K146" s="2319"/>
      <c r="L146" s="2320"/>
      <c r="M146" s="1342" t="s">
        <v>568</v>
      </c>
      <c r="N146" s="1342">
        <f ca="1">MIN(N119:N145,ROW(O119))</f>
        <v>119</v>
      </c>
    </row>
    <row r="147" spans="1:16" ht="28.5" customHeight="1" thickTop="1" thickBot="1" x14ac:dyDescent="0.3">
      <c r="A147" s="2492"/>
      <c r="B147" s="2493"/>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78" t="str">
        <f ca="1">IF(OR(COUNTA(A147,C147,D147)=3,COUNTA(A147,C147,D147)=0),IF(E147=KALKULATION!$M$283,"Auswahl erneut vornehmen (ungültiger Verweis)!",IF(AND(A147&lt;&gt;"",SUM(F147,H147)=0),"Wert in Spalte A oder B ist (nahe) 0; kein Ergebnis!","")),"Eingabe unvollständig (ergänzen oder löschen)!")</f>
        <v/>
      </c>
      <c r="L147" s="2179"/>
      <c r="M147" s="1342" t="s">
        <v>569</v>
      </c>
      <c r="N147" s="1342">
        <f ca="1">MAX(N119:N145,ROW(O119))</f>
        <v>120</v>
      </c>
    </row>
    <row r="148" spans="1:16" ht="28.5" customHeight="1" thickBot="1" x14ac:dyDescent="0.3">
      <c r="A148" s="2368"/>
      <c r="B148" s="2467"/>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78" t="str">
        <f ca="1">IF(OR(COUNTA(A148,C148,D148)=3,COUNTA(A148,C148,D148)=0),IF(E148=KALKULATION!$M$283,"Auswahl erneut vornehmen (ungültiger Verweis)!",IF(AND(A148&lt;&gt;"",SUM(F148,H148)=0),"Wert in Spalte A oder B ist (nahe) 0; kein Ergebnis!","")),"Eingabe unvollständig (ergänzen oder löschen)!")</f>
        <v/>
      </c>
      <c r="L148" s="2179"/>
      <c r="M148" s="2013" t="s">
        <v>679</v>
      </c>
    </row>
    <row r="149" spans="1:16" ht="28.5" customHeight="1" thickBot="1" x14ac:dyDescent="0.3">
      <c r="A149" s="2461"/>
      <c r="B149" s="2462"/>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78" t="str">
        <f ca="1">IF(OR(COUNTA(A149,C149,D149)=3,COUNTA(A149,C149,D149)=0),IF(E149=KALKULATION!$M$283,"Auswahl erneut vornehmen (ungültiger Verweis)!",IF(AND(A149&lt;&gt;"",SUM(F149,H149)=0),"Wert in Spalte A oder B ist (nahe) 0; kein Ergebnis!","")),"Eingabe unvollständig (ergänzen oder löschen)!")</f>
        <v/>
      </c>
      <c r="L149" s="2179"/>
      <c r="M149" s="2014" t="s">
        <v>331</v>
      </c>
    </row>
    <row r="150" spans="1:16" ht="17.850000000000001" customHeight="1" x14ac:dyDescent="0.25">
      <c r="A150" s="2439" t="s">
        <v>84</v>
      </c>
      <c r="B150" s="2440"/>
      <c r="C150" s="2440"/>
      <c r="D150" s="2441"/>
      <c r="E150" s="1110"/>
      <c r="F150" s="1110"/>
      <c r="G150" s="1110"/>
      <c r="H150" s="941">
        <f ca="1">SUM(H146:H149)</f>
        <v>0</v>
      </c>
      <c r="I150" s="438"/>
      <c r="J150" s="267"/>
      <c r="L150" s="216"/>
      <c r="M150" s="2014" t="s">
        <v>333</v>
      </c>
    </row>
    <row r="151" spans="1:16" ht="17.850000000000001" customHeight="1" thickBot="1" x14ac:dyDescent="0.3">
      <c r="A151" s="2861" t="str">
        <f>"Basis für %-Zulagen analog D1.a1 ist ["&amp;F131&amp;"], daher Faktor in Hv"</f>
        <v>Basis für %-Zulagen analog D1.a1 ist [KV-Entgelt], daher Faktor in Hv</v>
      </c>
      <c r="B151" s="2862"/>
      <c r="C151" s="2862"/>
      <c r="D151" s="2862"/>
      <c r="E151" s="2862"/>
      <c r="F151" s="2862"/>
      <c r="G151" s="1012">
        <f>G131</f>
        <v>1</v>
      </c>
      <c r="H151" s="970">
        <f ca="1">IFERROR(G151*H150,"")</f>
        <v>0</v>
      </c>
      <c r="I151" s="577"/>
      <c r="J151" s="2176"/>
      <c r="K151" s="2176"/>
      <c r="L151" s="2435" t="str">
        <f>IF(AND(F131&lt;&gt;F151,H142="Nein"),"KZ bei B2 sollte mit KZ oben (B1) zusammenpassen!","")</f>
        <v/>
      </c>
      <c r="M151" s="2014" t="s">
        <v>332</v>
      </c>
    </row>
    <row r="152" spans="1:16" ht="17.850000000000001" customHeight="1" x14ac:dyDescent="0.25">
      <c r="A152" s="2445"/>
      <c r="B152" s="2446"/>
      <c r="C152" s="2447"/>
      <c r="D152" s="2620" t="s">
        <v>132</v>
      </c>
      <c r="E152" s="2621"/>
      <c r="F152" s="51">
        <f ca="1">SUM(F147:F149)</f>
        <v>0</v>
      </c>
      <c r="G152" s="2529"/>
      <c r="H152" s="2527">
        <f ca="1">IFERROR(F152/F153,"")</f>
        <v>0</v>
      </c>
      <c r="I152" s="438"/>
      <c r="L152" s="2435"/>
    </row>
    <row r="153" spans="1:16" ht="17.850000000000001" customHeight="1" thickBot="1" x14ac:dyDescent="0.3">
      <c r="A153" s="2448"/>
      <c r="B153" s="2449"/>
      <c r="C153" s="2450"/>
      <c r="D153" s="2622" t="s">
        <v>119</v>
      </c>
      <c r="E153" s="2623"/>
      <c r="F153" s="57">
        <f ca="1">G55</f>
        <v>18.75</v>
      </c>
      <c r="G153" s="2530"/>
      <c r="H153" s="2528"/>
      <c r="I153" s="438"/>
      <c r="L153" s="2435"/>
    </row>
    <row r="154" spans="1:16" ht="17.850000000000001" customHeight="1" x14ac:dyDescent="0.25">
      <c r="A154" s="2494" t="s">
        <v>675</v>
      </c>
      <c r="B154" s="2495"/>
      <c r="C154" s="2495"/>
      <c r="D154" s="2495"/>
      <c r="E154" s="2495"/>
      <c r="F154" s="2495"/>
      <c r="G154" s="1037" t="str">
        <f>IF(H142="Ja","(Wie B1!)","")</f>
        <v/>
      </c>
      <c r="H154" s="1036">
        <f ca="1">IFERROR(IF(H142=M149,H134,IF(H142=M150,SUM(H151:H153),0)),"?")</f>
        <v>0.01</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517" t="s">
        <v>844</v>
      </c>
      <c r="B156" s="2518"/>
      <c r="C156" s="2518"/>
      <c r="D156" s="2518"/>
      <c r="E156" s="2514" t="str">
        <f>(IF(G61=0,"Info: In B2.b keine sonstige unprod. Zeit angesetzt.",""))</f>
        <v>Info: In B2.b keine sonstige unprod. Zeit angesetzt.</v>
      </c>
      <c r="F156" s="2514"/>
      <c r="G156" s="2514"/>
      <c r="H156" s="2514"/>
      <c r="I156" s="2514"/>
      <c r="L156" s="216"/>
    </row>
    <row r="157" spans="1:16" ht="17.850000000000001" customHeight="1" x14ac:dyDescent="0.25">
      <c r="A157" s="2451" t="s">
        <v>1086</v>
      </c>
      <c r="B157" s="2452"/>
      <c r="C157" s="2452"/>
      <c r="D157" s="2452"/>
      <c r="E157" s="2720"/>
      <c r="F157" s="350" t="s">
        <v>192</v>
      </c>
      <c r="G157" s="324" t="s">
        <v>192</v>
      </c>
      <c r="H157" s="347" t="s">
        <v>193</v>
      </c>
      <c r="I157" s="438"/>
      <c r="J157" s="2485" t="str">
        <f>IF(AND(F61&lt;&gt;0,F157=""),"Bitte wählen (Ja/Nein)! Es sind unproduktive Zeiten in A3 angesetzt.","")</f>
        <v/>
      </c>
      <c r="K157" s="2485"/>
      <c r="L157" s="2486"/>
    </row>
    <row r="158" spans="1:16" ht="17.850000000000001" customHeight="1" x14ac:dyDescent="0.25">
      <c r="A158" s="263"/>
      <c r="B158" s="264"/>
      <c r="C158" s="264"/>
      <c r="D158" s="264"/>
      <c r="E158" s="264"/>
      <c r="F158" s="326"/>
      <c r="G158" s="348"/>
      <c r="H158" s="348"/>
      <c r="I158" s="438"/>
      <c r="J158" s="2485"/>
      <c r="K158" s="2485"/>
      <c r="L158" s="2486"/>
    </row>
    <row r="159" spans="1:16" ht="20.100000000000001" customHeight="1" x14ac:dyDescent="0.25">
      <c r="A159" s="2430" t="s">
        <v>738</v>
      </c>
      <c r="B159" s="2431"/>
      <c r="C159" s="2431"/>
      <c r="D159" s="2431"/>
      <c r="E159" s="2431"/>
      <c r="F159" s="2431"/>
      <c r="G159" s="2431"/>
      <c r="H159" s="2431"/>
      <c r="I159" s="438"/>
      <c r="J159" s="2485"/>
      <c r="K159" s="2485"/>
      <c r="L159" s="2486"/>
    </row>
    <row r="160" spans="1:16" ht="17.850000000000001" customHeight="1" x14ac:dyDescent="0.25">
      <c r="A160" s="905" t="s">
        <v>521</v>
      </c>
      <c r="B160" s="905"/>
      <c r="C160" s="906"/>
      <c r="D160" s="2487" t="s">
        <v>781</v>
      </c>
      <c r="E160" s="2488"/>
      <c r="F160" s="903" t="s">
        <v>676</v>
      </c>
      <c r="G160" s="903" t="s">
        <v>59</v>
      </c>
      <c r="H160" s="1093" t="s">
        <v>77</v>
      </c>
      <c r="I160" s="438"/>
      <c r="L160" s="216"/>
    </row>
    <row r="161" spans="1:15" ht="17.850000000000001" customHeight="1" x14ac:dyDescent="0.25">
      <c r="A161" s="2334" t="s">
        <v>499</v>
      </c>
      <c r="B161" s="2335"/>
      <c r="C161" s="2335"/>
      <c r="D161" s="2335"/>
      <c r="E161" s="2336"/>
      <c r="F161" s="761">
        <f ca="1">H134</f>
        <v>0.01</v>
      </c>
      <c r="G161" s="464">
        <f ca="1">D67</f>
        <v>64.8</v>
      </c>
      <c r="H161" s="943">
        <f ca="1">F161*G161</f>
        <v>0.64800000000000002</v>
      </c>
      <c r="I161" s="438"/>
      <c r="L161" s="216"/>
    </row>
    <row r="162" spans="1:15" ht="17.850000000000001" customHeight="1" x14ac:dyDescent="0.25">
      <c r="A162" s="462" t="s">
        <v>500</v>
      </c>
      <c r="B162" s="463"/>
      <c r="C162" s="463"/>
      <c r="D162" s="463"/>
      <c r="E162" s="463"/>
      <c r="F162" s="761">
        <f ca="1">IF(F157=G157,F161,0)</f>
        <v>0.01</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334" t="s">
        <v>501</v>
      </c>
      <c r="B163" s="2335"/>
      <c r="C163" s="2335"/>
      <c r="D163" s="2335"/>
      <c r="E163" s="2336"/>
      <c r="F163" s="761">
        <f ca="1">H154</f>
        <v>0.01</v>
      </c>
      <c r="G163" s="464">
        <f ca="1">D69</f>
        <v>7.5</v>
      </c>
      <c r="H163" s="943">
        <f ca="1">F163*G163</f>
        <v>7.4999999999999997E-2</v>
      </c>
      <c r="I163" s="438"/>
      <c r="L163" s="216"/>
    </row>
    <row r="164" spans="1:15" ht="17.850000000000001" customHeight="1" x14ac:dyDescent="0.25">
      <c r="A164" s="2525"/>
      <c r="B164" s="2526"/>
      <c r="C164" s="2526"/>
      <c r="D164" s="2886" t="s">
        <v>677</v>
      </c>
      <c r="E164" s="2886"/>
      <c r="F164" s="2887"/>
      <c r="G164" s="499">
        <f ca="1">SUM(G161:G163)</f>
        <v>72.3</v>
      </c>
      <c r="H164" s="944">
        <f ca="1">SUM(H161:H163)</f>
        <v>0.72299999999999998</v>
      </c>
      <c r="I164" s="438"/>
      <c r="L164" s="216"/>
    </row>
    <row r="165" spans="1:15" ht="17.850000000000001" customHeight="1" x14ac:dyDescent="0.25">
      <c r="A165" s="2142" t="s">
        <v>756</v>
      </c>
      <c r="B165" s="2143"/>
      <c r="C165" s="2143"/>
      <c r="D165" s="2143"/>
      <c r="E165" s="2143"/>
      <c r="F165" s="2143"/>
      <c r="G165" s="2143"/>
      <c r="H165" s="932">
        <f ca="1">IFERROR(H164/G164,"")</f>
        <v>0.01</v>
      </c>
      <c r="I165" s="438"/>
      <c r="L165" s="216" t="str">
        <f>IFERROR(IF(ABS(H166)/G166&gt;0.1,"Individuelle Anpassung bei A4) AKV-Entgelt auffällig hoch. ",""),"")</f>
        <v/>
      </c>
    </row>
    <row r="166" spans="1:15" ht="17.850000000000001" customHeight="1" x14ac:dyDescent="0.25">
      <c r="A166" s="2459" t="s">
        <v>814</v>
      </c>
      <c r="B166" s="2460"/>
      <c r="C166" s="2460"/>
      <c r="D166" s="2460"/>
      <c r="E166" s="2460"/>
      <c r="F166" s="2460"/>
      <c r="G166" s="2460"/>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0,20€ bzw in % </v>
      </c>
      <c r="B167" s="391"/>
      <c r="C167" s="391"/>
      <c r="D167" s="391"/>
      <c r="E167" s="391"/>
      <c r="F167" s="391"/>
      <c r="G167" s="1886" t="s">
        <v>1108</v>
      </c>
      <c r="H167" s="932">
        <f ca="1">IF(H165=0,0,IF(G167=Q35,ROUNDUP(SUM(H165:H166),3),SUM(H165:H166)))</f>
        <v>0.01</v>
      </c>
      <c r="I167" s="438"/>
      <c r="J167" s="859" t="str">
        <f ca="1">IFERROR(IF(H167=0,"Hinweis: Keine Zulagen erfasst! Prüfen ob korrekt!",""),"")</f>
        <v/>
      </c>
    </row>
    <row r="168" spans="1:15" ht="20.100000000000001" customHeight="1" x14ac:dyDescent="0.25">
      <c r="A168" s="2317" t="str">
        <f ca="1">A74</f>
        <v>Info: KV &amp; up.Z: 20,00€ | abgabepfl. Pers.ko: 26,00€ | vor Uml: 53,00€ | KOSTEN: 59,64€ | PREIS: 76,94€</v>
      </c>
      <c r="B168" s="2318"/>
      <c r="C168" s="2318"/>
      <c r="D168" s="2318"/>
      <c r="E168" s="2318"/>
      <c r="F168" s="2318"/>
      <c r="G168" s="2318"/>
      <c r="H168" s="2318"/>
      <c r="I168" s="438"/>
      <c r="J168" s="2485" t="str">
        <f ca="1">IF(AND(H165=0,H166&lt;&gt;0),"Zu D4.b: Keine Anpassung ohne Grundkalkulation (bzw Wert =0)!","")</f>
        <v/>
      </c>
      <c r="K168" s="2485"/>
      <c r="L168" s="2486"/>
    </row>
    <row r="169" spans="1:15" ht="17.850000000000001" customHeight="1" x14ac:dyDescent="0.25">
      <c r="A169" s="2353"/>
      <c r="B169" s="2354"/>
      <c r="C169" s="2354"/>
      <c r="D169" s="2354"/>
      <c r="E169" s="2354"/>
      <c r="F169" s="2354"/>
      <c r="G169" s="2354"/>
      <c r="H169" s="2354"/>
      <c r="I169" s="2354"/>
      <c r="J169" s="2485"/>
      <c r="K169" s="2485"/>
      <c r="L169" s="2486"/>
    </row>
    <row r="170" spans="1:15" ht="25.15" customHeight="1" x14ac:dyDescent="0.25">
      <c r="A170" s="2223" t="s">
        <v>502</v>
      </c>
      <c r="B170" s="2224"/>
      <c r="C170" s="2224"/>
      <c r="D170" s="2224"/>
      <c r="E170" s="2224"/>
      <c r="F170" s="2224"/>
      <c r="G170" s="2224"/>
      <c r="H170" s="2224"/>
      <c r="I170" s="438"/>
      <c r="L170" s="216"/>
      <c r="M170" s="1961" t="s">
        <v>579</v>
      </c>
      <c r="N170" s="1961" t="s">
        <v>570</v>
      </c>
    </row>
    <row r="171" spans="1:15" ht="20.100000000000001" customHeight="1" x14ac:dyDescent="0.25">
      <c r="A171" s="2511" t="s">
        <v>782</v>
      </c>
      <c r="B171" s="2512"/>
      <c r="C171" s="2512"/>
      <c r="D171" s="2513" t="str">
        <f ca="1">IF(SUM(Stammdaten!D116:D119)=0,"Keine Stammdaten dafür vorhanden.","")</f>
        <v>Keine Stammdaten dafür vorhanden.</v>
      </c>
      <c r="E171" s="2513"/>
      <c r="F171" s="2513"/>
      <c r="G171" s="2513"/>
      <c r="H171" s="2513"/>
      <c r="I171" s="997"/>
      <c r="L171" s="216"/>
      <c r="M171" s="2015" t="str">
        <f ca="1">IF(Stammdaten!A116=0,"",Stammdaten!A116)</f>
        <v/>
      </c>
      <c r="N171" s="1342" t="str">
        <f ca="1">IF(M171="","",1*ROW())</f>
        <v/>
      </c>
    </row>
    <row r="172" spans="1:15" ht="17.850000000000001" customHeight="1" x14ac:dyDescent="0.25">
      <c r="A172" s="2249" t="s">
        <v>283</v>
      </c>
      <c r="B172" s="2250"/>
      <c r="C172" s="2251"/>
      <c r="D172" s="2300" t="s">
        <v>784</v>
      </c>
      <c r="E172" s="2300" t="s">
        <v>125</v>
      </c>
      <c r="F172" s="2300" t="s">
        <v>783</v>
      </c>
      <c r="G172" s="2300" t="s">
        <v>785</v>
      </c>
      <c r="H172" s="2249" t="s">
        <v>786</v>
      </c>
      <c r="I172" s="438"/>
      <c r="L172" s="216"/>
      <c r="M172" s="2015" t="str">
        <f ca="1">IF(Stammdaten!A117=0,"",Stammdaten!A117)</f>
        <v/>
      </c>
      <c r="N172" s="1342" t="str">
        <f ca="1">IF(M172="","",1*ROW())</f>
        <v/>
      </c>
    </row>
    <row r="173" spans="1:15" ht="17.850000000000001" customHeight="1" thickBot="1" x14ac:dyDescent="0.3">
      <c r="A173" s="2252"/>
      <c r="B173" s="2253"/>
      <c r="C173" s="2254"/>
      <c r="D173" s="2301"/>
      <c r="E173" s="2301"/>
      <c r="F173" s="2301"/>
      <c r="G173" s="2301"/>
      <c r="H173" s="2252"/>
      <c r="I173" s="438"/>
      <c r="L173" s="216"/>
      <c r="M173" s="2015" t="str">
        <f ca="1">IF(Stammdaten!A118=0,"",Stammdaten!A118)</f>
        <v/>
      </c>
      <c r="N173" s="1342" t="str">
        <f ca="1">IF(M173="","",1*ROW())</f>
        <v/>
      </c>
    </row>
    <row r="174" spans="1:15" ht="17.850000000000001" customHeight="1" thickTop="1" x14ac:dyDescent="0.25">
      <c r="A174" s="2696"/>
      <c r="B174" s="2696"/>
      <c r="C174" s="2696"/>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468"/>
      <c r="B175" s="2468"/>
      <c r="C175" s="2468"/>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505" t="s">
        <v>536</v>
      </c>
      <c r="B177" s="2506"/>
      <c r="C177" s="2506"/>
      <c r="D177" s="2506"/>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361" t="s">
        <v>787</v>
      </c>
      <c r="B178" s="2362"/>
      <c r="C178" s="2362"/>
      <c r="D178" s="2362"/>
      <c r="E178" s="2362"/>
      <c r="F178" s="2363"/>
      <c r="G178" s="950">
        <f ca="1">SUM(G171:G177)</f>
        <v>0</v>
      </c>
      <c r="H178" s="961">
        <f ca="1">SUM(H171:H176)</f>
        <v>0</v>
      </c>
      <c r="I178" s="438"/>
      <c r="J178" s="2319" t="str">
        <f>IF(SUM(D174:D176)&gt;1,"Hinweis: Entschädigungen C1 sind für mehr als 100% des Personals kalkuliert.","")</f>
        <v/>
      </c>
      <c r="K178" s="2319"/>
      <c r="L178" s="2320"/>
      <c r="M178" s="1972" t="str">
        <f t="shared" ref="M178:M189" ca="1" si="24">IFERROR(INDIRECT("O"&amp;(SMALL(P$178:P$189,ROW(P178)-ROW(P$178)+1))),"")</f>
        <v>Taggeld</v>
      </c>
      <c r="N178" s="1342">
        <f t="shared" ref="N178:N189" ca="1" si="25">IF(M178="","",ROW())</f>
        <v>178</v>
      </c>
      <c r="O178" s="2015" t="str">
        <f ca="1">IF(Stammdaten!A102=0,"",Stammdaten!A102)</f>
        <v>Taggeld</v>
      </c>
      <c r="P178" s="1342">
        <f t="shared" ref="P178:P188" ca="1" si="26">IF(O178="","",1*ROW())</f>
        <v>178</v>
      </c>
    </row>
    <row r="179" spans="1:25" ht="17.850000000000001" customHeight="1" thickBot="1" x14ac:dyDescent="0.3">
      <c r="A179" s="2255" t="str">
        <f ca="1">"Die abgabepflichtigen Entgelte in Hv "&amp;TEXT(H178,"0,00€")&amp;" unterliegen zu "</f>
        <v xml:space="preserve">Die abgabepflichtigen Entgelte in Hv 0,00€ unterliegen zu </v>
      </c>
      <c r="B179" s="2256"/>
      <c r="C179" s="2256"/>
      <c r="D179" s="2256"/>
      <c r="E179" s="2256"/>
      <c r="F179" s="762">
        <v>1</v>
      </c>
      <c r="G179" s="2453" t="s">
        <v>678</v>
      </c>
      <c r="H179" s="2453"/>
      <c r="I179" s="438"/>
      <c r="J179" s="2319"/>
      <c r="K179" s="2319"/>
      <c r="L179" s="2320"/>
      <c r="M179" s="1972" t="str">
        <f t="shared" ca="1" si="24"/>
        <v>Taggeld (b keiner tägl Rückreise)</v>
      </c>
      <c r="N179" s="1342">
        <f t="shared" ca="1" si="25"/>
        <v>179</v>
      </c>
      <c r="O179" s="2015" t="str">
        <f ca="1">IF(Stammdaten!A103=0,"",Stammdaten!A103)</f>
        <v>Taggeld (b keiner tägl Rückreise)</v>
      </c>
      <c r="P179" s="1342">
        <f t="shared" ca="1" si="26"/>
        <v>179</v>
      </c>
    </row>
    <row r="180" spans="1:25" ht="17.850000000000001" customHeight="1" thickBot="1" x14ac:dyDescent="0.3">
      <c r="A180" s="2863"/>
      <c r="B180" s="2864"/>
      <c r="C180" s="2864"/>
      <c r="D180" s="2864"/>
      <c r="E180" s="2864"/>
      <c r="F180" s="2864"/>
      <c r="G180" s="2864"/>
      <c r="H180" s="2864"/>
      <c r="I180" s="438"/>
      <c r="J180" s="2319"/>
      <c r="K180" s="2319"/>
      <c r="L180" s="2320"/>
      <c r="M180" s="1972" t="str">
        <f t="shared" ca="1" si="24"/>
        <v>Nächtigungsgeld</v>
      </c>
      <c r="N180" s="1342">
        <f t="shared" ca="1" si="25"/>
        <v>180</v>
      </c>
      <c r="O180" s="2015" t="str">
        <f ca="1">IF(Stammdaten!A104=0,"",Stammdaten!A104)</f>
        <v/>
      </c>
      <c r="P180" s="1342" t="str">
        <f t="shared" ca="1" si="26"/>
        <v/>
      </c>
    </row>
    <row r="181" spans="1:25" ht="20.100000000000001" customHeight="1" thickBot="1" x14ac:dyDescent="0.3">
      <c r="A181" s="2332" t="s">
        <v>789</v>
      </c>
      <c r="B181" s="2333"/>
      <c r="C181" s="2333"/>
      <c r="D181" s="2333"/>
      <c r="E181" s="2333"/>
      <c r="F181" s="2333"/>
      <c r="G181" s="2333"/>
      <c r="H181" s="2333"/>
      <c r="I181" s="438"/>
      <c r="L181" s="216"/>
      <c r="M181" s="1972" t="str">
        <f t="shared" ca="1" si="24"/>
        <v># Fahrscheinvergütung (individ. Wert eintragen)</v>
      </c>
      <c r="N181" s="1342">
        <f t="shared" ca="1" si="25"/>
        <v>181</v>
      </c>
      <c r="O181" s="2015" t="str">
        <f ca="1">IF(Stammdaten!A105=0,"",Stammdaten!A105)</f>
        <v>Nächtigungsgeld</v>
      </c>
      <c r="P181" s="1342">
        <f t="shared" ca="1" si="26"/>
        <v>181</v>
      </c>
    </row>
    <row r="182" spans="1:25" ht="17.850000000000001" customHeight="1" thickBot="1" x14ac:dyDescent="0.3">
      <c r="A182" s="2249" t="str">
        <f>A172</f>
        <v>Auswählen: ↓</v>
      </c>
      <c r="B182" s="2250"/>
      <c r="C182" s="2251"/>
      <c r="D182" s="2300" t="str">
        <f>D172</f>
        <v>… % des prod. Pers.:</v>
      </c>
      <c r="E182" s="2300" t="s">
        <v>78</v>
      </c>
      <c r="F182" s="2300" t="s">
        <v>790</v>
      </c>
      <c r="G182" s="2300" t="str">
        <f t="shared" ref="G182:H182" si="27">G172</f>
        <v>abgabefrei (€/Wo)</v>
      </c>
      <c r="H182" s="2249" t="str">
        <f t="shared" si="27"/>
        <v>abg.-pflichtig (€/Wo)</v>
      </c>
      <c r="I182" s="438"/>
      <c r="L182" s="216"/>
      <c r="M182" s="1972" t="str">
        <f t="shared" ca="1" si="24"/>
        <v/>
      </c>
      <c r="N182" s="1342" t="str">
        <f t="shared" ca="1" si="25"/>
        <v/>
      </c>
      <c r="O182" s="2015" t="str">
        <f ca="1">IF(Stammdaten!A106=0,"",Stammdaten!A106)</f>
        <v/>
      </c>
      <c r="P182" s="1342" t="str">
        <f t="shared" ca="1" si="26"/>
        <v/>
      </c>
    </row>
    <row r="183" spans="1:25" ht="17.850000000000001" customHeight="1" thickBot="1" x14ac:dyDescent="0.3">
      <c r="A183" s="2252"/>
      <c r="B183" s="2253"/>
      <c r="C183" s="2254"/>
      <c r="D183" s="2301"/>
      <c r="E183" s="2301"/>
      <c r="F183" s="2301"/>
      <c r="G183" s="2301"/>
      <c r="H183" s="2252"/>
      <c r="I183" s="438"/>
      <c r="L183" s="216"/>
      <c r="M183" s="1972" t="str">
        <f t="shared" ca="1" si="24"/>
        <v/>
      </c>
      <c r="N183" s="1342" t="str">
        <f t="shared" ca="1" si="25"/>
        <v/>
      </c>
      <c r="O183" s="2015" t="str">
        <f ca="1">IF(Stammdaten!A107=0,"",Stammdaten!A107)</f>
        <v># Fahrscheinvergütung (individ. Wert eintragen)</v>
      </c>
      <c r="P183" s="1342">
        <f t="shared" ca="1" si="26"/>
        <v>183</v>
      </c>
    </row>
    <row r="184" spans="1:25" ht="17.850000000000001" customHeight="1" thickTop="1" thickBot="1" x14ac:dyDescent="0.3">
      <c r="A184" s="2355" t="s">
        <v>1137</v>
      </c>
      <c r="B184" s="2356"/>
      <c r="C184" s="2357"/>
      <c r="D184" s="329">
        <v>1</v>
      </c>
      <c r="E184" s="48">
        <f ca="1">IF(L$27="",IFERROR(VLOOKUP(A184,Stammdaten!A$102:D$113,4,FALSE),KALKULATION!$M$283),"ungültig")</f>
        <v>8.3000000000000007</v>
      </c>
      <c r="F184" s="332">
        <v>5</v>
      </c>
      <c r="G184" s="51">
        <f ca="1">IFERROR(VLOOKUP(A184,Stammdaten!A$102:C$113,2,FALSE)*D184*F184,"")</f>
        <v>41.5</v>
      </c>
      <c r="H184" s="84">
        <f ca="1">IFERROR(VLOOKUP(A184,Stammdaten!A$102:C$113,3,FALSE)*D184*F184,"")</f>
        <v>0</v>
      </c>
      <c r="I184" s="438"/>
      <c r="J184" s="1332" t="str">
        <f t="shared" ref="J184:J188" ca="1" si="28">IF(D184&lt;&gt;0,"I: Für "&amp;TEXT(D184*E$61,"0,0")&amp;" von "&amp;TEXT(E$61,"0,0")&amp;" Pers.","")</f>
        <v>I: Für 3,6 von 3,6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358"/>
      <c r="B185" s="2359"/>
      <c r="C185" s="2360"/>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358"/>
      <c r="B186" s="2359"/>
      <c r="C186" s="2360"/>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358"/>
      <c r="B187" s="2359"/>
      <c r="C187" s="2360"/>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693"/>
      <c r="B188" s="2694"/>
      <c r="C188" s="2695"/>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361" t="s">
        <v>788</v>
      </c>
      <c r="B189" s="2362"/>
      <c r="C189" s="2362"/>
      <c r="D189" s="2362"/>
      <c r="E189" s="2362"/>
      <c r="F189" s="2363"/>
      <c r="G189" s="1013">
        <f ca="1">SUM(G184:G188)</f>
        <v>41.5</v>
      </c>
      <c r="H189" s="951">
        <f ca="1">SUM(H184:H188)</f>
        <v>0</v>
      </c>
      <c r="I189" s="438"/>
      <c r="J189" s="2319" t="str">
        <f>IF(SUM(D184:D188)&gt;1,"Hinweis: Entschädigungen sind in E2 für mehr als 100% des Personals angesetzt.","")</f>
        <v/>
      </c>
      <c r="K189" s="2319"/>
      <c r="L189" s="2320"/>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259" t="str">
        <f ca="1">"Die abgabepflichtigen Entgelte in Hv "&amp;TEXT(H189,"0,00€")&amp;" unterliegen zu "</f>
        <v xml:space="preserve">Die abgabepflichtigen Entgelte in Hv 0,00€ unterliegen zu </v>
      </c>
      <c r="B190" s="2260"/>
      <c r="C190" s="2260"/>
      <c r="D190" s="2260"/>
      <c r="E190" s="2260"/>
      <c r="F190" s="1014">
        <v>0</v>
      </c>
      <c r="G190" s="2549" t="s">
        <v>678</v>
      </c>
      <c r="H190" s="2549"/>
      <c r="I190" s="438"/>
      <c r="J190" s="2319"/>
      <c r="K190" s="2319"/>
      <c r="L190" s="2320"/>
      <c r="M190" s="1342" t="s">
        <v>568</v>
      </c>
      <c r="N190" s="1342">
        <f ca="1">MIN(N178:N189,ROW(P178))</f>
        <v>178</v>
      </c>
    </row>
    <row r="191" spans="1:25" ht="17.850000000000001" customHeight="1" x14ac:dyDescent="0.25">
      <c r="A191" s="2463"/>
      <c r="B191" s="2464"/>
      <c r="C191" s="2464"/>
      <c r="D191" s="2464"/>
      <c r="E191" s="2464"/>
      <c r="F191" s="2464"/>
      <c r="G191" s="2464"/>
      <c r="H191" s="2464"/>
      <c r="I191" s="438"/>
      <c r="J191" s="2319"/>
      <c r="K191" s="2319"/>
      <c r="L191" s="2320"/>
      <c r="M191" s="1342" t="s">
        <v>569</v>
      </c>
      <c r="N191" s="1342">
        <f ca="1">MAX(N178:N189,ROW(P178))</f>
        <v>181</v>
      </c>
    </row>
    <row r="192" spans="1:25" s="160" customFormat="1" ht="20.100000000000001" customHeight="1" x14ac:dyDescent="0.2">
      <c r="A192" s="2247" t="s">
        <v>791</v>
      </c>
      <c r="B192" s="2248"/>
      <c r="C192" s="2248"/>
      <c r="D192" s="2248"/>
      <c r="E192" s="2248"/>
      <c r="F192" s="2248"/>
      <c r="G192" s="2248"/>
      <c r="H192" s="2248"/>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249" t="str">
        <f>A172</f>
        <v>Auswählen: ↓</v>
      </c>
      <c r="B193" s="2250"/>
      <c r="C193" s="2251"/>
      <c r="D193" s="2300" t="str">
        <f>D172</f>
        <v>… % des prod. Pers.:</v>
      </c>
      <c r="E193" s="2300" t="s">
        <v>79</v>
      </c>
      <c r="F193" s="2245"/>
      <c r="G193" s="2300" t="str">
        <f t="shared" ref="G193:H193" si="30">G172</f>
        <v>abgabefrei (€/Wo)</v>
      </c>
      <c r="H193" s="2249" t="str">
        <f t="shared" si="30"/>
        <v>abg.-pflichtig (€/Wo)</v>
      </c>
      <c r="I193" s="438"/>
      <c r="L193" s="216"/>
    </row>
    <row r="194" spans="1:14" ht="17.850000000000001" customHeight="1" thickBot="1" x14ac:dyDescent="0.3">
      <c r="A194" s="2252"/>
      <c r="B194" s="2253"/>
      <c r="C194" s="2254"/>
      <c r="D194" s="2301"/>
      <c r="E194" s="2301"/>
      <c r="F194" s="2246"/>
      <c r="G194" s="2301"/>
      <c r="H194" s="2252"/>
      <c r="I194" s="438"/>
      <c r="L194" s="216"/>
    </row>
    <row r="195" spans="1:14" ht="17.850000000000001" customHeight="1" thickTop="1" x14ac:dyDescent="0.25">
      <c r="A195" s="2370"/>
      <c r="B195" s="2370"/>
      <c r="C195" s="2370"/>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65"/>
      <c r="B196" s="2265"/>
      <c r="C196" s="2265"/>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65"/>
      <c r="B197" s="2265"/>
      <c r="C197" s="2265"/>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265"/>
      <c r="B198" s="2265"/>
      <c r="C198" s="2265"/>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295"/>
      <c r="B199" s="2295"/>
      <c r="C199" s="2295"/>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INDIVIDUELLER WERT:</v>
      </c>
      <c r="N199" s="1342">
        <f t="shared" ca="1" si="32"/>
        <v>199</v>
      </c>
    </row>
    <row r="200" spans="1:14" ht="17.850000000000001" customHeight="1" thickBot="1" x14ac:dyDescent="0.3">
      <c r="A200" s="2361" t="s">
        <v>921</v>
      </c>
      <c r="B200" s="2362"/>
      <c r="C200" s="2362"/>
      <c r="D200" s="2362"/>
      <c r="E200" s="2362"/>
      <c r="F200" s="2363"/>
      <c r="G200" s="950">
        <f ca="1">SUM(G194:G199)</f>
        <v>0</v>
      </c>
      <c r="H200" s="951">
        <f ca="1">SUM(H194:H199)</f>
        <v>0</v>
      </c>
      <c r="I200" s="438"/>
      <c r="J200" s="2319" t="str">
        <f>IF(SUM(D195:D199)&gt;1,"Hinweis: Entschädigungen C3 sind für mehr als 100% des Personals kalkuliert.","")</f>
        <v/>
      </c>
      <c r="K200" s="2319"/>
      <c r="L200" s="2320"/>
      <c r="M200" s="2015" t="str">
        <f ca="1">IF(Stammdaten!A125=0,"",Stammdaten!A125)</f>
        <v># Heimfahrt (&gt;120 km); alle 4 Wo - 1/4</v>
      </c>
      <c r="N200" s="1342">
        <f t="shared" ca="1" si="32"/>
        <v>200</v>
      </c>
    </row>
    <row r="201" spans="1:14" ht="17.850000000000001" customHeight="1" thickBot="1" x14ac:dyDescent="0.3">
      <c r="A201" s="2257" t="str">
        <f ca="1">"Die abgabepflichtigen Entgelte in Hv "&amp;TEXT(H200,"0,00€")&amp;" unterliegen zu "</f>
        <v xml:space="preserve">Die abgabepflichtigen Entgelte in Hv 0,00€ unterliegen zu </v>
      </c>
      <c r="B201" s="2258"/>
      <c r="C201" s="2258"/>
      <c r="D201" s="2258"/>
      <c r="E201" s="2258"/>
      <c r="F201" s="1015">
        <v>0</v>
      </c>
      <c r="G201" s="2362" t="s">
        <v>678</v>
      </c>
      <c r="H201" s="2362"/>
      <c r="I201" s="438"/>
      <c r="J201" s="2319"/>
      <c r="K201" s="2319"/>
      <c r="L201" s="2320"/>
      <c r="M201" s="2015" t="str">
        <f ca="1">IF(Stammdaten!A126=0,"",Stammdaten!A126)</f>
        <v/>
      </c>
      <c r="N201" s="1342" t="str">
        <f t="shared" ca="1" si="32"/>
        <v/>
      </c>
    </row>
    <row r="202" spans="1:14" ht="17.850000000000001" customHeight="1" x14ac:dyDescent="0.25">
      <c r="A202" s="2463"/>
      <c r="B202" s="2464"/>
      <c r="C202" s="2464"/>
      <c r="D202" s="2464"/>
      <c r="E202" s="2464"/>
      <c r="F202" s="2464"/>
      <c r="G202" s="2464"/>
      <c r="H202" s="2464"/>
      <c r="I202" s="438"/>
      <c r="J202" s="2319"/>
      <c r="K202" s="2319"/>
      <c r="L202" s="2320"/>
      <c r="M202" s="2015" t="str">
        <f ca="1">IF(Stammdaten!A127=0,"",Stammdaten!A127)</f>
        <v/>
      </c>
      <c r="N202" s="1342" t="str">
        <f t="shared" ca="1" si="32"/>
        <v/>
      </c>
    </row>
    <row r="203" spans="1:14" ht="20.100000000000001" customHeight="1" x14ac:dyDescent="0.25">
      <c r="A203" s="2247" t="s">
        <v>792</v>
      </c>
      <c r="B203" s="2248"/>
      <c r="C203" s="2248"/>
      <c r="D203" s="2248"/>
      <c r="E203" s="2248"/>
      <c r="F203" s="2248"/>
      <c r="G203" s="2248"/>
      <c r="H203" s="2248"/>
      <c r="I203" s="438"/>
      <c r="L203" s="216"/>
      <c r="M203" s="2015" t="str">
        <f>IF(Stammdaten!A128=0,"",Stammdaten!A128)</f>
        <v/>
      </c>
      <c r="N203" s="1342" t="str">
        <f t="shared" ref="N203" si="33">IF(M203="","",1*ROW())</f>
        <v/>
      </c>
    </row>
    <row r="204" spans="1:14" ht="17.850000000000001" customHeight="1" x14ac:dyDescent="0.25">
      <c r="A204" s="2648" t="s">
        <v>972</v>
      </c>
      <c r="B204" s="2649"/>
      <c r="C204" s="958" t="s">
        <v>557</v>
      </c>
      <c r="D204" s="2337" t="s">
        <v>973</v>
      </c>
      <c r="E204" s="2338"/>
      <c r="F204" s="2707" t="s">
        <v>680</v>
      </c>
      <c r="G204" s="2337" t="s">
        <v>930</v>
      </c>
      <c r="H204" s="2338"/>
      <c r="I204" s="438"/>
      <c r="L204" s="216"/>
      <c r="M204" s="1342" t="s">
        <v>568</v>
      </c>
      <c r="N204" s="1342">
        <f ca="1">MIN(N197:N203,ROW(N197))</f>
        <v>197</v>
      </c>
    </row>
    <row r="205" spans="1:14" ht="17.850000000000001" customHeight="1" x14ac:dyDescent="0.25">
      <c r="A205" s="2648"/>
      <c r="B205" s="2649"/>
      <c r="C205" s="2664" t="s">
        <v>558</v>
      </c>
      <c r="D205" s="2339"/>
      <c r="E205" s="2340"/>
      <c r="F205" s="2245"/>
      <c r="G205" s="2339"/>
      <c r="H205" s="2340"/>
      <c r="I205" s="438"/>
      <c r="L205" s="216"/>
      <c r="M205" s="1342" t="s">
        <v>569</v>
      </c>
      <c r="N205" s="1342">
        <f ca="1">MAX(N197:N203,ROW(N197))</f>
        <v>200</v>
      </c>
    </row>
    <row r="206" spans="1:14" ht="17.850000000000001" customHeight="1" x14ac:dyDescent="0.25">
      <c r="A206" s="2662" t="s">
        <v>1079</v>
      </c>
      <c r="B206" s="2663"/>
      <c r="C206" s="2665"/>
      <c r="D206" s="2339"/>
      <c r="E206" s="2340"/>
      <c r="F206" s="2245"/>
      <c r="G206" s="2341"/>
      <c r="H206" s="2342"/>
      <c r="I206" s="438"/>
      <c r="L206" s="216"/>
    </row>
    <row r="207" spans="1:14" ht="17.850000000000001" customHeight="1" thickBot="1" x14ac:dyDescent="0.3">
      <c r="A207" s="2252"/>
      <c r="B207" s="2254"/>
      <c r="C207" s="957" t="s">
        <v>559</v>
      </c>
      <c r="D207" s="2341"/>
      <c r="E207" s="2342"/>
      <c r="F207" s="2245"/>
      <c r="G207" s="2349" t="s">
        <v>793</v>
      </c>
      <c r="H207" s="2350"/>
      <c r="I207" s="438"/>
      <c r="J207" s="2229" t="str">
        <f>IF(G207=M208,"Information: Solche Entgelte sind idR abgabepflichtig. Prüfen!","")</f>
        <v/>
      </c>
      <c r="K207" s="2229"/>
      <c r="L207" s="2230"/>
      <c r="M207" s="1342" t="s">
        <v>679</v>
      </c>
    </row>
    <row r="208" spans="1:14" ht="17.850000000000001" customHeight="1" thickTop="1" thickBot="1" x14ac:dyDescent="0.3">
      <c r="A208" s="2851">
        <v>1</v>
      </c>
      <c r="B208" s="2852"/>
      <c r="C208" s="854">
        <v>1</v>
      </c>
      <c r="D208" s="1118" t="s">
        <v>575</v>
      </c>
      <c r="E208" s="565" t="s">
        <v>503</v>
      </c>
      <c r="F208" s="1016"/>
      <c r="G208" s="942" t="s">
        <v>320</v>
      </c>
      <c r="H208" s="959" t="s">
        <v>321</v>
      </c>
      <c r="I208" s="438"/>
      <c r="J208" s="1332" t="str">
        <f ca="1">IF(C208&lt;&gt;0,"I: Für "&amp;TEXT(C208*E$61,"0,0")&amp;" von "&amp;TEXT(E$61,"0,0")&amp;" Pers.","")</f>
        <v>I: Für 3,6 von 3,6 Pers.</v>
      </c>
      <c r="K208" s="1310" t="str">
        <f>IF(G207="","Auswahl bei Pkt 5 vornehmen.","")</f>
        <v/>
      </c>
      <c r="L208" s="1325"/>
      <c r="M208" s="1342" t="s">
        <v>102</v>
      </c>
    </row>
    <row r="209" spans="1:19" ht="17.850000000000001" customHeight="1" thickTop="1" thickBot="1" x14ac:dyDescent="0.3">
      <c r="A209" s="1185"/>
      <c r="B209" s="948"/>
      <c r="C209" s="949">
        <v>5</v>
      </c>
      <c r="D209" s="971" t="s">
        <v>813</v>
      </c>
      <c r="E209" s="972">
        <f ca="1">IF(D209=_KV_Entgelt,G$45,IF(D209=_KV_AKV_Entg.,(G$45+H$45),0))</f>
        <v>20.6</v>
      </c>
      <c r="F209" s="973">
        <v>1</v>
      </c>
      <c r="G209" s="349" t="str">
        <f>IF(G207=M208,IFERROR(A208*C208*C209*F209*E209,""),"")</f>
        <v/>
      </c>
      <c r="H209" s="522">
        <f ca="1">IF(G207=M209,IFERROR(A208*C208*C209*F209*E209,""),"")</f>
        <v>103</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257" t="str">
        <f ca="1">"Die abgabepflichtigen Entgelte in Hv "&amp;TEXT(H209,"0,00€")&amp;" unterliegen zu "</f>
        <v xml:space="preserve">Die abgabepflichtigen Entgelte in Hv 103,00€ unterliegen zu </v>
      </c>
      <c r="B210" s="2258"/>
      <c r="C210" s="2258"/>
      <c r="D210" s="2258"/>
      <c r="E210" s="2258"/>
      <c r="F210" s="1015">
        <v>1</v>
      </c>
      <c r="G210" s="2362" t="s">
        <v>678</v>
      </c>
      <c r="H210" s="2362"/>
      <c r="I210" s="438"/>
      <c r="J210" s="2319" t="str">
        <f>IF(SUM(C208)&gt;1,"Hinweis: Entschädigung C4.a ist für mehr als 100% des Personals kalkuliert.","")</f>
        <v/>
      </c>
      <c r="K210" s="2319"/>
      <c r="L210" s="2320"/>
      <c r="M210" s="1342" t="s">
        <v>797</v>
      </c>
    </row>
    <row r="211" spans="1:19" ht="17.850000000000001" customHeight="1" x14ac:dyDescent="0.25">
      <c r="A211" s="2424"/>
      <c r="B211" s="2425"/>
      <c r="C211" s="2425"/>
      <c r="D211" s="2425"/>
      <c r="E211" s="2425"/>
      <c r="F211" s="2425"/>
      <c r="G211" s="2425"/>
      <c r="H211" s="2425"/>
      <c r="I211" s="438"/>
      <c r="J211" s="2319"/>
      <c r="K211" s="2319"/>
      <c r="L211" s="2320"/>
      <c r="M211" s="1959"/>
      <c r="N211" s="1959"/>
      <c r="O211" s="1960"/>
      <c r="Q211" s="1973" t="s">
        <v>958</v>
      </c>
      <c r="R211" s="1958"/>
      <c r="S211" s="1984"/>
    </row>
    <row r="212" spans="1:19" ht="20.100000000000001" customHeight="1" x14ac:dyDescent="0.25">
      <c r="A212" s="2687" t="s">
        <v>794</v>
      </c>
      <c r="B212" s="2688"/>
      <c r="C212" s="2688"/>
      <c r="D212" s="2688"/>
      <c r="E212" s="2688"/>
      <c r="F212" s="2688"/>
      <c r="G212" s="2688"/>
      <c r="H212" s="2688"/>
      <c r="I212" s="438"/>
      <c r="J212" s="2319"/>
      <c r="K212" s="2319"/>
      <c r="L212" s="2320"/>
      <c r="M212" s="1961" t="s">
        <v>954</v>
      </c>
      <c r="O212" s="1965"/>
      <c r="P212" s="1342" t="s">
        <v>959</v>
      </c>
      <c r="Q212" s="1988" t="s">
        <v>320</v>
      </c>
      <c r="R212" s="1965" t="s">
        <v>321</v>
      </c>
      <c r="S212" s="1965"/>
    </row>
    <row r="213" spans="1:19" ht="17.850000000000001" customHeight="1" thickBot="1" x14ac:dyDescent="0.35">
      <c r="A213" s="2314" t="s">
        <v>795</v>
      </c>
      <c r="B213" s="2426"/>
      <c r="C213" s="2427"/>
      <c r="D213" s="2442"/>
      <c r="E213" s="2443"/>
      <c r="F213" s="2444"/>
      <c r="G213" s="715" t="str">
        <f>G208</f>
        <v>frei</v>
      </c>
      <c r="H213" s="959" t="str">
        <f>H208</f>
        <v>pflichtig</v>
      </c>
      <c r="I213" s="438"/>
      <c r="L213" s="216"/>
      <c r="M213" s="1342" t="s">
        <v>1123</v>
      </c>
      <c r="O213" s="2017">
        <f ca="1">(SUM(C68:C69)/C67)</f>
        <v>0.1111</v>
      </c>
      <c r="P213" s="2018">
        <f ca="1">O215</f>
        <v>0.1111</v>
      </c>
      <c r="Q213" s="2019">
        <f ca="1">$F221*G220/$C$95</f>
        <v>0.112</v>
      </c>
      <c r="R213" s="2019">
        <f ca="1">$F221*H220/$C$95</f>
        <v>0.27900000000000003</v>
      </c>
      <c r="S213" s="1965" t="s">
        <v>415</v>
      </c>
    </row>
    <row r="214" spans="1:19" ht="17.850000000000001" customHeight="1" thickTop="1" thickBot="1" x14ac:dyDescent="0.3">
      <c r="A214" s="2689"/>
      <c r="B214" s="2690"/>
      <c r="C214" s="2690"/>
      <c r="D214" s="2624" t="s">
        <v>796</v>
      </c>
      <c r="E214" s="2624"/>
      <c r="F214" s="2625"/>
      <c r="G214" s="952"/>
      <c r="H214" s="962"/>
      <c r="I214" s="578" t="str">
        <f>IF(OR(H214&lt;&gt;0,G214&lt;&gt;0),"X","")</f>
        <v/>
      </c>
      <c r="J214" s="271" t="str">
        <f>IF(OR(AND(A214="",SUM(G214,H214)&gt;0),AND(A214&lt;&gt;"",SUM(G214,H214)=0)),"Eingabe unvollständig (ergänzen oder löschen)!","")</f>
        <v/>
      </c>
      <c r="L214" s="216"/>
      <c r="M214" s="1342" t="s">
        <v>955</v>
      </c>
      <c r="O214" s="2017">
        <f ca="1">C68/C67</f>
        <v>0</v>
      </c>
      <c r="P214" s="2018">
        <f>O216</f>
        <v>0</v>
      </c>
      <c r="Q214" s="2019">
        <f ca="1">$P217*G220/$C$95</f>
        <v>0.112</v>
      </c>
      <c r="R214" s="2019">
        <f ca="1">$P217*H220/$C$95</f>
        <v>0.27900000000000003</v>
      </c>
      <c r="S214" s="1974" t="s">
        <v>960</v>
      </c>
    </row>
    <row r="215" spans="1:19" ht="17.850000000000001" customHeight="1" x14ac:dyDescent="0.25">
      <c r="A215" s="2255" t="str">
        <f>"Die abgabepflichtigen Entgelte in Hv "&amp;TEXT(H214,"0,00€")&amp;" unterliegen zu "</f>
        <v xml:space="preserve">Die abgabepflichtigen Entgelte in Hv 0,00€ unterliegen zu </v>
      </c>
      <c r="B215" s="2256"/>
      <c r="C215" s="2256"/>
      <c r="D215" s="2256"/>
      <c r="E215" s="2256"/>
      <c r="F215" s="762">
        <v>1</v>
      </c>
      <c r="G215" s="2453" t="s">
        <v>678</v>
      </c>
      <c r="H215" s="2453"/>
      <c r="I215" s="578"/>
      <c r="J215" s="271"/>
      <c r="L215" s="216"/>
      <c r="M215" s="1342" t="s">
        <v>956</v>
      </c>
      <c r="O215" s="2017">
        <f ca="1">C69/C67</f>
        <v>0.1111</v>
      </c>
      <c r="P215" s="2018">
        <f ca="1">O215</f>
        <v>0.1111</v>
      </c>
    </row>
    <row r="216" spans="1:19" ht="17.850000000000001" customHeight="1" x14ac:dyDescent="0.25">
      <c r="A216" s="2863"/>
      <c r="B216" s="2864"/>
      <c r="C216" s="2864"/>
      <c r="D216" s="2864"/>
      <c r="E216" s="2864"/>
      <c r="F216" s="2864"/>
      <c r="G216" s="2864"/>
      <c r="H216" s="2864"/>
      <c r="I216" s="578"/>
      <c r="J216" s="271"/>
      <c r="L216" s="216"/>
      <c r="M216" s="1342" t="s">
        <v>957</v>
      </c>
      <c r="O216" s="2017">
        <v>0</v>
      </c>
      <c r="P216" s="2018">
        <f>O216</f>
        <v>0</v>
      </c>
    </row>
    <row r="217" spans="1:19" ht="17.850000000000001" customHeight="1" x14ac:dyDescent="0.25">
      <c r="A217" s="2865"/>
      <c r="B217" s="2866"/>
      <c r="C217" s="2866"/>
      <c r="D217" s="2866"/>
      <c r="E217" s="2866"/>
      <c r="F217" s="2866"/>
      <c r="G217" s="2866"/>
      <c r="H217" s="2866"/>
      <c r="I217" s="438"/>
      <c r="L217" s="216"/>
      <c r="P217" s="1999">
        <f ca="1">VLOOKUP(C221,M213:P216,4,FALSE)</f>
        <v>0.1111</v>
      </c>
    </row>
    <row r="218" spans="1:19" ht="20.100000000000001" customHeight="1" x14ac:dyDescent="0.25">
      <c r="A218" s="2169" t="s">
        <v>965</v>
      </c>
      <c r="B218" s="2170"/>
      <c r="C218" s="2170"/>
      <c r="D218" s="2170"/>
      <c r="E218" s="2170"/>
      <c r="F218" s="2170"/>
      <c r="G218" s="2170"/>
      <c r="H218" s="2170"/>
      <c r="I218" s="438"/>
      <c r="L218" s="216"/>
      <c r="M218" s="2020" t="s">
        <v>888</v>
      </c>
      <c r="N218" s="1959"/>
      <c r="O218" s="1960">
        <f ca="1">E55/E45</f>
        <v>0.1</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4.6100000000000003</v>
      </c>
    </row>
    <row r="220" spans="1:19" ht="17.850000000000001" customHeight="1" thickTop="1" x14ac:dyDescent="0.25">
      <c r="A220" s="2657" t="s">
        <v>890</v>
      </c>
      <c r="B220" s="2658"/>
      <c r="C220" s="2658"/>
      <c r="D220" s="2658"/>
      <c r="E220" s="2658"/>
      <c r="F220" s="2658"/>
      <c r="G220" s="51">
        <f ca="1">SUM(G178,G189,G200,G209,G214)</f>
        <v>41.5</v>
      </c>
      <c r="H220" s="84">
        <f ca="1">SUM(H178,H189,H200,H209,H214)</f>
        <v>103</v>
      </c>
      <c r="I220" s="438"/>
      <c r="L220" s="216"/>
      <c r="M220" s="1967"/>
      <c r="N220" s="2022" t="s">
        <v>889</v>
      </c>
      <c r="O220" s="2023">
        <f ca="1">H224*O218</f>
        <v>11.44</v>
      </c>
    </row>
    <row r="221" spans="1:19" ht="17.850000000000001" customHeight="1" thickBot="1" x14ac:dyDescent="0.3">
      <c r="A221" s="2659" t="str">
        <f ca="1">IF(G72&lt;&gt;0,"E6.a) Zuschlag für B2:  ↓","E6.a) Nicht relevant (B2=0)")</f>
        <v>E6.a) Zuschlag für B2:  ↓</v>
      </c>
      <c r="B221" s="2660"/>
      <c r="C221" s="2849" t="s">
        <v>971</v>
      </c>
      <c r="D221" s="2849"/>
      <c r="E221" s="2850"/>
      <c r="F221" s="966">
        <f ca="1">IFERROR(VLOOKUP(C221,M213:O216,3,FALSE),M283)</f>
        <v>0.1111</v>
      </c>
      <c r="G221" s="354">
        <f ca="1">F221*G220</f>
        <v>4.6100000000000003</v>
      </c>
      <c r="H221" s="571">
        <f ca="1">F221*H220</f>
        <v>11.44</v>
      </c>
      <c r="I221" s="438"/>
      <c r="J221" s="2263"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63"/>
      <c r="L221" s="2264"/>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10,0% bzw ein Betrag abgabefrei in Hv 4,61€ abgabepflichtig in Hv 11,44€
erforderlich. Gegebenenfalls diese Beträge oder, wenn nur Teile von E1 bis E5 zutreffen anteilig, unter Pkt E6.c eintragen.</v>
      </c>
    </row>
    <row r="222" spans="1:19" ht="17.850000000000001" customHeight="1" x14ac:dyDescent="0.25">
      <c r="A222" s="2255" t="s">
        <v>799</v>
      </c>
      <c r="B222" s="2256"/>
      <c r="C222" s="2256"/>
      <c r="D222" s="2256"/>
      <c r="E222" s="2256"/>
      <c r="F222" s="2745"/>
      <c r="G222" s="51">
        <f ca="1">SUM(G220:G221)</f>
        <v>46.11</v>
      </c>
      <c r="H222" s="73">
        <f ca="1">SUM(H220:H221)</f>
        <v>114.44</v>
      </c>
      <c r="I222" s="438"/>
      <c r="J222" s="2263"/>
      <c r="K222" s="2263"/>
      <c r="L222" s="2264"/>
    </row>
    <row r="223" spans="1:19" ht="17.850000000000001" customHeight="1" thickBot="1" x14ac:dyDescent="0.3">
      <c r="A223" s="2622" t="s">
        <v>801</v>
      </c>
      <c r="B223" s="2623"/>
      <c r="C223" s="2623"/>
      <c r="D223" s="2623"/>
      <c r="E223" s="2645"/>
      <c r="F223" s="967">
        <v>0</v>
      </c>
      <c r="G223" s="60">
        <f ca="1">F223*G222</f>
        <v>0</v>
      </c>
      <c r="H223" s="963">
        <f ca="1">F223*H222</f>
        <v>0</v>
      </c>
      <c r="I223" s="578" t="str">
        <f>IF(F223&lt;&gt;0,"X","")</f>
        <v/>
      </c>
      <c r="J223" s="2263"/>
      <c r="K223" s="2263"/>
      <c r="L223" s="2264"/>
    </row>
    <row r="224" spans="1:19" ht="17.850000000000001" customHeight="1" x14ac:dyDescent="0.25">
      <c r="A224" s="2255" t="s">
        <v>800</v>
      </c>
      <c r="B224" s="2256"/>
      <c r="C224" s="2256"/>
      <c r="D224" s="2256"/>
      <c r="E224" s="2256"/>
      <c r="F224" s="2745"/>
      <c r="G224" s="51">
        <f ca="1">SUM(G222,G223)</f>
        <v>46.11</v>
      </c>
      <c r="H224" s="73">
        <f ca="1">SUM(H222,H223)</f>
        <v>114.44</v>
      </c>
      <c r="I224" s="578"/>
      <c r="J224" s="2263"/>
      <c r="K224" s="2263"/>
      <c r="L224" s="2264"/>
      <c r="M224" s="2024" t="s">
        <v>589</v>
      </c>
      <c r="N224" s="2024"/>
      <c r="O224" s="2024"/>
      <c r="P224" s="2024"/>
      <c r="Q224" s="2025"/>
    </row>
    <row r="225" spans="1:19" ht="17.850000000000001" customHeight="1" thickBot="1" x14ac:dyDescent="0.3">
      <c r="A225" s="2622" t="s">
        <v>953</v>
      </c>
      <c r="B225" s="2623"/>
      <c r="C225" s="2623"/>
      <c r="D225" s="2645"/>
      <c r="E225" s="968"/>
      <c r="F225" s="968"/>
      <c r="G225" s="60">
        <f ca="1">IF(G224=0,0,E225)</f>
        <v>0</v>
      </c>
      <c r="H225" s="571">
        <f ca="1">IF(H224=0,0,F225)</f>
        <v>0</v>
      </c>
      <c r="I225" s="578" t="str">
        <f>IF(OR(E225&lt;&gt;0,F225&lt;&gt;0),"X","")</f>
        <v/>
      </c>
      <c r="J225" s="2263"/>
      <c r="K225" s="2263"/>
      <c r="L225" s="2264"/>
      <c r="M225" s="519" t="s">
        <v>88</v>
      </c>
      <c r="N225" s="519"/>
      <c r="O225" s="519" t="s">
        <v>583</v>
      </c>
      <c r="P225" s="519" t="s">
        <v>584</v>
      </c>
      <c r="Q225" s="2026"/>
    </row>
    <row r="226" spans="1:19" ht="17.850000000000001" customHeight="1" thickBot="1" x14ac:dyDescent="0.3">
      <c r="A226" s="2746" t="s">
        <v>798</v>
      </c>
      <c r="B226" s="2747"/>
      <c r="C226" s="2747"/>
      <c r="D226" s="2747"/>
      <c r="E226" s="2747"/>
      <c r="F226" s="2748"/>
      <c r="G226" s="349">
        <f ca="1">SUM(G224:G225)</f>
        <v>46.11</v>
      </c>
      <c r="H226" s="522">
        <f ca="1">SUM(H224:H225)</f>
        <v>114.44</v>
      </c>
      <c r="I226" s="438"/>
      <c r="J226" s="2178" t="str">
        <f ca="1">IF(OR(AND(G224=0,E225&lt;&gt;0),AND(H224=0,F225&lt;&gt;0)),"Zu E6.c: Keine Anpassung ohne Grundkalkulation (bzw Wert =0)!","")</f>
        <v/>
      </c>
      <c r="K226" s="2178"/>
      <c r="L226" s="2179"/>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41,00 Std/Wo in € pro Std</v>
      </c>
      <c r="B227" s="1885"/>
      <c r="C227" s="1885"/>
      <c r="D227" s="1885"/>
      <c r="E227" s="1885"/>
      <c r="F227" s="1886" t="s">
        <v>1108</v>
      </c>
      <c r="G227" s="1209">
        <f ca="1">IFERROR(IF(F227=Q35,ROUNDUP(G226/C95,1),G226/C95),"?")</f>
        <v>1.2</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659" t="str">
        <f ca="1">"E) Ergebnis Abgabepflichtig (K3 Z 9) bei "&amp;TEXT(C95,"0,00")&amp;" Std/Wo in € pro Std"</f>
        <v>E) Ergebnis Abgabepflichtig (K3 Z 9) bei 41,00 Std/Wo in € pro Std</v>
      </c>
      <c r="B228" s="2660"/>
      <c r="C228" s="2660"/>
      <c r="D228" s="2660"/>
      <c r="E228" s="2661"/>
      <c r="F228" s="1886" t="s">
        <v>1108</v>
      </c>
      <c r="G228" s="592"/>
      <c r="H228" s="1208">
        <f ca="1">IFERROR(IF(F228=Q35,ROUNDUP(H226/C95,1),H226/C95),"?")</f>
        <v>2.8</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1111</v>
      </c>
      <c r="B229" s="447"/>
      <c r="C229" s="447"/>
      <c r="D229" s="447"/>
      <c r="E229" s="447"/>
      <c r="F229" s="447"/>
      <c r="G229" s="663">
        <f ca="1">IFERROR(IF(F227=Q35,ROUNDUP((G226-G177*(1+F221)*(1+F223)-G221-G223)/C95,1),(G226-G177*(1+F221)*(1+F223)-G221-G223)/C95),"?")</f>
        <v>1.1000000000000001</v>
      </c>
      <c r="H229" s="663">
        <f ca="1">IFERROR(IF(F228=Q35,ROUNDUP((H226-H221-H223)/C95,1),(H226-H221-H223)/C95),"?")</f>
        <v>2.6</v>
      </c>
      <c r="I229" s="438"/>
      <c r="L229" s="216"/>
      <c r="M229" s="519" t="s">
        <v>809</v>
      </c>
      <c r="N229" s="2027">
        <f t="shared" ca="1" si="34"/>
        <v>1</v>
      </c>
      <c r="O229" s="2028">
        <f ca="1">IF(H209="",0,H209)</f>
        <v>103</v>
      </c>
      <c r="P229" s="2029">
        <f>F210</f>
        <v>1</v>
      </c>
      <c r="Q229" s="2030">
        <f ca="1">N229*P229</f>
        <v>1</v>
      </c>
    </row>
    <row r="230" spans="1:19" ht="20.100000000000001" customHeight="1" x14ac:dyDescent="0.25">
      <c r="A230" s="2317" t="str">
        <f ca="1">A74</f>
        <v>Info: KV &amp; up.Z: 20,00€ | abgabepfl. Pers.ko: 26,00€ | vor Uml: 53,00€ | KOSTEN: 59,64€ | PREIS: 76,94€</v>
      </c>
      <c r="B230" s="2318"/>
      <c r="C230" s="2318"/>
      <c r="D230" s="2318"/>
      <c r="E230" s="2318"/>
      <c r="F230" s="2318"/>
      <c r="G230" s="2318"/>
      <c r="H230" s="2318"/>
      <c r="I230" s="438"/>
      <c r="L230" s="216"/>
      <c r="M230" s="519" t="s">
        <v>810</v>
      </c>
      <c r="N230" s="2027">
        <f t="shared" ca="1" si="34"/>
        <v>0</v>
      </c>
      <c r="O230" s="2031">
        <f>IFERROR(H214,0)</f>
        <v>0</v>
      </c>
      <c r="P230" s="2029">
        <f>F215</f>
        <v>1</v>
      </c>
      <c r="Q230" s="2030">
        <f ca="1">N230*P230</f>
        <v>0</v>
      </c>
    </row>
    <row r="231" spans="1:19" ht="17.850000000000001" customHeight="1" x14ac:dyDescent="0.25">
      <c r="A231" s="2351"/>
      <c r="B231" s="2352"/>
      <c r="C231" s="2352"/>
      <c r="D231" s="2352"/>
      <c r="E231" s="2352"/>
      <c r="F231" s="2352"/>
      <c r="G231" s="2352"/>
      <c r="H231" s="2352"/>
      <c r="I231" s="2352"/>
      <c r="L231" s="216"/>
      <c r="M231" s="2032" t="s">
        <v>377</v>
      </c>
      <c r="N231" s="2032"/>
      <c r="O231" s="2033">
        <f ca="1">SUM(O226:O230)</f>
        <v>103</v>
      </c>
      <c r="P231" s="2032"/>
      <c r="Q231" s="2034">
        <f ca="1">SUM(Q226:Q230)</f>
        <v>1</v>
      </c>
    </row>
    <row r="232" spans="1:19" ht="25.15" customHeight="1" x14ac:dyDescent="0.25">
      <c r="A232" s="2223" t="s">
        <v>504</v>
      </c>
      <c r="B232" s="2224"/>
      <c r="C232" s="2224"/>
      <c r="D232" s="2224"/>
      <c r="E232" s="2224"/>
      <c r="F232" s="2224"/>
      <c r="G232" s="2224"/>
      <c r="H232" s="2224"/>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653" t="str">
        <f ca="1">"F1.a) Direkte Personalnebenkosten (DPNK) gem Stamm-/Quelldaten (Basis "&amp;TEXT(Stammdaten!I9,"TT.MM.JJJJ")&amp;")"</f>
        <v>F1.a) Direkte Personalnebenkosten (DPNK) gem Stamm-/Quelldaten (Basis 01.01.2026)</v>
      </c>
      <c r="B234" s="2654"/>
      <c r="C234" s="2654"/>
      <c r="D234" s="2654"/>
      <c r="E234" s="2654"/>
      <c r="F234" s="2654"/>
      <c r="G234" s="2655"/>
      <c r="H234" s="998">
        <f ca="1">IFERROR(Stammdaten!B151,"")</f>
        <v>0.28039999999999998</v>
      </c>
      <c r="I234" s="438"/>
      <c r="J234" s="2485" t="str">
        <f ca="1">IF((TODAY()-Stammdaten!I9)&gt;365,"Daten in der Quelldatei (Blatt DPNK) sind offenbar älter als 1 Jahr. Auf Aktualität prüfen und die Datumsangabe aktualisieren (in der Quelldatei, Blatt DPNK)!","")</f>
        <v/>
      </c>
      <c r="K234" s="2485"/>
      <c r="L234" s="2486"/>
      <c r="M234" s="2037" t="s">
        <v>17</v>
      </c>
      <c r="N234" s="2038" t="s">
        <v>588</v>
      </c>
      <c r="O234" s="2038"/>
      <c r="P234" s="2039">
        <f ca="1">1-P233</f>
        <v>0</v>
      </c>
      <c r="Q234" s="2040"/>
      <c r="R234" s="1342" t="s">
        <v>819</v>
      </c>
      <c r="S234" s="1343">
        <f ca="1">M235-N235</f>
        <v>23.2</v>
      </c>
    </row>
    <row r="235" spans="1:19" ht="17.850000000000001" customHeight="1" thickBot="1" x14ac:dyDescent="0.3">
      <c r="A235" s="2714" t="s">
        <v>808</v>
      </c>
      <c r="B235" s="2715"/>
      <c r="C235" s="2715"/>
      <c r="D235" s="2715"/>
      <c r="E235" s="2715"/>
      <c r="F235" s="2715"/>
      <c r="G235" s="2716"/>
      <c r="H235" s="999"/>
      <c r="I235" s="578" t="str">
        <f>IF(H235&lt;&gt;0,"X","")</f>
        <v/>
      </c>
      <c r="J235" s="2485"/>
      <c r="K235" s="2485"/>
      <c r="L235" s="2486"/>
      <c r="M235" s="2041">
        <f ca="1">' K3 PP'!O28</f>
        <v>26</v>
      </c>
      <c r="N235" s="2042">
        <f ca="1">' K3 PP'!O27</f>
        <v>2.8</v>
      </c>
      <c r="O235" s="519" t="s">
        <v>817</v>
      </c>
      <c r="P235" s="2043">
        <f ca="1">N235*P233</f>
        <v>2.8</v>
      </c>
      <c r="Q235" s="2043">
        <f ca="1">M235-N235+P235</f>
        <v>26</v>
      </c>
      <c r="R235" s="1342" t="s">
        <v>820</v>
      </c>
      <c r="S235" s="1343">
        <f ca="1">S234+P235</f>
        <v>26</v>
      </c>
    </row>
    <row r="236" spans="1:19" ht="17.850000000000001" customHeight="1" x14ac:dyDescent="0.25">
      <c r="A236" s="2144" t="str">
        <f ca="1">IFERROR("F1) Ergebnis Direkte Personalnebenkosten (K3 Zeile 12) "&amp;TEXT(' K3 PP'!O30,"0,00€")&amp;" bzw in %",KALKULATION!M286)</f>
        <v>F1) Ergebnis Direkte Personalnebenkosten (K3 Zeile 12) 7,28€ bzw in %</v>
      </c>
      <c r="B236" s="2145"/>
      <c r="C236" s="2145"/>
      <c r="D236" s="2145"/>
      <c r="E236" s="2145"/>
      <c r="F236" s="2145"/>
      <c r="G236" s="2145"/>
      <c r="H236" s="580">
        <f ca="1">IF(_OK?="OK!",SUM(H234:H235),ROUND(H234,2))</f>
        <v>0.28000000000000003</v>
      </c>
      <c r="I236" s="438"/>
      <c r="J236" s="2293" t="str">
        <f>IF(H235="","","Hinweis: DPNK lassen sich genau bestimmen/nachrechnen!")</f>
        <v/>
      </c>
      <c r="K236" s="2293"/>
      <c r="L236" s="2294"/>
      <c r="M236" s="2040" t="s">
        <v>815</v>
      </c>
      <c r="N236" s="2044" t="s">
        <v>816</v>
      </c>
      <c r="O236" s="519" t="s">
        <v>818</v>
      </c>
      <c r="P236" s="2043">
        <f ca="1">N235*P234</f>
        <v>0</v>
      </c>
      <c r="Q236" s="2043">
        <f ca="1">M235-N235+P236</f>
        <v>23.2</v>
      </c>
      <c r="R236" s="1342" t="s">
        <v>821</v>
      </c>
      <c r="S236" s="1343">
        <f ca="1">S235+P236</f>
        <v>26</v>
      </c>
    </row>
    <row r="237" spans="1:19" ht="20.100000000000001" customHeight="1" x14ac:dyDescent="0.25">
      <c r="A237" s="2709"/>
      <c r="B237" s="2710"/>
      <c r="C237" s="2710"/>
      <c r="D237" s="2710"/>
      <c r="E237" s="2710"/>
      <c r="F237" s="2710"/>
      <c r="G237" s="2710"/>
      <c r="H237" s="2710"/>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319" t="str">
        <f ca="1">IFERROR(IF(H239-Stammdaten!C160&lt;&gt;0,"Hinweis: Wert aus der Quelldatei ist im Blatt STAMMDATEN individuell geändert!",""),"Stammdaten unvollständig / Quelldatei nicht verknüpft!")</f>
        <v/>
      </c>
      <c r="K238" s="2319"/>
      <c r="L238" s="2320"/>
      <c r="M238" s="2867" t="str">
        <f ca="1">"Zu F2.b1) Das abgabepfl. Entgelt gem K3-Blatt (Z 10) beträgt "&amp;TEXT(M235,"0,00€")&amp;". Darin sind abgabepfl. Entschädigungen nach den Ansätzen in Pkt E in Hv "&amp;TEXT(N235,"0,00€")&amp;" enthalten. "</f>
        <v xml:space="preserve">Zu F2.b1) Das abgabepfl. Entgelt gem K3-Blatt (Z 10) beträgt 26,00€. Darin sind abgabepfl. Entschädigungen nach den Ansätzen in Pkt E in Hv 2,80€ enthalten. </v>
      </c>
      <c r="N238" s="2867"/>
      <c r="O238" s="2867"/>
      <c r="P238" s="2867"/>
      <c r="Q238" s="2867"/>
    </row>
    <row r="239" spans="1:19" ht="17.25" customHeight="1" x14ac:dyDescent="0.25">
      <c r="A239" s="2134" t="s">
        <v>373</v>
      </c>
      <c r="B239" s="2135"/>
      <c r="C239" s="2135"/>
      <c r="D239" s="2135"/>
      <c r="E239" s="2135"/>
      <c r="F239" s="2135"/>
      <c r="G239" s="2135"/>
      <c r="H239" s="1010">
        <f ca="1">Stammdaten!E160</f>
        <v>0.86799999999999999</v>
      </c>
      <c r="I239" s="438"/>
      <c r="J239" s="2319"/>
      <c r="K239" s="2319"/>
      <c r="L239" s="2320"/>
      <c r="M239" s="2867"/>
      <c r="N239" s="2867"/>
      <c r="O239" s="2867"/>
      <c r="P239" s="2867"/>
      <c r="Q239" s="2867"/>
    </row>
    <row r="240" spans="1:19" ht="17.850000000000001" customHeight="1" x14ac:dyDescent="0.25">
      <c r="A240" s="45"/>
      <c r="I240" s="438"/>
      <c r="J240" s="2167" t="str">
        <f>IF(G242=_Nein,"Hinweis zu F2.a): Mehrarbeit schafft für Teile der UPNK eine größere Basis. Sind die UPNK nach einer Musterberechnung (die auf KollV-Normalarbeitszeit fußt) ermittelt, sollte die Anpassung der UPNK gewählt werden.","")</f>
        <v/>
      </c>
      <c r="K240" s="2167"/>
      <c r="L240" s="2168"/>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(26,00€/26,00€)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69" t="str">
        <f ca="1">"F2 …) Festlegungen für eine allfällig erforderliche Anpassung der UPNK in Hv "&amp;TEXT(H239,"0,00%")</f>
        <v>F2 …) Festlegungen für eine allfällig erforderliche Anpassung der UPNK in Hv 86,80%</v>
      </c>
      <c r="B241" s="2170"/>
      <c r="C241" s="2170"/>
      <c r="D241" s="2170"/>
      <c r="E241" s="2170"/>
      <c r="F241" s="2170"/>
      <c r="G241" s="2170"/>
      <c r="H241" s="2170"/>
      <c r="I241" s="438"/>
      <c r="J241" s="2167"/>
      <c r="K241" s="2167"/>
      <c r="L241" s="2168"/>
      <c r="M241" s="2867"/>
      <c r="N241" s="2867"/>
      <c r="O241" s="2867"/>
      <c r="P241" s="2867"/>
      <c r="Q241" s="2867"/>
    </row>
    <row r="242" spans="1:17" ht="17.850000000000001" customHeight="1" x14ac:dyDescent="0.25">
      <c r="A242" s="2169" t="s">
        <v>507</v>
      </c>
      <c r="B242" s="2170"/>
      <c r="C242" s="2171"/>
      <c r="D242" s="2750" t="str">
        <f ca="1">IF(C95-C87=0,"Info: Keine Mehrarbeit kalkuliert!","Berücksichtige? (Ja/Nein): ↓")</f>
        <v>Berücksichtige? (Ja/Nein): ↓</v>
      </c>
      <c r="E242" s="2750"/>
      <c r="F242" s="2751"/>
      <c r="G242" s="524" t="s">
        <v>192</v>
      </c>
      <c r="H242" s="1102" t="s">
        <v>224</v>
      </c>
      <c r="I242" s="438"/>
      <c r="J242" s="2167"/>
      <c r="K242" s="2167"/>
      <c r="L242" s="2168"/>
      <c r="M242" s="2867"/>
      <c r="N242" s="2867"/>
      <c r="O242" s="2867"/>
      <c r="P242" s="2867"/>
      <c r="Q242" s="2867"/>
    </row>
    <row r="243" spans="1:17" ht="17.850000000000001" customHeight="1" x14ac:dyDescent="0.25">
      <c r="A243" s="2345" t="s">
        <v>284</v>
      </c>
      <c r="B243" s="2346"/>
      <c r="C243" s="595">
        <f ca="1">' K3 PP'!P9</f>
        <v>39</v>
      </c>
      <c r="D243" s="1098" t="s">
        <v>285</v>
      </c>
      <c r="E243" s="595">
        <f ca="1">' K3 PP'!P19</f>
        <v>41</v>
      </c>
      <c r="F243" s="2656" t="s">
        <v>682</v>
      </c>
      <c r="G243" s="2656"/>
      <c r="H243" s="1000">
        <f ca="1">IF(C95-C87=0,1,IF(G242=_Ja,C243/E243,1))</f>
        <v>0.95120000000000005</v>
      </c>
      <c r="I243" s="583"/>
      <c r="J243" s="2263" t="str">
        <f ca="1">IF(AND(P236=0,G245=_Ja),"
Pkt F2.b1 ist wegen der Eingaben/Einstellungen in Pkt E nicht relevant. Es erfolgt keine Anpassung.",IF(G245=_Ja,M238&amp;M240,""))</f>
        <v xml:space="preserve">
Pkt F2.b1 ist wegen der Eingaben/Einstellungen in Pkt E nicht relevant. Es erfolgt keine Anpassung.</v>
      </c>
      <c r="K243" s="2263"/>
      <c r="L243" s="2264"/>
      <c r="M243" s="2867"/>
      <c r="N243" s="2867"/>
      <c r="O243" s="2867"/>
      <c r="P243" s="2867"/>
      <c r="Q243" s="2867"/>
    </row>
    <row r="244" spans="1:17" ht="17.850000000000001" customHeight="1" x14ac:dyDescent="0.25">
      <c r="A244" s="45"/>
      <c r="I244" s="583"/>
      <c r="J244" s="2263"/>
      <c r="K244" s="2263"/>
      <c r="L244" s="2264"/>
    </row>
    <row r="245" spans="1:17" ht="17.850000000000001" customHeight="1" x14ac:dyDescent="0.25">
      <c r="A245" s="2169" t="s">
        <v>508</v>
      </c>
      <c r="B245" s="2170"/>
      <c r="C245" s="2171"/>
      <c r="D245" s="2172" t="s">
        <v>537</v>
      </c>
      <c r="E245" s="2172"/>
      <c r="F245" s="2173"/>
      <c r="G245" s="524" t="s">
        <v>192</v>
      </c>
      <c r="H245" s="1001"/>
      <c r="I245" s="583"/>
      <c r="J245" s="2263"/>
      <c r="K245" s="2263"/>
      <c r="L245" s="2264"/>
    </row>
    <row r="246" spans="1:17" ht="17.850000000000001" customHeight="1" x14ac:dyDescent="0.25">
      <c r="A246" s="2208" t="s">
        <v>1087</v>
      </c>
      <c r="B246" s="2305"/>
      <c r="C246" s="2305"/>
      <c r="D246" s="2305"/>
      <c r="E246" s="2305"/>
      <c r="F246" s="2305"/>
      <c r="G246" s="2305"/>
      <c r="H246" s="2305"/>
      <c r="I246" s="583"/>
      <c r="J246" s="2263"/>
      <c r="K246" s="2263"/>
      <c r="L246" s="2264"/>
    </row>
    <row r="247" spans="1:17" ht="17.850000000000001" customHeight="1" x14ac:dyDescent="0.25">
      <c r="A247" s="1017"/>
      <c r="B247" s="1018"/>
      <c r="C247" s="1018"/>
      <c r="D247" s="1018"/>
      <c r="E247" s="1018"/>
      <c r="F247" s="664" t="s">
        <v>758</v>
      </c>
      <c r="G247" s="160"/>
      <c r="H247" s="1000">
        <f ca="1">IF(G245=_Ja,S235/S236,1)</f>
        <v>1</v>
      </c>
      <c r="I247" s="583"/>
      <c r="J247" s="2263"/>
      <c r="K247" s="2263"/>
      <c r="L247" s="2264"/>
    </row>
    <row r="248" spans="1:17" ht="17.850000000000001" customHeight="1" x14ac:dyDescent="0.25">
      <c r="A248" s="45"/>
      <c r="H248" s="1018"/>
      <c r="I248" s="583"/>
      <c r="J248" s="2263"/>
      <c r="K248" s="2263"/>
      <c r="L248" s="2264"/>
    </row>
    <row r="249" spans="1:17" ht="17.850000000000001" customHeight="1" x14ac:dyDescent="0.25">
      <c r="A249" s="2629" t="s">
        <v>847</v>
      </c>
      <c r="B249" s="2630"/>
      <c r="C249" s="2630"/>
      <c r="D249" s="2630"/>
      <c r="E249" s="2630"/>
      <c r="F249" s="2630"/>
      <c r="G249" s="2630"/>
      <c r="I249" s="583"/>
      <c r="J249" s="2227" t="str">
        <f>IF(G245="Nein","Zu F2.b) "&amp;$M$297,IF(A251=M251,"Zu F2.b2) "&amp;$M$292&amp;$M$293&amp;$M$296,IF(A251=M252,"Zu F2.b2) "&amp;$M$294&amp;KALKULATION!$M$296,IF(A251=M253,"Zu F2.b2) "&amp;KALKULATION!$M295&amp;KALKULATION!$M$296,"Unter F2b.a ist keine Auswahl getroffen!"))))</f>
        <v>Zu F2.b2) 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Betriebe die dem BUAG unterliegen, wählen idR diese Einstellung.
Das Ergebnis der UPNK-Berechnung muss immer einem Plausibilitätscheck unterzogen werden!</v>
      </c>
      <c r="K249" s="2227"/>
      <c r="L249" s="2228"/>
    </row>
    <row r="250" spans="1:17" ht="17.850000000000001" customHeight="1" x14ac:dyDescent="0.25">
      <c r="A250" s="63" t="s">
        <v>848</v>
      </c>
      <c r="I250" s="583"/>
      <c r="J250" s="2227"/>
      <c r="K250" s="2227"/>
      <c r="L250" s="2228"/>
      <c r="M250" s="1946" t="s">
        <v>590</v>
      </c>
    </row>
    <row r="251" spans="1:17" ht="17.850000000000001" customHeight="1" x14ac:dyDescent="0.25">
      <c r="A251" s="2566" t="s">
        <v>1112</v>
      </c>
      <c r="B251" s="2567"/>
      <c r="C251" s="2567"/>
      <c r="D251" s="2567"/>
      <c r="E251" s="2721"/>
      <c r="F251" s="2666" t="s">
        <v>849</v>
      </c>
      <c r="G251" s="2666"/>
      <c r="H251" s="218">
        <f ca="1">VLOOKUP(A251,M251:O253,3,FALSE)</f>
        <v>6.48</v>
      </c>
      <c r="I251" s="583"/>
      <c r="J251" s="2227"/>
      <c r="K251" s="2227"/>
      <c r="L251" s="2228"/>
      <c r="M251" s="1342" t="s">
        <v>1112</v>
      </c>
      <c r="O251" s="1343">
        <f ca="1">SUM(' K3 PP'!O24:P26,P235)</f>
        <v>6.48</v>
      </c>
    </row>
    <row r="252" spans="1:17" ht="17.850000000000001" customHeight="1" x14ac:dyDescent="0.25">
      <c r="A252" s="2669" t="str">
        <f ca="1">"Info: Ihre Wahl ergibt ein Verhältnis v "&amp;TEXT(S235-H251,"0,00€")&amp;" zu "&amp;TEXT(S235,"0,00€")&amp;" u daher "</f>
        <v xml:space="preserve">Info: Ihre Wahl ergibt ein Verhältnis v 19,52€ zu 26,00€ u daher </v>
      </c>
      <c r="B252" s="2670"/>
      <c r="C252" s="2670"/>
      <c r="D252" s="2670"/>
      <c r="E252" s="2670"/>
      <c r="F252" s="2717" t="s">
        <v>591</v>
      </c>
      <c r="G252" s="2717"/>
      <c r="H252" s="1002">
        <f ca="1">IF(G245=_Ja,(S235-H251)/S235,1)</f>
        <v>0.75080000000000002</v>
      </c>
      <c r="I252" s="583"/>
      <c r="J252" s="2227"/>
      <c r="K252" s="2227"/>
      <c r="L252" s="2228"/>
      <c r="M252" s="1342" t="s">
        <v>922</v>
      </c>
      <c r="O252" s="1343">
        <f ca="1">' K3 PP'!O26</f>
        <v>0.57999999999999996</v>
      </c>
    </row>
    <row r="253" spans="1:17" ht="17.850000000000001" customHeight="1" x14ac:dyDescent="0.25">
      <c r="A253" s="435"/>
      <c r="B253" s="67"/>
      <c r="C253" s="67"/>
      <c r="D253" s="67"/>
      <c r="E253" s="1115"/>
      <c r="F253" s="1115"/>
      <c r="G253" s="1115"/>
      <c r="H253" s="581"/>
      <c r="I253" s="583"/>
      <c r="J253" s="2227"/>
      <c r="K253" s="2227"/>
      <c r="L253" s="2228"/>
      <c r="M253" s="1342" t="s">
        <v>923</v>
      </c>
      <c r="O253" s="1343">
        <v>0</v>
      </c>
    </row>
    <row r="254" spans="1:17" ht="17.850000000000001" customHeight="1" x14ac:dyDescent="0.25">
      <c r="A254" s="500" t="s">
        <v>850</v>
      </c>
      <c r="B254" s="345"/>
      <c r="C254" s="356"/>
      <c r="I254" s="438"/>
      <c r="J254" s="2227"/>
      <c r="K254" s="2227"/>
      <c r="L254" s="2228"/>
    </row>
    <row r="255" spans="1:17" ht="17.850000000000001" customHeight="1" x14ac:dyDescent="0.25">
      <c r="A255" s="2711" t="s">
        <v>637</v>
      </c>
      <c r="B255" s="2712"/>
      <c r="C255" s="2713"/>
      <c r="D255" s="717" t="s">
        <v>145</v>
      </c>
      <c r="E255" s="717" t="s">
        <v>146</v>
      </c>
      <c r="F255" s="717" t="s">
        <v>147</v>
      </c>
      <c r="G255" s="717" t="s">
        <v>148</v>
      </c>
      <c r="H255" s="1019" t="s">
        <v>56</v>
      </c>
      <c r="I255" s="438"/>
      <c r="J255" s="2227"/>
      <c r="K255" s="2227"/>
      <c r="L255" s="2228"/>
    </row>
    <row r="256" spans="1:17" ht="17.850000000000001" customHeight="1" x14ac:dyDescent="0.25">
      <c r="A256" s="2650" t="s">
        <v>115</v>
      </c>
      <c r="B256" s="2651"/>
      <c r="C256" s="2652"/>
      <c r="D256" s="1020">
        <f ca="1">Stammdaten!E156</f>
        <v>0.22900000000000001</v>
      </c>
      <c r="E256" s="1020">
        <f ca="1">Stammdaten!E157</f>
        <v>0.13800000000000001</v>
      </c>
      <c r="F256" s="1020">
        <f ca="1">Stammdaten!E158</f>
        <v>0</v>
      </c>
      <c r="G256" s="1020">
        <f ca="1">Stammdaten!E159</f>
        <v>0.501</v>
      </c>
      <c r="H256" s="1021">
        <f ca="1">SUM(D256:G256)</f>
        <v>0.86799999999999999</v>
      </c>
      <c r="I256" s="578"/>
      <c r="J256" s="2702"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702"/>
      <c r="L256" s="2703"/>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702"/>
      <c r="K257" s="2702"/>
      <c r="L257" s="2703"/>
    </row>
    <row r="258" spans="1:13" ht="17.850000000000001" customHeight="1" x14ac:dyDescent="0.25">
      <c r="A258" s="2744" t="str">
        <f>F243</f>
        <v xml:space="preserve">f1: Mehrarbeitsfaktor </v>
      </c>
      <c r="B258" s="2229"/>
      <c r="C258" s="2230"/>
      <c r="D258" s="1025"/>
      <c r="E258" s="1023">
        <f ca="1">H243</f>
        <v>0.95120000000000005</v>
      </c>
      <c r="F258" s="1026"/>
      <c r="G258" s="1023">
        <f ca="1">H243</f>
        <v>0.95120000000000005</v>
      </c>
      <c r="H258" s="1027"/>
      <c r="I258" s="438"/>
      <c r="J258" s="2702"/>
      <c r="K258" s="2702"/>
      <c r="L258" s="2703"/>
    </row>
    <row r="259" spans="1:13" ht="17.850000000000001" customHeight="1" x14ac:dyDescent="0.25">
      <c r="A259" s="2631" t="str">
        <f>F252</f>
        <v>f3: Mehrentgeltfaktor</v>
      </c>
      <c r="B259" s="2632"/>
      <c r="C259" s="2633"/>
      <c r="D259" s="1025"/>
      <c r="E259" s="1026"/>
      <c r="F259" s="1023">
        <f ca="1">H252</f>
        <v>0.75080000000000002</v>
      </c>
      <c r="G259" s="1023">
        <f ca="1">F259</f>
        <v>0.75080000000000002</v>
      </c>
      <c r="H259" s="1027"/>
      <c r="I259" s="438"/>
      <c r="J259" s="2702"/>
      <c r="K259" s="2702"/>
      <c r="L259" s="2703"/>
    </row>
    <row r="260" spans="1:13" ht="17.850000000000001" customHeight="1" x14ac:dyDescent="0.25">
      <c r="A260" s="1028"/>
      <c r="B260" s="1029"/>
      <c r="C260" s="1029"/>
      <c r="D260" s="1030">
        <f ca="1">D256*D257</f>
        <v>0.22900000000000001</v>
      </c>
      <c r="E260" s="1030">
        <f ca="1">E256*E258*E257</f>
        <v>0.1313</v>
      </c>
      <c r="F260" s="1030">
        <f ca="1">F256*F259*F257</f>
        <v>0</v>
      </c>
      <c r="G260" s="1030">
        <f ca="1">G256*G258*G259*G257</f>
        <v>0.35780000000000001</v>
      </c>
      <c r="H260" s="1031">
        <f ca="1">SUM(D260:G260)</f>
        <v>0.71809999999999996</v>
      </c>
      <c r="I260" s="438"/>
      <c r="J260" s="2764" t="str">
        <f ca="1">IFERROR(IF(OR(H265/H236&lt;Report!G11,KALKULATION!H265/KALKULATION!H236&gt;Report!F11),"Hinweis: das Verhältnis von UPNK (F2) zu DPNK (F1) scheint unplausibel; es liegt außerhalb der Richtwerte gem Blatt REPORT.",""),KALKULATION!M286)</f>
        <v/>
      </c>
      <c r="K260" s="2764"/>
      <c r="L260" s="2765"/>
      <c r="M260" s="2045" t="s">
        <v>1032</v>
      </c>
    </row>
    <row r="261" spans="1:13" ht="17.850000000000001" customHeight="1" x14ac:dyDescent="0.25">
      <c r="A261" s="2134" t="s">
        <v>513</v>
      </c>
      <c r="B261" s="2135"/>
      <c r="C261" s="2135"/>
      <c r="D261" s="2135"/>
      <c r="E261" s="2135"/>
      <c r="F261" s="2135"/>
      <c r="G261" s="2135"/>
      <c r="H261" s="612">
        <f ca="1">H260</f>
        <v>0.71809999999999996</v>
      </c>
      <c r="I261" s="438"/>
      <c r="J261" s="2764"/>
      <c r="K261" s="2764"/>
      <c r="L261" s="2765"/>
    </row>
    <row r="262" spans="1:13" ht="17.850000000000001" customHeight="1" x14ac:dyDescent="0.25">
      <c r="A262" s="2169" t="s">
        <v>852</v>
      </c>
      <c r="B262" s="2170"/>
      <c r="C262" s="2171"/>
      <c r="E262" s="160"/>
      <c r="F262" s="160"/>
      <c r="H262" s="46"/>
      <c r="I262" s="438"/>
      <c r="J262" s="2764"/>
      <c r="K262" s="2764"/>
      <c r="L262" s="2765"/>
    </row>
    <row r="263" spans="1:13" ht="17.850000000000001" customHeight="1" x14ac:dyDescent="0.25">
      <c r="A263" s="2134" t="s">
        <v>851</v>
      </c>
      <c r="B263" s="2135"/>
      <c r="C263" s="2135"/>
      <c r="D263" s="2135"/>
      <c r="E263" s="2135"/>
      <c r="F263" s="2135"/>
      <c r="G263" s="2135"/>
      <c r="H263" s="1032"/>
      <c r="I263" s="578" t="str">
        <f>IF(H263&lt;&gt;0,"X","")</f>
        <v/>
      </c>
      <c r="J263" s="2764"/>
      <c r="K263" s="2764"/>
      <c r="L263" s="2765"/>
    </row>
    <row r="264" spans="1:13" ht="17.850000000000001" customHeight="1" thickBot="1" x14ac:dyDescent="0.3">
      <c r="A264" s="2714" t="s">
        <v>853</v>
      </c>
      <c r="B264" s="2715"/>
      <c r="C264" s="2715"/>
      <c r="D264" s="2715"/>
      <c r="E264" s="2715"/>
      <c r="F264" s="2716"/>
      <c r="G264" s="1210" t="s">
        <v>924</v>
      </c>
      <c r="H264" s="582">
        <f ca="1">SUM(H261:H263)</f>
        <v>0.71809999999999996</v>
      </c>
      <c r="I264" s="578" t="str">
        <f>IF(G264&lt;&gt;"Nein","X","")</f>
        <v>X</v>
      </c>
      <c r="J264" s="2764"/>
      <c r="K264" s="2764"/>
      <c r="L264" s="2765"/>
    </row>
    <row r="265" spans="1:13" ht="17.850000000000001" customHeight="1" x14ac:dyDescent="0.25">
      <c r="A265" s="2691" t="str">
        <f ca="1">IFERROR("F2) Ergebnis Umgelegte Personalnebenkosten (K3 Zeile 13) "&amp;TEXT(' K3 PP'!O31,"0,00€")&amp;" bzw %",KALKULATION!M286)</f>
        <v>F2) Ergebnis Umgelegte Personalnebenkosten (K3 Zeile 13) 18,72€ bzw %</v>
      </c>
      <c r="B265" s="2692"/>
      <c r="C265" s="2692"/>
      <c r="D265" s="2692"/>
      <c r="E265" s="2692"/>
      <c r="F265" s="2692"/>
      <c r="G265" s="555" t="str">
        <f>IF(G264="Nein","","(gerundet)")</f>
        <v>(gerundet)</v>
      </c>
      <c r="H265" s="580">
        <f ca="1">IFERROR(IF(G264="auf #1,0%",ROUNDUP(H264*100,0)/100,IF(G264="auf #2,5%",ROUNDUP(H264*100/2.5,0)*2.5/100,IF(G264="auf #5,0%",ROUNDUP(H264*100/5,0)*5/100,H264))),"?")</f>
        <v>0.72</v>
      </c>
      <c r="I265" s="438"/>
      <c r="J265" s="2700" t="str">
        <f ca="1">IF(OR(H265&gt;Report!F10,H265&lt;Report!G10),"Hinweis: UPNK (F2) liegen außerhalb der Richtwerte gem Blatt REPORT. "&amp;IF(SUM(G257*2,G258,G259)/4&lt;0.85,"Die hohe Minderung mit den Faktoren kann die plausible Ursache sein. ",""),"")</f>
        <v/>
      </c>
      <c r="K265" s="2700"/>
      <c r="L265" s="2701"/>
    </row>
    <row r="266" spans="1:13" ht="17.850000000000001" customHeight="1" x14ac:dyDescent="0.25">
      <c r="A266" s="2667"/>
      <c r="B266" s="2668"/>
      <c r="C266" s="2668"/>
      <c r="D266" s="2668"/>
      <c r="E266" s="2668"/>
      <c r="F266" s="2668"/>
      <c r="G266" s="2668"/>
      <c r="H266" s="2668"/>
      <c r="I266" s="438"/>
      <c r="J266" s="2700"/>
      <c r="K266" s="2700"/>
      <c r="L266" s="2701"/>
    </row>
    <row r="267" spans="1:13" ht="20.100000000000001" customHeight="1" x14ac:dyDescent="0.25">
      <c r="A267" s="2430" t="s">
        <v>509</v>
      </c>
      <c r="B267" s="2431"/>
      <c r="C267" s="2431"/>
      <c r="D267" s="2431"/>
      <c r="E267" s="2431"/>
      <c r="F267" s="2431"/>
      <c r="G267" s="2431"/>
      <c r="H267" s="2431"/>
      <c r="I267" s="438"/>
      <c r="L267" s="216"/>
    </row>
    <row r="268" spans="1:13" ht="17.649999999999999" customHeight="1" thickBot="1" x14ac:dyDescent="0.3">
      <c r="A268" s="907"/>
      <c r="B268" s="908"/>
      <c r="C268" s="908"/>
      <c r="D268" s="849"/>
      <c r="E268" s="849"/>
      <c r="F268" s="850"/>
      <c r="G268" s="909" t="s">
        <v>698</v>
      </c>
      <c r="H268" s="851">
        <f ca="1">IFERROR(' K3 PP'!O28,0)</f>
        <v>26</v>
      </c>
      <c r="I268" s="438"/>
      <c r="L268" s="216"/>
    </row>
    <row r="269" spans="1:13" ht="17.850000000000001" customHeight="1" thickTop="1" x14ac:dyDescent="0.25">
      <c r="A269" s="848" t="s">
        <v>515</v>
      </c>
      <c r="B269" s="2122"/>
      <c r="C269" s="2123"/>
      <c r="D269" s="2123"/>
      <c r="E269" s="2123"/>
      <c r="F269" s="2124"/>
      <c r="G269" s="441"/>
      <c r="H269" s="1003">
        <f ca="1">G269*H268</f>
        <v>0</v>
      </c>
      <c r="I269" s="438"/>
      <c r="J269" s="2176"/>
      <c r="K269" s="2176"/>
      <c r="L269" s="2177"/>
    </row>
    <row r="270" spans="1:13" ht="17.850000000000001" customHeight="1" x14ac:dyDescent="0.25">
      <c r="A270" s="440" t="s">
        <v>514</v>
      </c>
      <c r="B270" s="2137"/>
      <c r="C270" s="2138"/>
      <c r="D270" s="2138"/>
      <c r="E270" s="2138"/>
      <c r="F270" s="2139"/>
      <c r="G270" s="339"/>
      <c r="H270" s="1003">
        <f ca="1">G270*H268</f>
        <v>0</v>
      </c>
      <c r="I270" s="438"/>
      <c r="J270" s="2176"/>
      <c r="K270" s="2176"/>
      <c r="L270" s="2177"/>
    </row>
    <row r="271" spans="1:13" ht="17.850000000000001" customHeight="1" x14ac:dyDescent="0.25">
      <c r="A271" s="2680" t="s">
        <v>516</v>
      </c>
      <c r="B271" s="2681"/>
      <c r="C271" s="2681"/>
      <c r="D271" s="2681"/>
      <c r="E271" s="2681"/>
      <c r="F271" s="2681"/>
      <c r="G271" s="2682"/>
      <c r="H271" s="1004"/>
      <c r="I271" s="438"/>
      <c r="L271" s="216"/>
    </row>
    <row r="272" spans="1:13" ht="17.850000000000001" customHeight="1" x14ac:dyDescent="0.25">
      <c r="A272" s="2627" t="s">
        <v>510</v>
      </c>
      <c r="B272" s="2628"/>
      <c r="C272" s="2137" t="s">
        <v>1055</v>
      </c>
      <c r="D272" s="2138"/>
      <c r="E272" s="2138"/>
      <c r="F272" s="2139"/>
      <c r="G272" s="852"/>
      <c r="H272" s="1003"/>
      <c r="I272" s="438"/>
      <c r="L272" s="216"/>
    </row>
    <row r="273" spans="1:18" ht="17.850000000000001" customHeight="1" thickBot="1" x14ac:dyDescent="0.3">
      <c r="A273" s="2739" t="s">
        <v>511</v>
      </c>
      <c r="B273" s="2740"/>
      <c r="C273" s="2740"/>
      <c r="D273" s="2740"/>
      <c r="E273" s="2741"/>
      <c r="F273" s="968">
        <v>2</v>
      </c>
      <c r="G273" s="1038" t="s">
        <v>684</v>
      </c>
      <c r="H273" s="1005">
        <f ca="1">F273/C95</f>
        <v>4.9000000000000002E-2</v>
      </c>
      <c r="I273" s="438"/>
      <c r="L273" s="216"/>
    </row>
    <row r="274" spans="1:18" ht="17.850000000000001" customHeight="1" x14ac:dyDescent="0.25">
      <c r="A274" s="2221" t="s">
        <v>512</v>
      </c>
      <c r="B274" s="2222"/>
      <c r="C274" s="2222"/>
      <c r="D274" s="2222"/>
      <c r="E274" s="2222"/>
      <c r="F274" s="2222"/>
      <c r="G274" s="2222"/>
      <c r="H274" s="1130">
        <f ca="1">SUM(H269:H273)</f>
        <v>4.9000000000000002E-2</v>
      </c>
      <c r="I274" s="438"/>
      <c r="J274" s="2229" t="str">
        <f>IF(OR(COUNTA(B269,G269)=1,COUNTA(B270,G270)=1,COUNTA(C272,F273)=1),"Information: Einige Zeilen bei F3 sind nur rudimentär ausgefüllt.","")</f>
        <v/>
      </c>
      <c r="K274" s="2229"/>
      <c r="L274" s="2230"/>
    </row>
    <row r="275" spans="1:18" ht="17.850000000000001" customHeight="1" x14ac:dyDescent="0.25">
      <c r="A275" s="2134" t="str">
        <f ca="1">"    Zwischenergebnis 1 inkl unproduktiver Zeiten (nach B2: "&amp;TEXT(H63,"0,00")&amp;"/"&amp;TEXT(F63,"0,00")&amp;")"</f>
        <v xml:space="preserve">    Zwischenergebnis 1 inkl unproduktiver Zeiten (nach B2: 0,40/3,60)</v>
      </c>
      <c r="B275" s="2135"/>
      <c r="C275" s="2135"/>
      <c r="D275" s="2135"/>
      <c r="E275" s="2135"/>
      <c r="F275" s="2135"/>
      <c r="G275" s="763">
        <f ca="1">H63/F63</f>
        <v>0.11111</v>
      </c>
      <c r="H275" s="1131">
        <f ca="1">H274*(1+G275)</f>
        <v>5.3999999999999999E-2</v>
      </c>
      <c r="I275" s="438"/>
      <c r="L275" s="216"/>
    </row>
    <row r="276" spans="1:18" ht="17.850000000000001" customHeight="1" thickBot="1" x14ac:dyDescent="0.3">
      <c r="A276" s="2677" t="s">
        <v>931</v>
      </c>
      <c r="B276" s="2678"/>
      <c r="C276" s="2678"/>
      <c r="D276" s="2678"/>
      <c r="E276" s="2678"/>
      <c r="F276" s="2679"/>
      <c r="G276" s="568">
        <v>0.3</v>
      </c>
      <c r="H276" s="1039">
        <f ca="1">H275*(1+G276)</f>
        <v>7.0000000000000007E-2</v>
      </c>
      <c r="I276" s="438"/>
      <c r="J276" s="2231" t="str">
        <f>IF(G276&lt;0.25,"Information: IdR fallen Beiträge/Abgaben auch in entgeltpflichtigen Ausfallzeiten an. Eingetragung prüfen (Erwartungswert rd 30%)!","")</f>
        <v/>
      </c>
      <c r="K276" s="2231"/>
      <c r="L276" s="2232"/>
    </row>
    <row r="277" spans="1:18" ht="17.850000000000001" customHeight="1" x14ac:dyDescent="0.25">
      <c r="A277" s="2629" t="str">
        <f ca="1">IFERROR("F3) Ergebnis Weitere Personalnebenkosten (K3 Zeile 14) "&amp;TEXT(' K3 PP'!O32,"0,00€")&amp;" bzw in %",KALKULATION!$M$286)</f>
        <v>F3) Ergebnis Weitere Personalnebenkosten (K3 Zeile 14) 0,07€ bzw in %</v>
      </c>
      <c r="B277" s="2630"/>
      <c r="C277" s="2630"/>
      <c r="D277" s="2630"/>
      <c r="E277" s="2630"/>
      <c r="F277" s="2630"/>
      <c r="G277" s="2630"/>
      <c r="H277" s="92">
        <f ca="1">IFERROR(H276/H268,"")</f>
        <v>2.7000000000000001E-3</v>
      </c>
      <c r="I277" s="438"/>
      <c r="J277" s="2231"/>
      <c r="K277" s="2231"/>
      <c r="L277" s="2232"/>
    </row>
    <row r="278" spans="1:18" ht="20.100000000000001" customHeight="1" x14ac:dyDescent="0.25">
      <c r="A278" s="2722" t="str">
        <f ca="1">A74</f>
        <v>Info: KV &amp; up.Z: 20,00€ | abgabepfl. Pers.ko: 26,00€ | vor Uml: 53,00€ | KOSTEN: 59,64€ | PREIS: 76,94€</v>
      </c>
      <c r="B278" s="2723"/>
      <c r="C278" s="2723"/>
      <c r="D278" s="2723"/>
      <c r="E278" s="2723"/>
      <c r="F278" s="2723"/>
      <c r="G278" s="2723"/>
      <c r="H278" s="2723"/>
      <c r="I278" s="438"/>
      <c r="J278" s="2299" t="str">
        <f ca="1">IFERROR(IF(H277&gt;0.035,"Weitere Personalnebenkosten (E3) erscheinen mit "&amp;H277*100&amp;"% hoch! ",""),"")</f>
        <v/>
      </c>
      <c r="K278" s="2299"/>
      <c r="L278" s="2310"/>
    </row>
    <row r="279" spans="1:18" ht="17.850000000000001" customHeight="1" x14ac:dyDescent="0.25">
      <c r="A279" s="2353"/>
      <c r="B279" s="2354"/>
      <c r="C279" s="2354"/>
      <c r="D279" s="2354"/>
      <c r="E279" s="2354"/>
      <c r="F279" s="2354"/>
      <c r="G279" s="2354"/>
      <c r="H279" s="2354"/>
      <c r="I279" s="2354"/>
      <c r="J279" s="2117"/>
      <c r="K279" s="2299"/>
      <c r="L279" s="2310"/>
    </row>
    <row r="280" spans="1:18" ht="25.15" customHeight="1" x14ac:dyDescent="0.25">
      <c r="A280" s="2223" t="s">
        <v>517</v>
      </c>
      <c r="B280" s="2224"/>
      <c r="C280" s="2224"/>
      <c r="D280" s="2224"/>
      <c r="E280" s="2224"/>
      <c r="F280" s="2224"/>
      <c r="G280" s="2224"/>
      <c r="H280" s="2224"/>
      <c r="I280" s="438"/>
      <c r="L280" s="216"/>
    </row>
    <row r="281" spans="1:18" ht="17.850000000000001" customHeight="1" x14ac:dyDescent="0.25">
      <c r="A281" s="2208" t="s">
        <v>255</v>
      </c>
      <c r="B281" s="2305"/>
      <c r="C281" s="2305"/>
      <c r="D281" s="2209"/>
      <c r="E281" s="2174" t="s">
        <v>593</v>
      </c>
      <c r="F281" s="2175"/>
      <c r="G281" s="2175"/>
      <c r="H281" s="996">
        <f ca="1">IFERROR(' K3 PP'!O33,"UNGÜLTIG")</f>
        <v>53</v>
      </c>
      <c r="I281" s="438"/>
      <c r="L281" s="216"/>
      <c r="M281" s="1977" t="s">
        <v>317</v>
      </c>
      <c r="N281" s="1977"/>
      <c r="O281" s="1977"/>
      <c r="P281" s="1977"/>
      <c r="Q281" s="1977"/>
      <c r="R281" s="1977"/>
    </row>
    <row r="282" spans="1:18" ht="17.850000000000001" customHeight="1" x14ac:dyDescent="0.25">
      <c r="A282" s="2683" t="s">
        <v>1029</v>
      </c>
      <c r="B282" s="2684"/>
      <c r="C282" s="2684"/>
      <c r="D282" s="2684"/>
      <c r="E282" s="2684"/>
      <c r="F282" s="2685"/>
      <c r="G282" s="2671" t="s">
        <v>1056</v>
      </c>
      <c r="H282" s="2672"/>
      <c r="I282" s="438"/>
      <c r="J282" s="2702"/>
      <c r="K282" s="2702"/>
      <c r="L282" s="2703"/>
      <c r="M282" s="1977" t="s">
        <v>824</v>
      </c>
    </row>
    <row r="283" spans="1:18" ht="17.850000000000001" customHeight="1" thickBot="1" x14ac:dyDescent="0.3">
      <c r="A283" s="2775" t="s">
        <v>893</v>
      </c>
      <c r="B283" s="2776"/>
      <c r="C283" s="2776"/>
      <c r="D283" s="2777"/>
      <c r="E283" s="716" t="s">
        <v>90</v>
      </c>
      <c r="F283" s="716" t="s">
        <v>110</v>
      </c>
      <c r="G283" s="2673"/>
      <c r="H283" s="2674"/>
      <c r="I283" s="438"/>
      <c r="J283" s="2702"/>
      <c r="K283" s="2702"/>
      <c r="L283" s="2703"/>
      <c r="M283" s="1342" t="s">
        <v>825</v>
      </c>
    </row>
    <row r="284" spans="1:18" ht="17.850000000000001" customHeight="1" thickTop="1" x14ac:dyDescent="0.25">
      <c r="A284" s="2122" t="s">
        <v>1033</v>
      </c>
      <c r="B284" s="2123"/>
      <c r="C284" s="2123"/>
      <c r="D284" s="2124"/>
      <c r="E284" s="340"/>
      <c r="F284" s="1043"/>
      <c r="G284" s="2675"/>
      <c r="H284" s="2676"/>
      <c r="I284" s="438"/>
      <c r="J284" s="2263" t="str">
        <f>IF(AND(H285="Nein",SUM(G289,H289,G300,H300)&lt;&gt;0),"Information zu G3: Rechner ist ausgeblendet, obwohl mit Werten hinterlegt. Die Rechenergebnisse des Hilfsrechners werden den PGK daher nicht zugerechnet.","")</f>
        <v/>
      </c>
      <c r="K284" s="2263"/>
      <c r="L284" s="2264"/>
      <c r="M284" s="1342" t="s">
        <v>374</v>
      </c>
    </row>
    <row r="285" spans="1:18" ht="17.850000000000001" customHeight="1" x14ac:dyDescent="0.25">
      <c r="A285" s="2137" t="s">
        <v>1034</v>
      </c>
      <c r="B285" s="2138"/>
      <c r="C285" s="2138"/>
      <c r="D285" s="2139"/>
      <c r="E285" s="337">
        <v>0.02</v>
      </c>
      <c r="F285" s="567"/>
      <c r="G285" s="995" t="s">
        <v>832</v>
      </c>
      <c r="H285" s="579" t="s">
        <v>192</v>
      </c>
      <c r="I285" s="438"/>
      <c r="J285" s="2263"/>
      <c r="K285" s="2263"/>
      <c r="L285" s="2264"/>
      <c r="M285" s="1342" t="s">
        <v>375</v>
      </c>
    </row>
    <row r="286" spans="1:18" ht="17.850000000000001" customHeight="1" x14ac:dyDescent="0.25">
      <c r="A286" s="2137" t="s">
        <v>1035</v>
      </c>
      <c r="B286" s="2138"/>
      <c r="C286" s="2138"/>
      <c r="D286" s="2139"/>
      <c r="E286" s="337"/>
      <c r="F286" s="567"/>
      <c r="G286" s="2364" t="s">
        <v>1057</v>
      </c>
      <c r="H286" s="2365"/>
      <c r="I286" s="438"/>
      <c r="J286" s="2263"/>
      <c r="K286" s="2263"/>
      <c r="L286" s="2264"/>
      <c r="M286" s="1342" t="s">
        <v>434</v>
      </c>
    </row>
    <row r="287" spans="1:18" ht="17.850000000000001" customHeight="1" x14ac:dyDescent="0.25">
      <c r="A287" s="2137" t="s">
        <v>1036</v>
      </c>
      <c r="B287" s="2138"/>
      <c r="C287" s="2138"/>
      <c r="D287" s="2139"/>
      <c r="E287" s="337"/>
      <c r="F287" s="1046">
        <v>0.75</v>
      </c>
      <c r="G287" s="2364"/>
      <c r="H287" s="2365"/>
      <c r="I287" s="438"/>
      <c r="L287" s="216"/>
      <c r="M287" s="1342" t="s">
        <v>826</v>
      </c>
    </row>
    <row r="288" spans="1:18" ht="17.850000000000001" customHeight="1" x14ac:dyDescent="0.25">
      <c r="A288" s="2137" t="s">
        <v>1037</v>
      </c>
      <c r="B288" s="2138"/>
      <c r="C288" s="2138"/>
      <c r="D288" s="2139"/>
      <c r="E288" s="337">
        <v>2.5000000000000001E-2</v>
      </c>
      <c r="F288" s="567"/>
      <c r="G288" s="442" t="s">
        <v>1058</v>
      </c>
      <c r="H288" s="502" t="s">
        <v>1059</v>
      </c>
      <c r="I288" s="438"/>
      <c r="L288" s="216"/>
      <c r="M288" s="1342" t="s">
        <v>757</v>
      </c>
    </row>
    <row r="289" spans="1:13" ht="17.850000000000001" customHeight="1" x14ac:dyDescent="0.25">
      <c r="A289" s="2137" t="s">
        <v>1038</v>
      </c>
      <c r="B289" s="2138"/>
      <c r="C289" s="2138"/>
      <c r="D289" s="2139"/>
      <c r="E289" s="337">
        <v>1.4999999999999999E-2</v>
      </c>
      <c r="F289" s="567"/>
      <c r="G289" s="977"/>
      <c r="H289" s="978"/>
      <c r="I289" s="578" t="str">
        <f>IF(AND(H285="Ja",SUM(G289,H289)&lt;&gt;0),"X","")</f>
        <v/>
      </c>
      <c r="L289" s="216"/>
      <c r="M289" s="1342" t="s">
        <v>837</v>
      </c>
    </row>
    <row r="290" spans="1:13" ht="17.850000000000001" customHeight="1" x14ac:dyDescent="0.25">
      <c r="A290" s="2309"/>
      <c r="B290" s="2276"/>
      <c r="C290" s="2276"/>
      <c r="D290" s="2686"/>
      <c r="E290" s="1297"/>
      <c r="F290" s="1046"/>
      <c r="G290" s="601" t="s">
        <v>267</v>
      </c>
      <c r="H290" s="976">
        <f ca="1">IFERROR(H281*C95,"")</f>
        <v>2173</v>
      </c>
      <c r="I290" s="438"/>
      <c r="L290" s="216"/>
      <c r="M290" s="1342" t="s">
        <v>854</v>
      </c>
    </row>
    <row r="291" spans="1:13" ht="17.850000000000001" customHeight="1" x14ac:dyDescent="0.25">
      <c r="A291" s="2137"/>
      <c r="B291" s="2138"/>
      <c r="C291" s="2138"/>
      <c r="D291" s="2139"/>
      <c r="E291" s="337"/>
      <c r="F291" s="567"/>
      <c r="G291" s="602">
        <f ca="1">G289/H290</f>
        <v>0</v>
      </c>
      <c r="H291" s="603">
        <f ca="1">H289/H290</f>
        <v>0</v>
      </c>
      <c r="I291" s="438"/>
      <c r="J291" s="2229" t="str">
        <f>IF(OR(COUNTA(E284,F284)=2,COUNTA(E285,F285)=2,COUNTA(E286,F286)=2,COUNTA(E287,F287)=2,COUNTA(E287,F287)=2,COUNTA(E288,F288)=2,COUNTA(E289,F288)=2,COUNTA(E290,F290)=2),"Zu G1) In einzelnen Eingabezeilen bestehen sowohl %- als auch €-Angaben.","")</f>
        <v/>
      </c>
      <c r="K291" s="2229"/>
      <c r="L291" s="2230"/>
      <c r="M291" s="1977" t="s">
        <v>476</v>
      </c>
    </row>
    <row r="292" spans="1:13" ht="17.850000000000001" customHeight="1" thickBot="1" x14ac:dyDescent="0.3">
      <c r="A292" s="2395"/>
      <c r="B292" s="2396"/>
      <c r="C292" s="2396"/>
      <c r="D292" s="2397"/>
      <c r="E292" s="568"/>
      <c r="F292" s="968"/>
      <c r="G292" s="599" t="s">
        <v>268</v>
      </c>
      <c r="H292" s="600">
        <f ca="1">G70</f>
        <v>0.1157</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1039</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
      </c>
      <c r="J294" s="1313"/>
      <c r="K294" s="1313"/>
      <c r="L294" s="1314"/>
      <c r="M294" s="1951" t="s">
        <v>1024</v>
      </c>
    </row>
    <row r="295" spans="1:13" ht="17.850000000000001" customHeight="1" x14ac:dyDescent="0.25">
      <c r="A295" s="2770" t="s">
        <v>1044</v>
      </c>
      <c r="B295" s="2771"/>
      <c r="C295" s="2771"/>
      <c r="D295" s="2772"/>
      <c r="E295" s="199" t="str">
        <f>IF(OR(F354="Preis",F354="Kosten"),IF(F356&lt;&gt;"als €",F360/100,""),"")</f>
        <v/>
      </c>
      <c r="F295" s="1303" t="str">
        <f>IF(OR(F354="Preis",F354="Kosten"),IF(F356="als €",F360,""),"")</f>
        <v/>
      </c>
      <c r="G295" s="2888" t="s">
        <v>759</v>
      </c>
      <c r="H295" s="2888"/>
      <c r="I295" s="438"/>
      <c r="J295" s="1286" t="str">
        <f>IF(AND(SUM(E295:F295)&lt;&gt;0,SUM(E297:F297)&lt;&gt;0),"Hinweis: Rundung (G2; aus J3) und Zielwert (G3; aus J4) gleichzeitig!","")</f>
        <v/>
      </c>
      <c r="K295" s="1313"/>
      <c r="L295" s="1314"/>
      <c r="M295" s="2046" t="s">
        <v>846</v>
      </c>
    </row>
    <row r="296" spans="1:13" ht="17.850000000000001" customHeight="1" x14ac:dyDescent="0.25">
      <c r="G296" s="2889"/>
      <c r="H296" s="2889"/>
      <c r="I296" s="438"/>
      <c r="J296" s="1313"/>
      <c r="K296" s="1313"/>
      <c r="L296" s="1314"/>
      <c r="M296" s="1342" t="s">
        <v>592</v>
      </c>
    </row>
    <row r="297" spans="1:13" ht="17.850000000000001" customHeight="1" x14ac:dyDescent="0.25">
      <c r="A297" s="2770" t="s">
        <v>1050</v>
      </c>
      <c r="B297" s="2771"/>
      <c r="C297" s="2771"/>
      <c r="D297" s="2772"/>
      <c r="E297" s="199">
        <f>E366</f>
        <v>0</v>
      </c>
      <c r="F297" s="1303">
        <f>F366</f>
        <v>0</v>
      </c>
      <c r="G297" s="2797" t="s">
        <v>1060</v>
      </c>
      <c r="H297" s="2365"/>
      <c r="I297" s="438"/>
      <c r="J297" s="1313"/>
      <c r="K297" s="1313"/>
      <c r="L297" s="1314"/>
      <c r="M297" s="1342" t="s">
        <v>607</v>
      </c>
    </row>
    <row r="298" spans="1:13" ht="17.850000000000001" customHeight="1" x14ac:dyDescent="0.25">
      <c r="G298" s="2364"/>
      <c r="H298" s="2365"/>
      <c r="I298" s="438"/>
      <c r="J298" s="1313"/>
      <c r="K298" s="1313"/>
      <c r="L298" s="1314"/>
    </row>
    <row r="299" spans="1:13" ht="17.850000000000001" customHeight="1" x14ac:dyDescent="0.25">
      <c r="A299" s="2687" t="s">
        <v>1045</v>
      </c>
      <c r="B299" s="2688"/>
      <c r="C299" s="2688"/>
      <c r="D299" s="2688"/>
      <c r="E299" s="2688"/>
      <c r="F299" s="2738"/>
      <c r="G299" s="444" t="s">
        <v>1061</v>
      </c>
      <c r="H299" s="504" t="s">
        <v>1062</v>
      </c>
      <c r="I299" s="578" t="str">
        <f>IF(AND(H285="Ja",(G300+H300)&lt;&gt;0),"X","")</f>
        <v>X</v>
      </c>
      <c r="J299" s="1313"/>
      <c r="K299" s="1313"/>
      <c r="L299" s="1314"/>
    </row>
    <row r="300" spans="1:13" ht="17.850000000000001" customHeight="1" x14ac:dyDescent="0.25">
      <c r="A300" s="437" t="str">
        <f>"von "&amp;G288</f>
        <v>von G4.a1)</v>
      </c>
      <c r="B300" s="2137"/>
      <c r="C300" s="2138"/>
      <c r="D300" s="2139"/>
      <c r="E300" s="1287" t="str">
        <f>IF(H$293="in %",G294,"")</f>
        <v/>
      </c>
      <c r="F300" s="1289" t="str">
        <f>IF(H293="in €",G294,"")</f>
        <v/>
      </c>
      <c r="G300" s="979">
        <v>400</v>
      </c>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37"/>
      <c r="C301" s="2138"/>
      <c r="D301" s="2139"/>
      <c r="E301" s="1287" t="str">
        <f>IF(H$293="in %",H294,"")</f>
        <v/>
      </c>
      <c r="F301" s="1289" t="str">
        <f>IF(H293="in €",H294,"")</f>
        <v/>
      </c>
      <c r="G301" s="598" t="s">
        <v>256</v>
      </c>
      <c r="H301" s="1045">
        <f ca="1">H290*F63</f>
        <v>7823</v>
      </c>
      <c r="I301" s="578"/>
      <c r="J301" s="271" t="str">
        <f>IFERROR(IF(AND(SUM(E301)&gt;0,B301=""),"Bezugstext für den %-Satz angeben!",""),"")</f>
        <v/>
      </c>
      <c r="L301" s="268"/>
      <c r="M301" s="1342" t="s">
        <v>865</v>
      </c>
    </row>
    <row r="302" spans="1:13" ht="17.850000000000001" customHeight="1" x14ac:dyDescent="0.25">
      <c r="A302" s="437" t="str">
        <f>"von "&amp;G299</f>
        <v>von G4.b1)</v>
      </c>
      <c r="B302" s="2137" t="s">
        <v>1133</v>
      </c>
      <c r="C302" s="2138"/>
      <c r="D302" s="2139"/>
      <c r="E302" s="1287" t="str">
        <f>IF(H302="in %",G303,"")</f>
        <v/>
      </c>
      <c r="F302" s="1289">
        <f ca="1">IF(H302="in €",G303,"")</f>
        <v>2.71</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95"/>
      <c r="C303" s="2396"/>
      <c r="D303" s="2397"/>
      <c r="E303" s="1288" t="str">
        <f>IF(H302="in %",H303,"")</f>
        <v/>
      </c>
      <c r="F303" s="1290" t="str">
        <f>IF(H302="in €",H303,"")</f>
        <v/>
      </c>
      <c r="G303" s="443">
        <f ca="1">IF(AND($H285=_Ja,G300&lt;&gt;0),IF($H302="in %",G300/$H301,G300/$H301*$H281),"")</f>
        <v>2.7099600000000001</v>
      </c>
      <c r="H303" s="503" t="str">
        <f>IF(AND($H285=_Ja,H300&lt;&gt;0),IF($H302="in %",H300/$H301,H300/$H301*$H281),"")</f>
        <v/>
      </c>
      <c r="I303" s="578"/>
      <c r="J303" s="271" t="str">
        <f t="shared" si="35"/>
        <v/>
      </c>
      <c r="L303" s="269"/>
    </row>
    <row r="304" spans="1:13" ht="17.850000000000001" customHeight="1" thickBot="1" x14ac:dyDescent="0.3">
      <c r="A304" s="2221" t="s">
        <v>1113</v>
      </c>
      <c r="B304" s="2222"/>
      <c r="C304" s="2222"/>
      <c r="D304" s="2306"/>
      <c r="E304" s="196">
        <f>SUM(E300:E303)</f>
        <v>0</v>
      </c>
      <c r="F304" s="1042">
        <f ca="1">SUM(F300:F303)</f>
        <v>2.71</v>
      </c>
      <c r="G304" s="2724" t="s">
        <v>760</v>
      </c>
      <c r="H304" s="2725"/>
      <c r="I304" s="578"/>
      <c r="J304" s="2229"/>
      <c r="K304" s="2229"/>
      <c r="L304" s="2230"/>
    </row>
    <row r="305" spans="1:13" ht="17.850000000000001" customHeight="1" x14ac:dyDescent="0.25">
      <c r="G305" s="2724"/>
      <c r="H305" s="2725"/>
      <c r="I305" s="578"/>
      <c r="L305" s="269"/>
    </row>
    <row r="306" spans="1:13" ht="17.850000000000001" customHeight="1" x14ac:dyDescent="0.25">
      <c r="A306" s="2208" t="s">
        <v>519</v>
      </c>
      <c r="B306" s="2305"/>
      <c r="C306" s="2305"/>
      <c r="D306" s="2209"/>
      <c r="E306" s="665">
        <f>SUM(E293,E295,E297,E304)</f>
        <v>0.06</v>
      </c>
      <c r="F306" s="155"/>
      <c r="G306" s="2724"/>
      <c r="H306" s="2725"/>
      <c r="I306" s="578"/>
      <c r="J306" s="271"/>
      <c r="L306" s="269"/>
    </row>
    <row r="307" spans="1:13" ht="17.850000000000001" customHeight="1" thickBot="1" x14ac:dyDescent="0.3">
      <c r="A307" s="2421" t="s">
        <v>576</v>
      </c>
      <c r="B307" s="2432"/>
      <c r="C307" s="2432"/>
      <c r="D307" s="2422"/>
      <c r="E307" s="1041"/>
      <c r="F307" s="1042">
        <f ca="1">SUM(F293,F295,F297,F304)</f>
        <v>3.46</v>
      </c>
      <c r="G307" s="2724"/>
      <c r="H307" s="2725"/>
      <c r="I307" s="578"/>
      <c r="J307" s="2319" t="str">
        <f ca="1">IFERROR(IF(OR(G308&gt;Report!F12,G308&lt;Report!G12),"Hinweis: Der Wert für Personalgemeinkosten liegt über oder unter den Richtwerten gemäß Blatt REPORT!",""),"")</f>
        <v/>
      </c>
      <c r="K307" s="2319"/>
      <c r="L307" s="2320"/>
    </row>
    <row r="308" spans="1:13" ht="17.850000000000001" customHeight="1" thickBot="1" x14ac:dyDescent="0.3">
      <c r="A308" s="2761" t="s">
        <v>257</v>
      </c>
      <c r="B308" s="2762"/>
      <c r="C308" s="2762"/>
      <c r="D308" s="2763"/>
      <c r="E308" s="1040">
        <f ca="1">E306*H281</f>
        <v>3.18</v>
      </c>
      <c r="F308" s="1040">
        <f ca="1">F307</f>
        <v>3.46</v>
      </c>
      <c r="G308" s="1315">
        <f ca="1">H308/H281</f>
        <v>0.12528</v>
      </c>
      <c r="H308" s="1047">
        <f ca="1">IFERROR(SUM(E308:F308),"")</f>
        <v>6.64</v>
      </c>
      <c r="I308" s="578"/>
      <c r="J308" s="2319"/>
      <c r="K308" s="2319"/>
      <c r="L308" s="2320"/>
    </row>
    <row r="309" spans="1:13" ht="17.850000000000001" customHeight="1" x14ac:dyDescent="0.25">
      <c r="A309" s="2784" t="str">
        <f ca="1">IFERROR("F) Ergebnis Personalgemeinkosten  "&amp;TEXT(E306,"0,00%")&amp;" &amp; "&amp;TEXT(F308,"0,00€")&amp;" | gesamt (K3 Zeile 16) "&amp;TEXT(' K3 PP'!O34,"0,00€"),KALKULATION!$M$286)</f>
        <v>F) Ergebnis Personalgemeinkosten  6,00% &amp; 3,46€ | gesamt (K3 Zeile 16) 6,64€</v>
      </c>
      <c r="B309" s="2785"/>
      <c r="C309" s="2785"/>
      <c r="D309" s="2785"/>
      <c r="E309" s="2785"/>
      <c r="F309" s="2785"/>
      <c r="G309" s="2785"/>
      <c r="H309" s="2785"/>
      <c r="I309" s="438"/>
      <c r="J309" s="2319"/>
      <c r="K309" s="2319"/>
      <c r="L309" s="2320"/>
      <c r="M309" s="1342" t="s">
        <v>17</v>
      </c>
    </row>
    <row r="310" spans="1:13" ht="20.100000000000001" customHeight="1" x14ac:dyDescent="0.25">
      <c r="A310" s="2722" t="str">
        <f ca="1">A$74</f>
        <v>Info: KV &amp; up.Z: 20,00€ | abgabepfl. Pers.ko: 26,00€ | vor Uml: 53,00€ | KOSTEN: 59,64€ | PREIS: 76,94€</v>
      </c>
      <c r="B310" s="2723"/>
      <c r="C310" s="2723"/>
      <c r="D310" s="2723"/>
      <c r="E310" s="2723"/>
      <c r="F310" s="2723"/>
      <c r="G310" s="2723"/>
      <c r="H310" s="2723"/>
      <c r="I310" s="438"/>
      <c r="L310" s="216"/>
      <c r="M310" s="1342" t="s">
        <v>17</v>
      </c>
    </row>
    <row r="311" spans="1:13" ht="17.850000000000001" customHeight="1" x14ac:dyDescent="0.25">
      <c r="A311" s="2353"/>
      <c r="B311" s="2354"/>
      <c r="C311" s="2354"/>
      <c r="D311" s="2354"/>
      <c r="E311" s="2354"/>
      <c r="F311" s="2354"/>
      <c r="G311" s="2354"/>
      <c r="H311" s="2354"/>
      <c r="I311" s="2354"/>
      <c r="L311" s="216"/>
    </row>
    <row r="312" spans="1:13" ht="25.15" customHeight="1" x14ac:dyDescent="0.25">
      <c r="A312" s="2223" t="s">
        <v>835</v>
      </c>
      <c r="B312" s="2224"/>
      <c r="C312" s="2224"/>
      <c r="D312" s="2224"/>
      <c r="E312" s="2224"/>
      <c r="F312" s="2224"/>
      <c r="G312" s="2224"/>
      <c r="H312" s="2224"/>
      <c r="I312" s="438"/>
      <c r="L312" s="216"/>
    </row>
    <row r="313" spans="1:13" ht="20.100000000000001" customHeight="1" x14ac:dyDescent="0.25">
      <c r="A313" s="2302" t="s">
        <v>860</v>
      </c>
      <c r="B313" s="2303"/>
      <c r="C313" s="2303"/>
      <c r="D313" s="2303"/>
      <c r="E313" s="2304"/>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768" t="s">
        <v>822</v>
      </c>
      <c r="B315" s="2769"/>
      <c r="C315" s="2358"/>
      <c r="D315" s="2359"/>
      <c r="E315" s="2360"/>
      <c r="F315" s="445"/>
      <c r="G315" s="63"/>
      <c r="H315" s="1092"/>
      <c r="I315" s="438"/>
      <c r="J315" s="1006" t="str">
        <f>IF(AND(C315="",F317&gt;0),"Umlagezweck angeben!","")</f>
        <v/>
      </c>
      <c r="L315" s="216"/>
    </row>
    <row r="316" spans="1:13" ht="17.850000000000001" customHeight="1" x14ac:dyDescent="0.25">
      <c r="A316" s="2128" t="s">
        <v>974</v>
      </c>
      <c r="B316" s="2129"/>
      <c r="C316" s="2129"/>
      <c r="D316" s="2730"/>
      <c r="E316" s="2731"/>
      <c r="F316" s="446"/>
      <c r="G316" s="63"/>
      <c r="H316" s="1092"/>
      <c r="I316" s="438"/>
      <c r="L316" s="216"/>
    </row>
    <row r="317" spans="1:13" ht="17.850000000000001" customHeight="1" x14ac:dyDescent="0.25">
      <c r="A317" s="2742" t="s">
        <v>520</v>
      </c>
      <c r="B317" s="2743"/>
      <c r="C317" s="2743"/>
      <c r="D317" s="2877"/>
      <c r="E317" s="2878"/>
      <c r="F317" s="51">
        <f>IFERROR(D316/D317,0)</f>
        <v>0</v>
      </c>
      <c r="G317" s="63"/>
      <c r="I317" s="438"/>
      <c r="L317" s="216"/>
    </row>
    <row r="318" spans="1:13" ht="17.850000000000001" customHeight="1" x14ac:dyDescent="0.25">
      <c r="A318" s="2756"/>
      <c r="B318" s="2757"/>
      <c r="C318" s="2757"/>
      <c r="D318" s="2757"/>
      <c r="E318" s="2757"/>
      <c r="F318" s="2758"/>
      <c r="G318" s="160"/>
      <c r="I318" s="438"/>
      <c r="L318" s="216"/>
    </row>
    <row r="319" spans="1:13" ht="17.850000000000001" customHeight="1" x14ac:dyDescent="0.25">
      <c r="A319" s="2768" t="s">
        <v>823</v>
      </c>
      <c r="B319" s="2769"/>
      <c r="C319" s="2358"/>
      <c r="D319" s="2359"/>
      <c r="E319" s="2360"/>
      <c r="F319" s="445"/>
      <c r="G319" s="63"/>
      <c r="H319" s="584"/>
      <c r="I319" s="438"/>
      <c r="J319" s="1006" t="str">
        <f ca="1">IF(AND(C319="",F321&gt;0),"Umlagezweck angeben!","")</f>
        <v/>
      </c>
      <c r="L319" s="216"/>
    </row>
    <row r="320" spans="1:13" ht="17.850000000000001" customHeight="1" x14ac:dyDescent="0.25">
      <c r="A320" s="2128" t="s">
        <v>891</v>
      </c>
      <c r="B320" s="2129"/>
      <c r="C320" s="2129"/>
      <c r="D320" s="2730"/>
      <c r="E320" s="2731"/>
      <c r="F320" s="446"/>
      <c r="G320" s="63"/>
      <c r="H320" s="584"/>
      <c r="I320" s="438"/>
      <c r="L320" s="216"/>
    </row>
    <row r="321" spans="1:16" ht="17.850000000000001" customHeight="1" x14ac:dyDescent="0.25">
      <c r="A321" s="2128" t="s">
        <v>892</v>
      </c>
      <c r="B321" s="2129"/>
      <c r="C321" s="2129"/>
      <c r="D321" s="2130">
        <f ca="1">F63*C95*4.35*0.85</f>
        <v>546</v>
      </c>
      <c r="E321" s="2131"/>
      <c r="F321" s="93">
        <f ca="1">IFERROR(D320/D321,"-------")</f>
        <v>0</v>
      </c>
      <c r="G321" s="63"/>
      <c r="H321" s="584"/>
      <c r="I321" s="438"/>
      <c r="L321" s="216"/>
      <c r="P321" s="2045" t="s">
        <v>834</v>
      </c>
    </row>
    <row r="322" spans="1:16" ht="17.649999999999999" customHeight="1" x14ac:dyDescent="0.25">
      <c r="A322" s="2759"/>
      <c r="B322" s="2760"/>
      <c r="C322" s="2760"/>
      <c r="D322" s="2760"/>
      <c r="E322" s="2760"/>
      <c r="F322" s="2760"/>
      <c r="G322" s="2760"/>
      <c r="H322" s="2760"/>
      <c r="I322" s="438"/>
      <c r="L322" s="216"/>
    </row>
    <row r="323" spans="1:16" ht="20.100000000000001" customHeight="1" thickBot="1" x14ac:dyDescent="0.3">
      <c r="A323" s="2780" t="s">
        <v>861</v>
      </c>
      <c r="B323" s="2781"/>
      <c r="C323" s="2781"/>
      <c r="D323" s="2782"/>
      <c r="E323" s="981">
        <f ca="1">IFERROR(' K3 PP'!O33,"")</f>
        <v>53</v>
      </c>
      <c r="F323" s="2564" t="s">
        <v>833</v>
      </c>
      <c r="G323" s="2565"/>
      <c r="H323" s="1114" t="s">
        <v>376</v>
      </c>
      <c r="I323" s="438"/>
      <c r="J323" s="2229" t="str">
        <f>IF(OR(COUNTA(F324,G324)=2,COUNTA(F325,G325)=2,COUNTA(F326,G326)=2),"Hinweis: In einzelnen Eingabezeilen bestehen %- und €-Angaben.","")</f>
        <v/>
      </c>
      <c r="K323" s="2229"/>
      <c r="L323" s="2230"/>
    </row>
    <row r="324" spans="1:16" ht="17.649999999999999" customHeight="1" thickTop="1" x14ac:dyDescent="0.25">
      <c r="A324" s="2122"/>
      <c r="B324" s="2123"/>
      <c r="C324" s="2123"/>
      <c r="D324" s="2123"/>
      <c r="E324" s="2124"/>
      <c r="F324" s="808"/>
      <c r="G324" s="340"/>
      <c r="H324" s="585" t="str">
        <f>IF(G324&lt;&gt;0,G324*E$323,"")</f>
        <v/>
      </c>
      <c r="I324" s="438"/>
      <c r="J324" s="2176" t="str">
        <f>IFERROR(IF(AND(SUM(F324:H324)&gt;0,A324=""),"Unvollständig: Umlagezweck angeben / Wert löschen.",IF(AND(A324&lt;&gt;"",SUM(F324,H324)=0),M$290,"")),"")</f>
        <v/>
      </c>
      <c r="K324" s="2176"/>
      <c r="L324" s="2177"/>
    </row>
    <row r="325" spans="1:16" ht="17.649999999999999" customHeight="1" x14ac:dyDescent="0.25">
      <c r="A325" s="2137"/>
      <c r="B325" s="2138"/>
      <c r="C325" s="2138"/>
      <c r="D325" s="2138"/>
      <c r="E325" s="2138"/>
      <c r="F325" s="341"/>
      <c r="G325" s="337"/>
      <c r="H325" s="585" t="str">
        <f t="shared" ref="H325:H326" si="36">IF(G325&lt;&gt;0,G325*E$323,"")</f>
        <v/>
      </c>
      <c r="I325" s="438"/>
      <c r="J325" s="2176" t="str">
        <f t="shared" ref="J325:J326" si="37">IFERROR(IF(AND(SUM(F325:H325)&gt;0,A325=""),"Unvollständig: Umlagezweck angeben / Wert löschen.",IF(AND(A325&lt;&gt;"",SUM(F325,H325)=0),M$290,"")),"")</f>
        <v/>
      </c>
      <c r="K325" s="2176"/>
      <c r="L325" s="2177"/>
    </row>
    <row r="326" spans="1:16" ht="17.649999999999999" customHeight="1" x14ac:dyDescent="0.25">
      <c r="A326" s="2137"/>
      <c r="B326" s="2138"/>
      <c r="C326" s="2138"/>
      <c r="D326" s="2138"/>
      <c r="E326" s="2138"/>
      <c r="F326" s="341"/>
      <c r="G326" s="337"/>
      <c r="H326" s="585" t="str">
        <f t="shared" si="36"/>
        <v/>
      </c>
      <c r="I326" s="438"/>
      <c r="J326" s="2176" t="str">
        <f t="shared" si="37"/>
        <v/>
      </c>
      <c r="K326" s="2176"/>
      <c r="L326" s="2177"/>
    </row>
    <row r="327" spans="1:16" ht="17.649999999999999" hidden="1" customHeight="1" x14ac:dyDescent="0.25">
      <c r="A327" s="528"/>
      <c r="B327" s="529"/>
      <c r="C327" s="529"/>
      <c r="D327" s="529"/>
      <c r="E327" s="530" t="s">
        <v>441</v>
      </c>
      <c r="F327" s="531"/>
      <c r="G327" s="532">
        <f ca="1">IFERROR(SUM(F317,F321,F324:F326,H324:H326),"")</f>
        <v>0</v>
      </c>
      <c r="H327" s="1187">
        <f ca="1">SUM(F324:G326,F317,F321)</f>
        <v>0</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Umlagen in Pkt H1 anlegen!</v>
      </c>
      <c r="G329" s="671">
        <f ca="1">IF(F329="","",1*ROW())</f>
        <v>329</v>
      </c>
      <c r="H329" s="59"/>
      <c r="I329" s="438"/>
      <c r="L329" s="216"/>
    </row>
    <row r="330" spans="1:16" ht="17.649999999999999" hidden="1" customHeight="1" x14ac:dyDescent="0.25">
      <c r="A330" s="536" t="str">
        <f>IF(C319="","",C319)</f>
        <v/>
      </c>
      <c r="B330" s="537" t="str">
        <f ca="1">IF(OR(A330="",F321=0),"",F321)</f>
        <v/>
      </c>
      <c r="C330" s="538"/>
      <c r="D330" s="778"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9" t="str">
        <f ca="1">IF(G327=0,"H3) Zuordnung von Umlagen → es sind keine Umlagen in H1 bzw H2 angelegt!","H3) Zuordnung von in H1 u H2 angelegten Umlagen: "&amp;IF(SUM(F339,H339)=0," → Es sind (noch) keine Umlagen ausgewählt!",""))</f>
        <v>H3) Zuordnung von Umlagen → es sind keine Umlagen in H1 bzw H2 angelegt!</v>
      </c>
      <c r="B334" s="2170"/>
      <c r="C334" s="2170"/>
      <c r="D334" s="2170"/>
      <c r="E334" s="2170"/>
      <c r="F334" s="2170"/>
      <c r="G334" s="2170"/>
      <c r="H334" s="2170"/>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
      </c>
    </row>
    <row r="336" spans="1:16" ht="17.649999999999999" customHeight="1" thickTop="1" x14ac:dyDescent="0.25">
      <c r="A336" s="2370"/>
      <c r="B336" s="2370"/>
      <c r="C336" s="2370"/>
      <c r="D336" s="2370"/>
      <c r="E336" s="2370"/>
      <c r="F336" s="51" t="str">
        <f>IF(A336="","",IFERROR(VLOOKUP(A336,A$329:E$333,2,FALSE),KALKULATION!$M$283))</f>
        <v/>
      </c>
      <c r="G336" s="50" t="str">
        <f>IF(A336="","",IFERROR(VLOOKUP(A336,A$329:E$333,3,FALSE),""))</f>
        <v/>
      </c>
      <c r="H336" s="585" t="str">
        <f ca="1">IFERROR(G336*E$323,"")</f>
        <v/>
      </c>
      <c r="I336" s="438"/>
      <c r="J336" s="2702" t="str">
        <f ca="1">IFERROR(IF(G327&lt;&gt;SUM(F339,H339),"Hinweis: Nicht alle unter H1 bzw H2 angelegten Umlagen sind für die weitere Berechnung ausgewählt! Die weitere Berechnung erfolgt nur mit den ausgewählten Umlagen und in H3 angezeigten Werten.",""),KALKULATION!$M$286)</f>
        <v/>
      </c>
      <c r="K336" s="2702"/>
      <c r="L336" s="2703"/>
      <c r="M336" s="2047">
        <f ca="1">SUM(F339,H339)</f>
        <v>0</v>
      </c>
    </row>
    <row r="337" spans="1:28" ht="17.649999999999999" customHeight="1" x14ac:dyDescent="0.25">
      <c r="A337" s="2265"/>
      <c r="B337" s="2265"/>
      <c r="C337" s="2265"/>
      <c r="D337" s="2265"/>
      <c r="E337" s="2265"/>
      <c r="F337" s="48" t="str">
        <f>IF(A337="","",IFERROR(VLOOKUP(A337,A$329:E$333,2,FALSE),KALKULATION!$M$283))</f>
        <v/>
      </c>
      <c r="G337" s="50" t="str">
        <f t="shared" ref="G337:G338" si="41">IF(A337="","",IFERROR(VLOOKUP(A337,A$329:E$333,3,FALSE),""))</f>
        <v/>
      </c>
      <c r="H337" s="586" t="str">
        <f ca="1">IFERROR(G337*E$323,"")</f>
        <v/>
      </c>
      <c r="I337" s="438"/>
      <c r="J337" s="2702"/>
      <c r="K337" s="2702"/>
      <c r="L337" s="2703"/>
    </row>
    <row r="338" spans="1:28" ht="17.649999999999999" customHeight="1" thickBot="1" x14ac:dyDescent="0.3">
      <c r="A338" s="2295"/>
      <c r="B338" s="2295"/>
      <c r="C338" s="2295"/>
      <c r="D338" s="2295"/>
      <c r="E338" s="2295"/>
      <c r="F338" s="60" t="str">
        <f>IF(A338="","",IFERROR(VLOOKUP(A338,A$329:E$333,2,FALSE),KALKULATION!$M$283))</f>
        <v/>
      </c>
      <c r="G338" s="171" t="str">
        <f t="shared" si="41"/>
        <v/>
      </c>
      <c r="H338" s="587" t="str">
        <f ca="1">IFERROR(G338*E$323,"")</f>
        <v/>
      </c>
      <c r="I338" s="438"/>
      <c r="J338" s="2702"/>
      <c r="K338" s="2702"/>
      <c r="L338" s="2703"/>
      <c r="O338" s="1342" t="str">
        <f>A336&amp;A337&amp;A338</f>
        <v/>
      </c>
    </row>
    <row r="339" spans="1:28" ht="17.649999999999999" customHeight="1" x14ac:dyDescent="0.25">
      <c r="A339" s="2761" t="s">
        <v>323</v>
      </c>
      <c r="B339" s="2762"/>
      <c r="C339" s="2762"/>
      <c r="D339" s="2762"/>
      <c r="E339" s="2763"/>
      <c r="F339" s="73">
        <f>SUM(F336:F338)</f>
        <v>0</v>
      </c>
      <c r="G339" s="50">
        <f>SUM(G336:G338)</f>
        <v>0</v>
      </c>
      <c r="H339" s="73">
        <f ca="1">SUM(H336:H338)</f>
        <v>0</v>
      </c>
      <c r="I339" s="438"/>
      <c r="J339" s="2702"/>
      <c r="K339" s="2702"/>
      <c r="L339" s="2703"/>
    </row>
    <row r="340" spans="1:28" ht="17.649999999999999" customHeight="1" x14ac:dyDescent="0.25">
      <c r="A340" s="2208" t="str">
        <f ca="1">IFERROR("H) Ergebnis Zurechnungen (Summe K3 Zeilen 17i): "&amp;TEXT(F339,"0,00€")&amp;" und "&amp;TEXT(G339,"0,00%")&amp;"; gesamt: "&amp;TEXT(F339+H339,"0,00€")&amp;"/Std",KALKULATION!$M$286)</f>
        <v>H) Ergebnis Zurechnungen (Summe K3 Zeilen 17i): 0,00€ und 0,00%; gesamt: 0,00€/Std</v>
      </c>
      <c r="B340" s="2305"/>
      <c r="C340" s="2305"/>
      <c r="D340" s="2305"/>
      <c r="E340" s="2305"/>
      <c r="F340" s="2305"/>
      <c r="G340" s="2305"/>
      <c r="H340" s="2305"/>
      <c r="I340" s="438"/>
      <c r="J340" s="2845" t="str">
        <f ca="1">IF(AND(A336&amp;A337&amp;A338&lt;&gt;"",SUM(F339,H339)=0),"Durch Löschen von Eintragungen in H1/H2 sind Texte in H3 erhalten geblieben. Bereinigen Sie H3 vor dem Löschen von H1/H2.","")</f>
        <v/>
      </c>
      <c r="K340" s="2845"/>
      <c r="L340" s="2846"/>
      <c r="M340" s="2045"/>
    </row>
    <row r="341" spans="1:28" ht="20.100000000000001" customHeight="1" x14ac:dyDescent="0.25">
      <c r="A341" s="2317" t="str">
        <f ca="1">A$74</f>
        <v>Info: KV &amp; up.Z: 20,00€ | abgabepfl. Pers.ko: 26,00€ | vor Uml: 53,00€ | KOSTEN: 59,64€ | PREIS: 76,94€</v>
      </c>
      <c r="B341" s="2318"/>
      <c r="C341" s="2318"/>
      <c r="D341" s="2318"/>
      <c r="E341" s="2318"/>
      <c r="F341" s="2318"/>
      <c r="G341" s="2318"/>
      <c r="H341" s="2318"/>
      <c r="I341" s="438"/>
      <c r="J341" s="2845"/>
      <c r="K341" s="2845"/>
      <c r="L341" s="2846"/>
      <c r="Z341" s="526"/>
      <c r="AA341" s="526"/>
      <c r="AB341" s="526"/>
    </row>
    <row r="342" spans="1:28" s="526" customFormat="1" ht="17.850000000000001" customHeight="1" x14ac:dyDescent="0.25">
      <c r="A342" s="2778"/>
      <c r="B342" s="2779"/>
      <c r="C342" s="2779"/>
      <c r="D342" s="2779"/>
      <c r="E342" s="2779"/>
      <c r="F342" s="2779"/>
      <c r="G342" s="2779"/>
      <c r="H342" s="2779"/>
      <c r="I342" s="2779"/>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223" t="s">
        <v>836</v>
      </c>
      <c r="B343" s="2224"/>
      <c r="C343" s="2224"/>
      <c r="D343" s="2224"/>
      <c r="E343" s="2224"/>
      <c r="F343" s="2224"/>
      <c r="G343" s="2224"/>
      <c r="H343" s="2224"/>
      <c r="I343" s="438"/>
      <c r="L343" s="216"/>
      <c r="M343" s="2048" t="str">
        <f>IF('K2 GZ'!C12=0,"",'K2 GZ'!C12)</f>
        <v>Alle Kostenarten</v>
      </c>
      <c r="N343" s="1342">
        <f>IF(M343="","",1*ROW())</f>
        <v>343</v>
      </c>
    </row>
    <row r="344" spans="1:28" ht="17.850000000000001" customHeight="1" x14ac:dyDescent="0.25">
      <c r="A344" s="2132" t="s">
        <v>761</v>
      </c>
      <c r="B344" s="2133"/>
      <c r="C344" s="2133"/>
      <c r="D344" s="2133"/>
      <c r="E344" s="2726" t="s">
        <v>639</v>
      </c>
      <c r="F344" s="2727"/>
      <c r="G344" s="1103" t="s">
        <v>855</v>
      </c>
      <c r="H344" s="1122" t="s">
        <v>856</v>
      </c>
      <c r="I344" s="438"/>
      <c r="L344" s="216"/>
      <c r="M344" s="2048" t="str">
        <f>IF('K2 GZ'!C13=0,"",'K2 GZ'!C13)</f>
        <v/>
      </c>
      <c r="N344" s="1342" t="str">
        <f t="shared" ref="N344:N350" si="42">IF(M344="","",1*ROW())</f>
        <v/>
      </c>
    </row>
    <row r="345" spans="1:28" ht="28.5" customHeight="1" x14ac:dyDescent="0.25">
      <c r="A345" s="2142" t="str">
        <f>IF(G345&lt;&gt;KALKULATION!$M$283,"I1) Ergebnis GZ auf PERSONALKOSTEN (K3 Z 20/B)","GZ auf PERSONALKOSTEN aus K2-Blatt wählen:   ↓")</f>
        <v>I1) Ergebnis GZ auf PERSONALKOSTEN (K3 Z 20/B)</v>
      </c>
      <c r="B345" s="2143"/>
      <c r="C345" s="2143"/>
      <c r="D345" s="2414"/>
      <c r="E345" s="2368" t="s">
        <v>1114</v>
      </c>
      <c r="F345" s="2467"/>
      <c r="G345" s="207">
        <f>IFERROR(VLOOKUP(E345,'K2 GZ'!I$25:M$32,5,FALSE),KALKULATION!$M$283)</f>
        <v>0.28999999999999998</v>
      </c>
      <c r="H345" s="570">
        <f ca="1">IFERROR(' K3 PP'!O43,"")</f>
        <v>17.3</v>
      </c>
      <c r="I345" s="438"/>
      <c r="J345" s="271" t="str">
        <f>IF(G345=KALKULATION!M283,"GZ wählen!!",IF(OR(ISBLANK(E345),G345=KALKULATION!$M$283,G345=0),"GZ?",""))</f>
        <v/>
      </c>
      <c r="K345" s="2766" t="str">
        <f>IF(OR(G345&gt;Report!F13,G345&lt;Report!G13),"Hinweis: GZ auf Personalkosten (K3 Zeile 20/B) außerhalb der Richtwerte gem Blatt REPORT. ","")</f>
        <v/>
      </c>
      <c r="L345" s="2767"/>
      <c r="M345" s="2048" t="str">
        <f>IF('K2 GZ'!C14=0,"",'K2 GZ'!C14)</f>
        <v/>
      </c>
      <c r="N345" s="1342" t="str">
        <f t="shared" si="42"/>
        <v/>
      </c>
    </row>
    <row r="346" spans="1:28" ht="28.5" customHeight="1" x14ac:dyDescent="0.25">
      <c r="A346" s="2208" t="str">
        <f ca="1">IF($H$327=0,"I2) GZ auf Umlage | Keine UMLAGEN vorhanden!",IF(OR(A336&amp;A337&amp;A338="",SUM(F339,H339)=0),"I2) GZ auf Umlagen | keine Umlagen ausgewählt!",IF(J346="","I2) Ergebnis GZ auf UMLAGEN (K3 Z 20/A)","GZ auf UMLAGEN aus K2-Blatt wählen:                ↓")))</f>
        <v>I2) GZ auf Umlage | Keine UMLAGEN vorhanden!</v>
      </c>
      <c r="B346" s="2305"/>
      <c r="C346" s="2305"/>
      <c r="D346" s="2209"/>
      <c r="E346" s="2412" t="s">
        <v>1114</v>
      </c>
      <c r="F346" s="2413"/>
      <c r="G346" s="665"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766"/>
      <c r="L346" s="2767"/>
      <c r="M346" s="2048" t="str">
        <f>IF('K2 GZ'!C15=0,"",'K2 GZ'!C15)</f>
        <v/>
      </c>
      <c r="N346" s="1342" t="str">
        <f t="shared" si="42"/>
        <v/>
      </c>
    </row>
    <row r="347" spans="1:28" ht="20.100000000000001" customHeight="1" x14ac:dyDescent="0.25">
      <c r="A347" s="2317" t="str">
        <f ca="1">A$74</f>
        <v>Info: KV &amp; up.Z: 20,00€ | abgabepfl. Pers.ko: 26,00€ | vor Uml: 53,00€ | KOSTEN: 59,64€ | PREIS: 76,94€</v>
      </c>
      <c r="B347" s="2318"/>
      <c r="C347" s="2318"/>
      <c r="D347" s="2318"/>
      <c r="E347" s="2318"/>
      <c r="F347" s="2318"/>
      <c r="G347" s="2318"/>
      <c r="H347" s="2318"/>
      <c r="I347" s="438"/>
      <c r="J347" s="1006"/>
      <c r="K347" s="2766"/>
      <c r="L347" s="2767"/>
      <c r="M347" s="2048" t="str">
        <f>IF('K2 GZ'!C16=0,"",'K2 GZ'!C16)</f>
        <v/>
      </c>
    </row>
    <row r="348" spans="1:28" ht="17.850000000000001" customHeight="1" x14ac:dyDescent="0.25">
      <c r="A348" s="2210" t="str">
        <f>IF(SUM(E366:F366)&lt;&gt;0,"PGK in Pkt G2 durch Bestimmung eines Zielwerts geändert. ["&amp;A365&amp;"]","")</f>
        <v/>
      </c>
      <c r="B348" s="2211"/>
      <c r="C348" s="2211"/>
      <c r="D348" s="2211"/>
      <c r="E348" s="2211"/>
      <c r="F348" s="2211"/>
      <c r="G348" s="2211"/>
      <c r="H348" s="2211"/>
      <c r="I348" s="2211"/>
      <c r="J348" s="1006"/>
      <c r="K348" s="2766"/>
      <c r="L348" s="2767"/>
      <c r="M348" s="2048" t="str">
        <f>IF('K2 GZ'!C17=0,"",'K2 GZ'!C17)</f>
        <v/>
      </c>
      <c r="N348" s="1342" t="str">
        <f t="shared" si="42"/>
        <v/>
      </c>
    </row>
    <row r="349" spans="1:28" ht="25.15" customHeight="1" x14ac:dyDescent="0.25">
      <c r="A349" s="2791" t="s">
        <v>1041</v>
      </c>
      <c r="B349" s="2792"/>
      <c r="C349" s="2792"/>
      <c r="D349" s="2792"/>
      <c r="E349" s="2792"/>
      <c r="F349" s="2792"/>
      <c r="G349" s="2792"/>
      <c r="H349" s="2792"/>
      <c r="I349" s="2792"/>
      <c r="L349" s="216"/>
      <c r="M349" s="2048" t="str">
        <f>IF('K2 GZ'!C18=0,"",'K2 GZ'!C18)</f>
        <v/>
      </c>
      <c r="N349" s="1342" t="str">
        <f t="shared" si="42"/>
        <v/>
      </c>
    </row>
    <row r="350" spans="1:28" ht="17.850000000000001" customHeight="1" x14ac:dyDescent="0.25">
      <c r="A350" s="2728" t="s">
        <v>838</v>
      </c>
      <c r="B350" s="2729"/>
      <c r="C350" s="1211" t="s">
        <v>728</v>
      </c>
      <c r="D350" s="1102" t="s">
        <v>839</v>
      </c>
      <c r="E350" s="2115" t="s">
        <v>1088</v>
      </c>
      <c r="F350" s="2115"/>
      <c r="G350" s="2786" t="str">
        <f ca="1">IFERROR(IF(ABS(' K3 PP'!X45)&lt;0.02,' K3 PP'!Y48&amp;' K3 PP'!Z48&amp;' K3 PP'!AA48,KALKULATION!M287),$M$289)</f>
        <v>76,94 €/Std</v>
      </c>
      <c r="H350" s="2787"/>
      <c r="I350" s="438"/>
      <c r="J350" s="2263"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63"/>
      <c r="L350" s="2264"/>
      <c r="M350" s="2048" t="str">
        <f>IF('K2 GZ'!C19=0,"",'K2 GZ'!C19)</f>
        <v/>
      </c>
      <c r="N350" s="1342" t="str">
        <f t="shared" si="42"/>
        <v/>
      </c>
    </row>
    <row r="351" spans="1:28" ht="17.850000000000001" customHeight="1" x14ac:dyDescent="0.25">
      <c r="A351" s="2142" t="s">
        <v>840</v>
      </c>
      <c r="B351" s="2143"/>
      <c r="C351" s="2143"/>
      <c r="D351" s="2143"/>
      <c r="E351" s="2414"/>
      <c r="F351" s="524" t="s">
        <v>192</v>
      </c>
      <c r="G351" s="2788" t="str">
        <f>IF(_Anzeige_Prozent=_Nein,"Ansicht wie ÖNORM-Blatt","zusätzlich u.a. mit %-Angaben")</f>
        <v>zusätzlich u.a. mit %-Angaben</v>
      </c>
      <c r="H351" s="2789"/>
      <c r="I351" s="438"/>
      <c r="J351" s="2263"/>
      <c r="K351" s="2263"/>
      <c r="L351" s="2264"/>
      <c r="M351" s="1342" t="s">
        <v>568</v>
      </c>
      <c r="N351" s="1342">
        <f>MIN(N343:N350,ROW(N343))</f>
        <v>343</v>
      </c>
    </row>
    <row r="352" spans="1:28" ht="17.850000000000001" customHeight="1" x14ac:dyDescent="0.25">
      <c r="A352" s="1186" t="s">
        <v>617</v>
      </c>
      <c r="B352" s="353"/>
      <c r="C352" s="438"/>
      <c r="D352" s="438"/>
      <c r="E352" s="438"/>
      <c r="F352" s="438"/>
      <c r="G352" s="2732" t="s">
        <v>1116</v>
      </c>
      <c r="H352" s="2733"/>
      <c r="I352" s="438"/>
      <c r="J352" s="2263"/>
      <c r="K352" s="2263"/>
      <c r="L352" s="2264"/>
      <c r="M352" s="1342" t="s">
        <v>569</v>
      </c>
      <c r="N352" s="1342">
        <f>MAX(N343:N350,ROW(N343))</f>
        <v>343</v>
      </c>
    </row>
    <row r="353" spans="1:15" ht="17.850000000000001" customHeight="1" x14ac:dyDescent="0.25">
      <c r="A353" s="2149" t="s">
        <v>1054</v>
      </c>
      <c r="B353" s="2150"/>
      <c r="C353" s="2150"/>
      <c r="D353" s="2150"/>
      <c r="E353" s="2150"/>
      <c r="F353" s="355"/>
      <c r="G353" s="2734"/>
      <c r="H353" s="2735"/>
      <c r="I353" s="438"/>
      <c r="J353" s="2263"/>
      <c r="K353" s="2263"/>
      <c r="L353" s="2264"/>
    </row>
    <row r="354" spans="1:15" ht="17.850000000000001" customHeight="1" x14ac:dyDescent="0.25">
      <c r="A354" s="2153"/>
      <c r="B354" s="2154"/>
      <c r="C354" s="2154"/>
      <c r="D354" s="2154"/>
      <c r="E354" s="2154"/>
      <c r="F354" s="524" t="s">
        <v>193</v>
      </c>
      <c r="G354" s="2734"/>
      <c r="H354" s="2735"/>
      <c r="I354" s="578" t="str">
        <f>(IF(F354&lt;&gt;"Nein","X",""))</f>
        <v/>
      </c>
      <c r="J354" s="2261" t="str">
        <f>IF(F354="","Bitte Auswählen!!","")</f>
        <v/>
      </c>
      <c r="K354" s="2261"/>
      <c r="L354" s="2262"/>
      <c r="M354" s="2049" t="s">
        <v>679</v>
      </c>
    </row>
    <row r="355" spans="1:15" ht="17.850000000000001" customHeight="1" x14ac:dyDescent="0.25">
      <c r="A355" s="2134" t="s">
        <v>623</v>
      </c>
      <c r="B355" s="2135"/>
      <c r="C355" s="2135"/>
      <c r="D355" s="2135"/>
      <c r="E355" s="2135"/>
      <c r="F355" s="813" t="s">
        <v>399</v>
      </c>
      <c r="G355" s="2734"/>
      <c r="H355" s="2735"/>
      <c r="I355" s="578"/>
      <c r="J355" s="2847" t="str">
        <f>IF(AND(F354&lt;&gt;"Nein",F355=""),"Bitte Auswählen oder J3.a auf NEIN stellen!","")</f>
        <v/>
      </c>
      <c r="K355" s="2847"/>
      <c r="L355" s="2848"/>
      <c r="M355" s="2050" t="s">
        <v>728</v>
      </c>
    </row>
    <row r="356" spans="1:15" ht="17.850000000000001" customHeight="1" x14ac:dyDescent="0.25">
      <c r="A356" s="435" t="s">
        <v>1048</v>
      </c>
      <c r="B356" s="605"/>
      <c r="C356" s="605"/>
      <c r="D356" s="605"/>
      <c r="E356" s="605"/>
      <c r="F356" s="813" t="s">
        <v>1115</v>
      </c>
      <c r="G356" s="2734"/>
      <c r="H356" s="2735"/>
      <c r="I356" s="578"/>
      <c r="J356" s="2870" t="str">
        <f>IF(AND(F354&lt;&gt;"Nein",F356=""),"Bitte Auswählen oder J3.a auf NEIN stellen!","")</f>
        <v/>
      </c>
      <c r="K356" s="2870"/>
      <c r="L356" s="2871"/>
      <c r="M356" s="2050" t="s">
        <v>733</v>
      </c>
    </row>
    <row r="357" spans="1:15" ht="20.100000000000001" customHeight="1" x14ac:dyDescent="0.25">
      <c r="A357" s="2117" t="str">
        <f ca="1">B371&amp;B372&amp;B373&amp;B374&amp;B375</f>
        <v/>
      </c>
      <c r="B357" s="2299"/>
      <c r="C357" s="2299"/>
      <c r="D357" s="2299"/>
      <c r="E357" s="2299"/>
      <c r="F357" s="606"/>
      <c r="G357" s="2734"/>
      <c r="H357" s="2735"/>
      <c r="I357" s="578"/>
      <c r="J357" s="2485" t="str">
        <f ca="1">B395&amp;B400</f>
        <v/>
      </c>
      <c r="K357" s="2485"/>
      <c r="L357" s="2486"/>
      <c r="M357" s="2050" t="s">
        <v>734</v>
      </c>
    </row>
    <row r="358" spans="1:15" ht="20.100000000000001" customHeight="1" x14ac:dyDescent="0.25">
      <c r="A358" s="2117"/>
      <c r="B358" s="2299"/>
      <c r="C358" s="2299"/>
      <c r="D358" s="2299"/>
      <c r="E358" s="2299"/>
      <c r="F358" s="606"/>
      <c r="G358" s="2734"/>
      <c r="H358" s="2735"/>
      <c r="I358" s="578"/>
      <c r="J358" s="2485"/>
      <c r="K358" s="2485"/>
      <c r="L358" s="2486"/>
      <c r="M358" s="2051" t="s">
        <v>729</v>
      </c>
    </row>
    <row r="359" spans="1:15" ht="17.649999999999999" customHeight="1" x14ac:dyDescent="0.25">
      <c r="A359" s="2117"/>
      <c r="B359" s="2299"/>
      <c r="C359" s="2299"/>
      <c r="D359" s="2299"/>
      <c r="E359" s="2299"/>
      <c r="F359" s="884" t="str">
        <f ca="1">IF(AND(D379&gt;0,F360=""),"↓  "&amp;TEXT(E380,"0,000")&amp;"  ↓",IF(J357&lt;&gt;"","↓ löschen ↓",""))</f>
        <v/>
      </c>
      <c r="G359" s="2734"/>
      <c r="H359" s="2735"/>
      <c r="I359" s="438"/>
      <c r="J359" s="2485"/>
      <c r="K359" s="2485"/>
      <c r="L359" s="2486"/>
    </row>
    <row r="360" spans="1:15" ht="17.649999999999999" customHeight="1" x14ac:dyDescent="0.25">
      <c r="A360" s="2268"/>
      <c r="B360" s="2273"/>
      <c r="C360" s="2273"/>
      <c r="D360" s="2273"/>
      <c r="E360" s="2273"/>
      <c r="F360" s="814"/>
      <c r="G360" s="2736"/>
      <c r="H360" s="2737"/>
      <c r="I360" s="438"/>
      <c r="J360" s="2485"/>
      <c r="K360" s="2485"/>
      <c r="L360" s="2486"/>
      <c r="M360" s="2052" t="s">
        <v>679</v>
      </c>
      <c r="N360" s="2049"/>
    </row>
    <row r="361" spans="1:15" ht="17.649999999999999" customHeight="1" x14ac:dyDescent="0.25">
      <c r="A361" s="2687" t="s">
        <v>1040</v>
      </c>
      <c r="B361" s="2688"/>
      <c r="C361" s="2688"/>
      <c r="D361" s="2688"/>
      <c r="E361" s="2688"/>
      <c r="F361" s="2738"/>
      <c r="I361" s="438"/>
      <c r="J361" s="2485"/>
      <c r="K361" s="2485"/>
      <c r="L361" s="2486"/>
      <c r="M361" s="2053">
        <f ca="1">4.35*C95</f>
        <v>178.4</v>
      </c>
      <c r="N361" s="2054">
        <f ca="1">M361</f>
        <v>178.4</v>
      </c>
    </row>
    <row r="362" spans="1:15" ht="17.649999999999999" customHeight="1" x14ac:dyDescent="0.25">
      <c r="A362" s="1285" t="s">
        <v>771</v>
      </c>
      <c r="B362" s="2566" t="s">
        <v>1025</v>
      </c>
      <c r="C362" s="2567"/>
      <c r="D362" s="2721"/>
      <c r="E362" s="1862">
        <f>VLOOKUP(B362,M411:O413,3,FALSE)</f>
        <v>0</v>
      </c>
      <c r="F362" s="1863">
        <f>IF(E362&lt;&gt;0,D363,0)</f>
        <v>0</v>
      </c>
      <c r="G362" s="1864">
        <f>IFERROR(-1*(E362-F362),"?")</f>
        <v>0</v>
      </c>
      <c r="I362" s="438"/>
      <c r="J362" s="2485"/>
      <c r="K362" s="2485"/>
      <c r="L362" s="2486"/>
      <c r="M362" s="2055" t="s">
        <v>1124</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IFERROR("J4.a) Statt aktuell "&amp;TEXT(VLOOKUP(B362,M411:O413,3,FALSE),"0,00€")&amp;" Zielwert von:",M289)</f>
        <v>J4.a) Statt aktuell 0,00€ Zielwert von:</v>
      </c>
      <c r="B363" s="267"/>
      <c r="C363" s="267"/>
      <c r="D363" s="567"/>
      <c r="E363" s="1894" t="str">
        <f>IFERROR(IF(G362=0,"",IF(AND(D363="",SUM(E365:F365)=0),"← Zielwert eintragen!","  Delta zum Zielwert aktuell "&amp;TEXT(G362,"0,00€")&amp;"; siehe Info rechts!")),"Kalkulation ergibt noch kein Ergebnis!")</f>
        <v/>
      </c>
      <c r="I363" s="438"/>
      <c r="J363" s="2485"/>
      <c r="K363" s="2485"/>
      <c r="L363" s="2486"/>
      <c r="M363" s="2057" t="s">
        <v>730</v>
      </c>
      <c r="N363" s="2058" t="str">
        <f>IF(E350=M362,N362,N361)</f>
        <v/>
      </c>
    </row>
    <row r="364" spans="1:15" ht="20.100000000000001" customHeight="1" x14ac:dyDescent="0.25">
      <c r="A364" s="2773" t="str">
        <f>IF(AND(D363&lt;&gt;"",SUM(E365:F365)=0),M420,M419)</f>
        <v>J4.b) Für (neue) Simulation ggf. J4.c löschen; beachte den dadurch ev. geänderten Wert bei J4.a!</v>
      </c>
      <c r="B364" s="2773"/>
      <c r="C364" s="2773"/>
      <c r="D364" s="2773"/>
      <c r="E364" s="2773"/>
      <c r="F364" s="2773"/>
      <c r="G364" s="2773"/>
      <c r="H364" s="2773"/>
      <c r="I364" s="438"/>
      <c r="J364" s="2485"/>
      <c r="K364" s="2485"/>
      <c r="L364" s="2486"/>
    </row>
    <row r="365" spans="1:15" ht="17.649999999999999" customHeight="1" x14ac:dyDescent="0.25">
      <c r="A365" s="2296" t="str">
        <f>IFERROR(IF(G362=0,M426,IF(ABS(G362)=0.01,M425,IF(AND(SUM(E365:F365)&lt;&gt;0,ABS(G362)&gt;0.01),M423,M424))),M289)</f>
        <v>J4.c) Zielwert erreicht!</v>
      </c>
      <c r="B365" s="2296"/>
      <c r="C365" s="2296"/>
      <c r="D365" s="2296"/>
      <c r="E365" s="338"/>
      <c r="F365" s="1895"/>
      <c r="G365" s="1304" t="str">
        <f>IF(A365=M423,"← löschen","")</f>
        <v/>
      </c>
      <c r="H365" s="1291"/>
      <c r="I365" s="438"/>
      <c r="J365" s="2319" t="str">
        <f>IF(B362&lt;&gt;M411,M415,"")</f>
        <v/>
      </c>
      <c r="K365" s="2319"/>
      <c r="L365" s="2320"/>
      <c r="M365" s="2059" t="s">
        <v>1125</v>
      </c>
    </row>
    <row r="366" spans="1:15" ht="17.649999999999999" customHeight="1" x14ac:dyDescent="0.25">
      <c r="A366" s="1306" t="s">
        <v>1049</v>
      </c>
      <c r="B366" s="722"/>
      <c r="C366" s="722"/>
      <c r="D366" s="722"/>
      <c r="E366" s="1284">
        <f>IF($B362&lt;&gt;$M411,E365,0)</f>
        <v>0</v>
      </c>
      <c r="F366" s="1312">
        <f>IF($B362&lt;&gt;$M411,F365,0)</f>
        <v>0</v>
      </c>
      <c r="G366" s="2774" t="str">
        <f ca="1">"∑ PGK aktuell "&amp;TEXT(H308,"0,00€")&amp;" | "&amp;TEXT(H308/H281,"0,00%")</f>
        <v>∑ PGK aktuell 6,64€ | 12,53%</v>
      </c>
      <c r="H366" s="2774"/>
      <c r="I366" s="438"/>
      <c r="J366" s="2319"/>
      <c r="K366" s="2319"/>
      <c r="L366" s="2320"/>
    </row>
    <row r="367" spans="1:15" ht="17.649999999999999" customHeight="1" x14ac:dyDescent="0.25">
      <c r="A367" s="2722" t="str">
        <f ca="1">A$74</f>
        <v>Info: KV &amp; up.Z: 20,00€ | abgabepfl. Pers.ko: 26,00€ | vor Uml: 53,00€ | KOSTEN: 59,64€ | PREIS: 76,94€</v>
      </c>
      <c r="B367" s="2723"/>
      <c r="C367" s="2723"/>
      <c r="D367" s="2723"/>
      <c r="E367" s="2723"/>
      <c r="F367" s="2723"/>
      <c r="G367" s="2723"/>
      <c r="H367" s="2723"/>
      <c r="I367" s="438"/>
      <c r="J367" s="2319"/>
      <c r="K367" s="2319"/>
      <c r="L367" s="2320"/>
    </row>
    <row r="368" spans="1:15" ht="17.649999999999999" customHeight="1" x14ac:dyDescent="0.25">
      <c r="A368" s="2790" t="s">
        <v>1051</v>
      </c>
      <c r="B368" s="2790"/>
      <c r="C368" s="2790"/>
      <c r="D368" s="2790"/>
      <c r="E368" s="2790"/>
      <c r="F368" s="2790"/>
      <c r="G368" s="2790"/>
      <c r="H368" s="2790"/>
      <c r="I368" s="438"/>
      <c r="J368" s="2319"/>
      <c r="K368" s="2319"/>
      <c r="L368" s="2320"/>
    </row>
    <row r="369" spans="1:25" ht="20.100000000000001" customHeight="1" x14ac:dyDescent="0.25">
      <c r="A369" s="2790"/>
      <c r="B369" s="2790"/>
      <c r="C369" s="2790"/>
      <c r="D369" s="2790"/>
      <c r="E369" s="2790"/>
      <c r="F369" s="2790"/>
      <c r="G369" s="2790"/>
      <c r="H369" s="2790"/>
      <c r="I369" s="438"/>
      <c r="J369" s="2319"/>
      <c r="K369" s="2319"/>
      <c r="L369" s="2320"/>
    </row>
    <row r="370" spans="1:25" ht="17.649999999999999" customHeight="1" x14ac:dyDescent="0.25">
      <c r="A370" s="2790"/>
      <c r="B370" s="2790"/>
      <c r="C370" s="2790"/>
      <c r="D370" s="2790"/>
      <c r="E370" s="2790"/>
      <c r="F370" s="2790"/>
      <c r="G370" s="2790"/>
      <c r="H370" s="2790"/>
      <c r="I370" s="438"/>
      <c r="J370" s="2319"/>
      <c r="K370" s="2319"/>
      <c r="L370" s="2320"/>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319"/>
      <c r="K371" s="2319"/>
      <c r="L371" s="2320"/>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319"/>
      <c r="K372" s="2319"/>
      <c r="L372" s="2320"/>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319"/>
      <c r="K373" s="2319"/>
      <c r="L373" s="2320"/>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319"/>
      <c r="K374" s="2319"/>
      <c r="L374" s="2320"/>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319"/>
      <c r="K375" s="2319"/>
      <c r="L375" s="2320"/>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319"/>
      <c r="K376" s="2319"/>
      <c r="L376" s="2320"/>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319"/>
      <c r="K377" s="2319"/>
      <c r="L377" s="2320"/>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319"/>
      <c r="K378" s="2319"/>
      <c r="L378" s="2320"/>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319"/>
      <c r="K379" s="2319"/>
      <c r="L379" s="2320"/>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319"/>
      <c r="K380" s="2319"/>
      <c r="L380" s="2320"/>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319"/>
      <c r="K381" s="2319"/>
      <c r="L381" s="2320"/>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53</v>
      </c>
      <c r="E382" s="508"/>
      <c r="F382" s="509"/>
      <c r="G382" s="509"/>
      <c r="H382" s="510"/>
      <c r="I382" s="438"/>
      <c r="J382" s="2319"/>
      <c r="K382" s="2319"/>
      <c r="L382" s="2320"/>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6.64</v>
      </c>
      <c r="C383" s="507">
        <f>IF(AND(F360&lt;&gt;"",F354&lt;&gt;"Nein"),IF(F356="als €",ROUND(-F360,3),ROUND(-F360*H281/100,3)),0)</f>
        <v>0</v>
      </c>
      <c r="D383" s="512">
        <f ca="1">B383+C383</f>
        <v>6.64</v>
      </c>
      <c r="E383" s="508" t="s">
        <v>76</v>
      </c>
      <c r="F383" s="509"/>
      <c r="H383" s="509" t="s">
        <v>611</v>
      </c>
      <c r="I383" s="438"/>
      <c r="J383" s="2319"/>
      <c r="K383" s="2319"/>
      <c r="L383" s="2320"/>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59.64</v>
      </c>
      <c r="E384" s="512" t="str">
        <f>' K3 PP'!M39</f>
        <v/>
      </c>
      <c r="F384" s="512">
        <f ca="1">SUM(D384,E384)</f>
        <v>59.64</v>
      </c>
      <c r="G384" s="752" t="str">
        <f>IF(F354="Kosten",IF(F355=H379,ROUNDUP(F384,0),IF(F355=F379,ROUNDUP(F384,1),IF(F355=G379,(ROUNDUP(F384/0.5,0)*0.5),""))),"")</f>
        <v/>
      </c>
      <c r="H384" s="667" t="str">
        <f>IF(F360="","",IF(F354="Kosten",G384-E384,""))</f>
        <v/>
      </c>
      <c r="I384" s="438"/>
      <c r="J384" s="2319"/>
      <c r="K384" s="2319"/>
      <c r="L384" s="2320"/>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17.3</v>
      </c>
      <c r="E385" s="512" t="str">
        <f ca="1">' K3 PP'!M43</f>
        <v/>
      </c>
      <c r="F385" s="512">
        <f ca="1">SUM(D385,E385)</f>
        <v>17.3</v>
      </c>
      <c r="G385" s="509"/>
      <c r="H385" s="510"/>
      <c r="I385" s="438"/>
      <c r="J385" s="2319"/>
      <c r="K385" s="2319"/>
      <c r="L385" s="2320"/>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76.94</v>
      </c>
      <c r="E386" s="512">
        <f ca="1">SUM(E384,E385)</f>
        <v>0</v>
      </c>
      <c r="F386" s="512">
        <f ca="1">D386+E386</f>
        <v>76.94</v>
      </c>
      <c r="G386" s="752" t="str">
        <f>IF(F354="Preis",IF(F355=H379,ROUNDUP(F386,0),IF(F355=F379,ROUNDUP(F386,1),IF(F355=G379,(ROUNDUP(F386/0.5,0)*0.5),""))),"")</f>
        <v/>
      </c>
      <c r="H386" s="667" t="str">
        <f>IF(F360="","",IF(F354="Preis",G386-E386,""))</f>
        <v/>
      </c>
      <c r="I386" s="438"/>
      <c r="J386" s="2319"/>
      <c r="K386" s="2319"/>
      <c r="L386" s="2320"/>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319"/>
      <c r="K387" s="2319"/>
      <c r="L387" s="2320"/>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319"/>
      <c r="K388" s="2319"/>
      <c r="L388" s="2320"/>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319"/>
      <c r="K389" s="2319"/>
      <c r="L389" s="2320"/>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319"/>
      <c r="K390" s="2319"/>
      <c r="L390" s="2320"/>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319"/>
      <c r="K391" s="2319"/>
      <c r="L391" s="2320"/>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19"/>
      <c r="K392" s="2319"/>
      <c r="L392" s="2320"/>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59.64</v>
      </c>
      <c r="E393" s="757" t="str">
        <f ca="1">IFERROR(C393-D393,"")</f>
        <v/>
      </c>
      <c r="F393" s="505"/>
      <c r="G393" s="505"/>
      <c r="H393" s="505"/>
      <c r="I393" s="438"/>
      <c r="J393" s="2319"/>
      <c r="K393" s="2319"/>
      <c r="L393" s="2320"/>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319"/>
      <c r="K394" s="2319"/>
      <c r="L394" s="2320"/>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319"/>
      <c r="K395" s="2319"/>
      <c r="L395" s="2320"/>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319"/>
      <c r="K396" s="2319"/>
      <c r="L396" s="2320"/>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319"/>
      <c r="K397" s="2319"/>
      <c r="L397" s="2320"/>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319"/>
      <c r="K398" s="2319"/>
      <c r="L398" s="2320"/>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319"/>
      <c r="K399" s="2319"/>
      <c r="L399" s="2320"/>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319"/>
      <c r="K400" s="2319"/>
      <c r="L400" s="2320"/>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319"/>
      <c r="K401" s="2319"/>
      <c r="L401" s="2320"/>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319"/>
      <c r="K402" s="2319"/>
      <c r="L402" s="2320"/>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319"/>
      <c r="K403" s="2319"/>
      <c r="L403" s="2320"/>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319"/>
      <c r="K404" s="2319"/>
      <c r="L404" s="2320"/>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319"/>
      <c r="K405" s="2319"/>
      <c r="L405" s="2320"/>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319"/>
      <c r="K406" s="2319"/>
      <c r="L406" s="2320"/>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19"/>
      <c r="K407" s="2319"/>
      <c r="L407" s="2320"/>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319"/>
      <c r="K408" s="2319"/>
      <c r="L408" s="2320"/>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796" t="str">
        <f ca="1">IFERROR(' K3 PP'!N40,KALKULATION!$M$288)</f>
        <v>59,64 €/Std</v>
      </c>
      <c r="F409" s="2796"/>
      <c r="G409" s="2796"/>
      <c r="H409" s="2796"/>
      <c r="I409" s="438"/>
      <c r="J409" s="2319"/>
      <c r="K409" s="2319"/>
      <c r="L409" s="2320"/>
      <c r="M409" s="2061" t="s">
        <v>1052</v>
      </c>
    </row>
    <row r="410" spans="1:25" ht="17.850000000000001" customHeight="1" x14ac:dyDescent="0.25">
      <c r="A410" s="386" t="str">
        <f>' K3 PP'!B45</f>
        <v>Mittellohnpreis</v>
      </c>
      <c r="B410" s="387"/>
      <c r="C410" s="387"/>
      <c r="D410" s="387"/>
      <c r="E410" s="2348" t="str">
        <f ca="1">IFERROR(' K3 PP'!N45,KALKULATION!$M$288)</f>
        <v>76,94 €/Std</v>
      </c>
      <c r="F410" s="2348"/>
      <c r="G410" s="2348"/>
      <c r="H410" s="2348"/>
      <c r="I410" s="438"/>
      <c r="L410" s="216"/>
      <c r="M410" s="2062" t="s">
        <v>1026</v>
      </c>
      <c r="O410" s="1342" t="s">
        <v>1027</v>
      </c>
      <c r="P410" s="1342" t="s">
        <v>1028</v>
      </c>
    </row>
    <row r="411" spans="1:25" ht="17.850000000000001" customHeight="1" x14ac:dyDescent="0.25">
      <c r="A411" s="1296" t="s">
        <v>1014</v>
      </c>
      <c r="B411" s="1145"/>
      <c r="C411" s="2212">
        <f ca="1">H6</f>
        <v>-699</v>
      </c>
      <c r="D411" s="2212"/>
      <c r="E411" s="2213" t="str">
        <f ca="1">IF(C411&lt;30,"Lizenzverlängerung www.bauwesen.at/k3","")</f>
        <v>Lizenzverlängerung www.bauwesen.at/k3</v>
      </c>
      <c r="F411" s="2213"/>
      <c r="G411" s="2213"/>
      <c r="H411" s="2213"/>
      <c r="I411" s="438"/>
      <c r="L411" s="216"/>
      <c r="M411" s="2062" t="s">
        <v>1025</v>
      </c>
    </row>
    <row r="412" spans="1:25" ht="17.850000000000001" customHeight="1" x14ac:dyDescent="0.25">
      <c r="A412" s="2812"/>
      <c r="B412" s="2812"/>
      <c r="C412" s="2812"/>
      <c r="D412" s="2812"/>
      <c r="E412" s="2812"/>
      <c r="F412" s="2812"/>
      <c r="G412" s="2812"/>
      <c r="H412" s="2812"/>
      <c r="I412" s="2812"/>
      <c r="L412" s="216"/>
      <c r="M412" s="1342" t="s">
        <v>1030</v>
      </c>
      <c r="O412" s="1342">
        <f ca="1">IFERROR(SUM(' K3 PP'!M39,' K3 PP'!O39),"?")</f>
        <v>59.64</v>
      </c>
      <c r="P412" s="1343">
        <f>D$363</f>
        <v>0</v>
      </c>
      <c r="Q412" s="2063">
        <f ca="1">IFERROR(P412-O412,"?")</f>
        <v>-59.64</v>
      </c>
    </row>
    <row r="413" spans="1:25" ht="17.850000000000001" customHeight="1" x14ac:dyDescent="0.3">
      <c r="A413" s="1896" t="str">
        <f>IF($C$28=$M$31,"Regielohnpreis","Regiegehaltspreis")</f>
        <v>Regielohnpreis</v>
      </c>
      <c r="B413" s="59"/>
      <c r="C413" s="2793" t="str">
        <f>A413&amp;"kalkulation"</f>
        <v>Regielohnpreiskalkulation</v>
      </c>
      <c r="D413" s="2793"/>
      <c r="E413" s="2793"/>
      <c r="F413" s="2793"/>
      <c r="G413" s="59"/>
      <c r="H413" s="59"/>
      <c r="I413" s="1897"/>
      <c r="L413" s="216"/>
      <c r="M413" s="1342" t="s">
        <v>1031</v>
      </c>
      <c r="O413" s="2006">
        <f ca="1">IFERROR(SUM(' K3 PP'!M44,' K3 PP'!O44),"?")</f>
        <v>76.94</v>
      </c>
      <c r="P413" s="1343">
        <f>D$363</f>
        <v>0</v>
      </c>
      <c r="Q413" s="2064">
        <f ca="1">IFERROR((P413-O413)/(1+G345),"?")</f>
        <v>-59.6434</v>
      </c>
    </row>
    <row r="414" spans="1:25" ht="17.850000000000001" customHeight="1" x14ac:dyDescent="0.25">
      <c r="A414" s="2582" t="s">
        <v>1118</v>
      </c>
      <c r="B414" s="2411"/>
      <c r="C414" s="2411"/>
      <c r="D414" s="2411"/>
      <c r="E414" s="2411"/>
      <c r="F414" s="2411"/>
      <c r="G414" s="2411"/>
      <c r="H414" s="2411"/>
      <c r="I414" s="2794"/>
      <c r="L414" s="216"/>
    </row>
    <row r="415" spans="1:25" ht="17.850000000000001" customHeight="1" x14ac:dyDescent="0.25">
      <c r="A415" s="2583"/>
      <c r="B415" s="2584"/>
      <c r="C415" s="2584"/>
      <c r="D415" s="2584"/>
      <c r="E415" s="2584"/>
      <c r="F415" s="2584"/>
      <c r="G415" s="2584"/>
      <c r="H415" s="2584"/>
      <c r="I415" s="2795"/>
      <c r="L415" s="216"/>
      <c r="M415" s="2843" t="s">
        <v>1117</v>
      </c>
      <c r="N415" s="2844"/>
      <c r="O415" s="2844"/>
      <c r="P415" s="2844"/>
      <c r="Q415" s="2844"/>
      <c r="R415" s="2844"/>
      <c r="S415" s="2844"/>
      <c r="T415" s="2844"/>
      <c r="U415" s="2844"/>
    </row>
    <row r="416" spans="1:25" ht="17.850000000000001" customHeight="1" x14ac:dyDescent="0.25">
      <c r="A416" s="2753"/>
      <c r="B416" s="2754"/>
      <c r="C416" s="2754"/>
      <c r="D416" s="2754"/>
      <c r="E416" s="2754"/>
      <c r="F416" s="2754"/>
      <c r="G416" s="2754"/>
      <c r="H416" s="2754"/>
      <c r="I416" s="2754"/>
      <c r="L416" s="216"/>
      <c r="M416" s="2843"/>
      <c r="N416" s="2844"/>
      <c r="O416" s="2844"/>
      <c r="P416" s="2844"/>
      <c r="Q416" s="2844"/>
      <c r="R416" s="2844"/>
      <c r="S416" s="2844"/>
      <c r="T416" s="2844"/>
      <c r="U416" s="2844"/>
    </row>
    <row r="417" spans="1:21" ht="25.15" customHeight="1" x14ac:dyDescent="0.25">
      <c r="A417" s="2311" t="str">
        <f ca="1">$A$413&amp;" 1"&amp;IF(A421=""," [keine Beschäftigungsgruppe ausgewählt]",IF(D421=KALKULATION!$M$283," - [nicht vorhandene Beschäftigungsgruppe]"," - kalkuliert für ["&amp;LEFT(A421,40)&amp;"]"))</f>
        <v>Regielohnpreis 1 - kalkuliert für [Facharbeiter (&gt; 2Verwendungsjahr)]</v>
      </c>
      <c r="B417" s="2312"/>
      <c r="C417" s="2312"/>
      <c r="D417" s="2312"/>
      <c r="E417" s="2312"/>
      <c r="F417" s="2312"/>
      <c r="G417" s="2312"/>
      <c r="H417" s="2312"/>
      <c r="I417" s="1188"/>
      <c r="J417" s="59"/>
      <c r="K417" s="59"/>
      <c r="L417" s="593"/>
      <c r="M417" s="2843"/>
      <c r="N417" s="2844"/>
      <c r="O417" s="2844"/>
      <c r="P417" s="2844"/>
      <c r="Q417" s="2844"/>
      <c r="R417" s="2844"/>
      <c r="S417" s="2844"/>
      <c r="T417" s="2844"/>
      <c r="U417" s="2844"/>
    </row>
    <row r="418" spans="1:21" ht="17.850000000000001" customHeight="1" x14ac:dyDescent="0.25">
      <c r="A418" s="2116" t="s">
        <v>533</v>
      </c>
      <c r="B418" s="2403"/>
      <c r="C418" s="2404"/>
      <c r="D418" s="2384" t="s">
        <v>935</v>
      </c>
      <c r="E418" s="2385"/>
      <c r="F418" s="2385"/>
      <c r="G418" s="2385"/>
      <c r="H418" s="2385"/>
      <c r="I418" s="641"/>
      <c r="L418" s="216"/>
      <c r="M418" s="2843"/>
      <c r="N418" s="2844"/>
      <c r="O418" s="2844"/>
      <c r="P418" s="2844"/>
      <c r="Q418" s="2844"/>
      <c r="R418" s="2844"/>
      <c r="S418" s="2844"/>
      <c r="T418" s="2844"/>
      <c r="U418" s="2844"/>
    </row>
    <row r="419" spans="1:21" ht="17.850000000000001" customHeight="1" x14ac:dyDescent="0.25">
      <c r="A419" s="2405"/>
      <c r="B419" s="2406"/>
      <c r="C419" s="2407"/>
      <c r="D419" s="2386"/>
      <c r="E419" s="2387"/>
      <c r="F419" s="2387"/>
      <c r="G419" s="2387"/>
      <c r="H419" s="2387"/>
      <c r="I419" s="641"/>
      <c r="L419" s="216"/>
      <c r="M419" s="1342" t="s">
        <v>1053</v>
      </c>
    </row>
    <row r="420" spans="1:21" ht="17.850000000000001" customHeight="1" thickBot="1" x14ac:dyDescent="0.3">
      <c r="A420" s="2266" t="s">
        <v>380</v>
      </c>
      <c r="B420" s="2266"/>
      <c r="C420" s="2266"/>
      <c r="D420" s="2783"/>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3">
      <c r="A421" s="2214" t="s">
        <v>1135</v>
      </c>
      <c r="B421" s="2215"/>
      <c r="C421" s="2216"/>
      <c r="D421" s="51">
        <f ca="1">IFERROR(VLOOKUP(A421,Stammdaten!A$7:D$33,4,FALSE),KALKULATION!$M$283)</f>
        <v>18.75</v>
      </c>
      <c r="E421" s="520">
        <v>1</v>
      </c>
      <c r="F421" s="521">
        <v>1</v>
      </c>
      <c r="G421" s="349">
        <f ca="1">IFERROR(VLOOKUP(A421,Stammdaten!A$7:F$33,4,FALSE)*F421,"")</f>
        <v>18.75</v>
      </c>
      <c r="H421" s="522">
        <f ca="1">IFERROR(VLOOKUP(A421,Stammdaten!A$7:F$33,6,FALSE)*F421,"")</f>
        <v>2.81</v>
      </c>
      <c r="I421" s="641"/>
      <c r="J421" s="2178" t="str">
        <f ca="1">IF(D421=KALKULATION!$M$283,"Auswahl erneut vornehmen (ungültiger Verweis)!","")</f>
        <v/>
      </c>
      <c r="K421" s="2178"/>
      <c r="L421" s="2179"/>
      <c r="M421" s="1141"/>
    </row>
    <row r="422" spans="1:21" ht="17.850000000000001" customHeight="1" x14ac:dyDescent="0.25">
      <c r="A422" s="2323" t="s">
        <v>92</v>
      </c>
      <c r="B422" s="2324"/>
      <c r="C422" s="2324"/>
      <c r="D422" s="2325"/>
      <c r="E422" s="49">
        <f>SUM(E421:E421)</f>
        <v>1</v>
      </c>
      <c r="F422" s="50">
        <v>1</v>
      </c>
      <c r="G422" s="151">
        <f ca="1">IF(AND(_OK?="OK!",_OK_KV?="OK_KV!"),SUM(G421),ROUNDUP(G421,0))</f>
        <v>19</v>
      </c>
      <c r="H422" s="84">
        <f ca="1">SUM(H421:H421)</f>
        <v>2.81</v>
      </c>
      <c r="I422" s="366" t="str">
        <f ca="1">IF(OR(_OK?&lt;&gt;"OK!",_OK_KV?&lt;&gt;"OK_KV!"),"X","")</f>
        <v>X</v>
      </c>
      <c r="J422" s="1112"/>
      <c r="K422" s="1112"/>
      <c r="L422" s="270"/>
      <c r="M422" s="1141"/>
    </row>
    <row r="423" spans="1:21" ht="17.850000000000001" customHeight="1" x14ac:dyDescent="0.25">
      <c r="A423" s="2142" t="s">
        <v>894</v>
      </c>
      <c r="B423" s="2143"/>
      <c r="C423" s="2143"/>
      <c r="D423" s="2143"/>
      <c r="E423" s="2143"/>
      <c r="F423" s="2143"/>
      <c r="G423" s="2143"/>
      <c r="H423" s="2143"/>
      <c r="I423" s="641"/>
      <c r="J423" s="1112"/>
      <c r="K423" s="1112"/>
      <c r="L423" s="216"/>
      <c r="M423" s="1342" t="s">
        <v>1046</v>
      </c>
    </row>
    <row r="424" spans="1:21" ht="17.850000000000001" customHeight="1" thickBot="1" x14ac:dyDescent="0.3">
      <c r="A424" s="2395"/>
      <c r="B424" s="2396"/>
      <c r="C424" s="2397"/>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78" t="str">
        <f ca="1">IF(OR(COUNTA(A424,E424)=2,COUNTA(A424,E424)=0),IF(D424=KALKULATION!$M$283,"Auswahl erneut vornehmen (ungültiger Verweis)!",""),"Eingabe unvollständig (ergänzen oder löschen)!")</f>
        <v/>
      </c>
      <c r="K424" s="2178"/>
      <c r="L424" s="2179"/>
      <c r="M424" s="1342" t="s">
        <v>1047</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78" t="str">
        <f ca="1">IF(E425&gt;=E422,"Unzulässige Umlage (R2 größer/gleich R1)!!!",IF(AND(E425&lt;&gt;0,G422=0),"Beschäftigungsgruppe in R1 wählen!",""))</f>
        <v/>
      </c>
      <c r="K425" s="2178"/>
      <c r="L425" s="2179"/>
      <c r="M425" s="1342" t="s">
        <v>1043</v>
      </c>
    </row>
    <row r="426" spans="1:21" ht="17.850000000000001" customHeight="1" x14ac:dyDescent="0.25">
      <c r="A426" s="2134" t="s">
        <v>699</v>
      </c>
      <c r="B426" s="2135"/>
      <c r="C426" s="2135"/>
      <c r="D426" s="2135"/>
      <c r="E426" s="2135"/>
      <c r="F426" s="2135"/>
      <c r="G426" s="2135"/>
      <c r="H426" s="572">
        <v>0</v>
      </c>
      <c r="I426" s="642"/>
      <c r="J426" s="2176" t="str">
        <f>IF(AND(ISBLANK(H426),E425&lt;&gt;0),"Kennzeichen eingeben! Es sind unprod. Zeiten kalkuliert.","")</f>
        <v/>
      </c>
      <c r="K426" s="2176"/>
      <c r="L426" s="2177"/>
      <c r="M426" s="1342" t="s">
        <v>1042</v>
      </c>
    </row>
    <row r="427" spans="1:21" ht="17.850000000000001" customHeight="1" x14ac:dyDescent="0.25">
      <c r="A427" s="2287"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88"/>
      <c r="C427" s="2288"/>
      <c r="D427" s="2288"/>
      <c r="E427" s="2288"/>
      <c r="F427" s="2288"/>
      <c r="G427" s="367">
        <f>IF(H426=1,E422,E422-E425)</f>
        <v>1</v>
      </c>
      <c r="H427" s="367">
        <f>E425</f>
        <v>0</v>
      </c>
      <c r="I427" s="641"/>
      <c r="J427" s="2293" t="str">
        <f>IFERROR(IF(H427/G427&gt;Report!$F$7,"Hinweis: Unproduktiver Anteil erscheint hoch!",""),"Der unprod. Anteil löst eine Division mit 0 aus!")</f>
        <v/>
      </c>
      <c r="K427" s="2293"/>
      <c r="L427" s="2294"/>
    </row>
    <row r="428" spans="1:21" ht="17.850000000000001" customHeight="1" x14ac:dyDescent="0.25">
      <c r="A428" s="2284"/>
      <c r="B428" s="2285"/>
      <c r="C428" s="2285"/>
      <c r="D428" s="2285"/>
      <c r="E428" s="2285"/>
      <c r="F428" s="2285"/>
      <c r="G428" s="2285"/>
      <c r="H428" s="2285"/>
      <c r="I428" s="641"/>
      <c r="L428" s="216"/>
    </row>
    <row r="429" spans="1:21" ht="17.850000000000001" customHeight="1" thickBot="1" x14ac:dyDescent="0.3">
      <c r="A429" s="2388" t="s">
        <v>382</v>
      </c>
      <c r="B429" s="2389"/>
      <c r="C429" s="2390"/>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19</v>
      </c>
      <c r="E430" s="683">
        <f ca="1">G427*H422</f>
        <v>2.81</v>
      </c>
      <c r="F430" s="684" t="s">
        <v>59</v>
      </c>
      <c r="G430" s="685">
        <f ca="1">D430</f>
        <v>19</v>
      </c>
      <c r="H430" s="686">
        <f ca="1">IF(D433=_Ja,"",D432)</f>
        <v>19</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2.81</v>
      </c>
      <c r="I431" s="641"/>
      <c r="L431" s="216"/>
    </row>
    <row r="432" spans="1:21" ht="17.850000000000001" customHeight="1" thickBot="1" x14ac:dyDescent="0.3">
      <c r="A432" s="695"/>
      <c r="B432" s="696"/>
      <c r="C432" s="697" t="s">
        <v>56</v>
      </c>
      <c r="D432" s="698">
        <f ca="1">SUM(D430:D431)</f>
        <v>19</v>
      </c>
      <c r="E432" s="699">
        <f ca="1">SUM(E430:E431)</f>
        <v>2.81</v>
      </c>
      <c r="F432" s="700" t="s">
        <v>86</v>
      </c>
      <c r="G432" s="701">
        <f ca="1">G431/G430</f>
        <v>0</v>
      </c>
      <c r="H432" s="702">
        <f ca="1">IF(D433=_Ja,$H$73,H431/H430)</f>
        <v>0.1479</v>
      </c>
      <c r="I432" s="366" t="str">
        <f>IF(D433=_Ja,"X","")</f>
        <v/>
      </c>
      <c r="L432" s="216"/>
    </row>
    <row r="433" spans="1:18" ht="17.850000000000001" customHeight="1" thickBot="1" x14ac:dyDescent="0.3">
      <c r="A433" s="2134" t="str">
        <f ca="1">"Ø AKV gem Pkt B  "&amp;TEXT($H$73,"0,00%")&amp;". Beibehalten?"</f>
        <v>Ø AKV gem Pkt B  14,50%. Beibehalten?</v>
      </c>
      <c r="B433" s="2135"/>
      <c r="C433" s="2136"/>
      <c r="D433" s="826" t="s">
        <v>193</v>
      </c>
      <c r="E433" s="2208" t="s">
        <v>383</v>
      </c>
      <c r="F433" s="2209"/>
      <c r="G433" s="357"/>
      <c r="H433" s="358"/>
      <c r="I433" s="366" t="str">
        <f>IF(OR(G433&lt;&gt;0,H433&lt;&gt;0),"X","")</f>
        <v/>
      </c>
      <c r="L433" s="216"/>
    </row>
    <row r="434" spans="1:18" ht="17.850000000000001" customHeight="1" x14ac:dyDescent="0.25">
      <c r="A434" s="2217"/>
      <c r="B434" s="2218"/>
      <c r="C434" s="2218"/>
      <c r="D434" s="2219"/>
      <c r="E434" s="2187" t="s">
        <v>556</v>
      </c>
      <c r="F434" s="2188"/>
      <c r="G434" s="86">
        <f ca="1">SUM(G432,G433)</f>
        <v>0</v>
      </c>
      <c r="H434" s="154">
        <f ca="1">SUM(H432,H433)</f>
        <v>0.1479</v>
      </c>
      <c r="I434" s="641"/>
      <c r="L434" s="216"/>
    </row>
    <row r="435" spans="1:18" ht="17.850000000000001" customHeight="1" x14ac:dyDescent="0.25">
      <c r="A435" s="2210"/>
      <c r="B435" s="2211"/>
      <c r="C435" s="2211"/>
      <c r="D435" s="2220"/>
      <c r="E435" s="87"/>
      <c r="F435" s="644"/>
      <c r="G435" s="368" t="s">
        <v>121</v>
      </c>
      <c r="H435" s="369" t="s">
        <v>122</v>
      </c>
      <c r="I435" s="641"/>
      <c r="L435" s="216"/>
    </row>
    <row r="436" spans="1:18" ht="17.850000000000001" customHeight="1" x14ac:dyDescent="0.25">
      <c r="A436" s="1189" t="s">
        <v>384</v>
      </c>
      <c r="B436" s="844"/>
      <c r="C436" s="844"/>
      <c r="D436" s="2755" t="str">
        <f>IF(A421=0,"Beschäftigungsgruppe wählen!",A421)</f>
        <v>Facharbeiter (&gt; 2Verwendungsjahr)</v>
      </c>
      <c r="E436" s="2755"/>
      <c r="F436" s="2755"/>
      <c r="G436" s="2755"/>
      <c r="H436" s="846">
        <f ca="1">IFERROR(' K3 Regie1'!N45,"??")</f>
        <v>73.36</v>
      </c>
      <c r="I436" s="641"/>
      <c r="L436" s="216"/>
    </row>
    <row r="437" spans="1:18" ht="17.850000000000001" customHeight="1" x14ac:dyDescent="0.25">
      <c r="A437" s="2289" t="s">
        <v>632</v>
      </c>
      <c r="B437" s="2290"/>
      <c r="C437" s="2290"/>
      <c r="D437" s="2290"/>
      <c r="E437" s="2290"/>
      <c r="F437" s="2290"/>
      <c r="G437" s="2290"/>
      <c r="H437" s="2290"/>
      <c r="I437" s="641"/>
      <c r="J437" s="2263" t="str">
        <f>IF(OR(I438="X",I443="X"),M$301,"")</f>
        <v/>
      </c>
      <c r="K437" s="2263"/>
      <c r="L437" s="2264"/>
      <c r="M437" s="1961" t="s">
        <v>775</v>
      </c>
      <c r="N437" s="1961"/>
    </row>
    <row r="438" spans="1:18" ht="17.850000000000001" customHeight="1" x14ac:dyDescent="0.25">
      <c r="A438" s="2134" t="s">
        <v>704</v>
      </c>
      <c r="B438" s="2135"/>
      <c r="C438" s="2136"/>
      <c r="D438" s="865" t="s">
        <v>702</v>
      </c>
      <c r="E438" s="2137" t="s">
        <v>902</v>
      </c>
      <c r="F438" s="2138"/>
      <c r="G438" s="2139"/>
      <c r="H438" s="998">
        <f>IFERROR(VLOOKUP(E438,M438:N440,2,FALSE),"")</f>
        <v>0</v>
      </c>
      <c r="I438" s="366" t="str">
        <f>IF(E438&lt;&gt;M438,"X","")</f>
        <v/>
      </c>
      <c r="J438" s="2263"/>
      <c r="K438" s="2263"/>
      <c r="L438" s="2264"/>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0.01</v>
      </c>
    </row>
    <row r="440" spans="1:18" ht="30" customHeight="1" thickTop="1" x14ac:dyDescent="0.25">
      <c r="A440" s="2185"/>
      <c r="B440" s="2186"/>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227" t="str">
        <f>VLOOKUP(E443,M443:Q446,5,FALSE)</f>
        <v>Hinweis zu R4.b - 1.) Wenn der Regiepreis keine Arbeitszeitzuschläge enthalten soll (Regelung gem ÖN B 2110) ist diese Einstellung (1.) zutreffend.</v>
      </c>
      <c r="K440" s="2227"/>
      <c r="L440" s="2228"/>
      <c r="M440" s="2065" t="s">
        <v>904</v>
      </c>
      <c r="N440" s="2005" t="s">
        <v>703</v>
      </c>
    </row>
    <row r="441" spans="1:18" ht="17.850000000000001" customHeight="1" x14ac:dyDescent="0.25">
      <c r="A441" s="866"/>
      <c r="B441" s="867"/>
      <c r="C441" s="867"/>
      <c r="D441" s="874" t="s">
        <v>705</v>
      </c>
      <c r="E441" s="873">
        <f ca="1">' K3 Regie1'!O$21</f>
        <v>19</v>
      </c>
      <c r="F441" s="870">
        <f ca="1">IFERROR(F440/E441,0)</f>
        <v>0</v>
      </c>
      <c r="G441" s="868" t="str">
        <f ca="1">IF(G440=0,"",$G$131)</f>
        <v/>
      </c>
      <c r="H441" s="1007">
        <f ca="1">IFERROR(H440*G441,0)</f>
        <v>0</v>
      </c>
      <c r="I441" s="366"/>
      <c r="J441" s="2227"/>
      <c r="K441" s="2227"/>
      <c r="L441" s="2228"/>
    </row>
    <row r="442" spans="1:18" ht="17.850000000000001" customHeight="1" x14ac:dyDescent="0.25">
      <c r="A442" s="2221" t="s">
        <v>768</v>
      </c>
      <c r="B442" s="2222"/>
      <c r="C442" s="2222"/>
      <c r="D442" s="2222"/>
      <c r="E442" s="2222"/>
      <c r="F442" s="498"/>
      <c r="G442" s="346"/>
      <c r="H442" s="92">
        <f>IF(E438=M440,SUM(F441,H441),H438)</f>
        <v>0</v>
      </c>
      <c r="I442" s="366"/>
      <c r="J442" s="2227"/>
      <c r="K442" s="2227"/>
      <c r="L442" s="2228"/>
      <c r="M442" s="1958" t="s">
        <v>776</v>
      </c>
      <c r="N442" s="1958"/>
      <c r="O442" s="2066" t="s">
        <v>867</v>
      </c>
      <c r="P442" s="1950" t="s">
        <v>876</v>
      </c>
      <c r="Q442" s="1950" t="s">
        <v>877</v>
      </c>
      <c r="R442" s="1960" t="s">
        <v>879</v>
      </c>
    </row>
    <row r="443" spans="1:18" ht="17.850000000000001" customHeight="1" x14ac:dyDescent="0.25">
      <c r="A443" s="2142" t="s">
        <v>767</v>
      </c>
      <c r="B443" s="2143"/>
      <c r="C443" s="2143"/>
      <c r="D443" s="924" t="s">
        <v>769</v>
      </c>
      <c r="E443" s="2137" t="s">
        <v>882</v>
      </c>
      <c r="F443" s="2138"/>
      <c r="G443" s="2138"/>
      <c r="H443" s="1033">
        <f>IFERROR(VLOOKUP(E443,M443:N446,2,FALSE),"")</f>
        <v>0</v>
      </c>
      <c r="I443" s="366" t="str">
        <f>IF(E443&lt;&gt;M443,"X","")</f>
        <v/>
      </c>
      <c r="J443" s="2227"/>
      <c r="K443" s="2227"/>
      <c r="L443" s="2228"/>
      <c r="M443" s="2014" t="s">
        <v>882</v>
      </c>
      <c r="N443" s="1999">
        <v>0</v>
      </c>
      <c r="O443" s="2067"/>
      <c r="P443" s="1950" t="s">
        <v>143</v>
      </c>
      <c r="Q443" s="1950" t="s">
        <v>932</v>
      </c>
      <c r="R443" s="1965"/>
    </row>
    <row r="444" spans="1:18" ht="17.850000000000001" customHeight="1" x14ac:dyDescent="0.25">
      <c r="A444" s="2321" t="s">
        <v>563</v>
      </c>
      <c r="B444" s="2322"/>
      <c r="C444" s="2322"/>
      <c r="D444" s="2322"/>
      <c r="E444" s="553" t="s">
        <v>378</v>
      </c>
      <c r="F444" s="524" t="s">
        <v>192</v>
      </c>
      <c r="G444" s="925">
        <v>1</v>
      </c>
      <c r="H444" s="607"/>
      <c r="I444" s="366" t="str">
        <f>IF(AND(E443=M446,F444=_Ja),"X","")</f>
        <v/>
      </c>
      <c r="J444" s="2176" t="str">
        <f>IF(OR(F444=$Q$31,F444=$Q$32),"","Bitte Ja oder Nein wählen!")</f>
        <v/>
      </c>
      <c r="K444" s="2176"/>
      <c r="L444" s="2177"/>
      <c r="M444" s="2014" t="s">
        <v>1126</v>
      </c>
      <c r="N444" s="1999">
        <f ca="1">H$115</f>
        <v>2.9000000000000001E-2</v>
      </c>
      <c r="O444" s="2067"/>
      <c r="P444" s="2068" t="s">
        <v>1127</v>
      </c>
      <c r="Q444" s="1950" t="s">
        <v>884</v>
      </c>
      <c r="R444" s="1965"/>
    </row>
    <row r="445" spans="1:18" ht="17.850000000000001" customHeight="1" x14ac:dyDescent="0.25">
      <c r="A445" s="540" t="s">
        <v>379</v>
      </c>
      <c r="B445" s="2122"/>
      <c r="C445" s="2123"/>
      <c r="D445" s="2124"/>
      <c r="E445" s="542" t="str">
        <f>IF(OR(ISBLANK(B445),F444=_Nein),"",IFERROR(VLOOKUP(B445,Stammdaten!A$39:C$48,3,FALSE),KALKULATION!$M$283))</f>
        <v/>
      </c>
      <c r="F445" s="1101"/>
      <c r="G445" s="544"/>
      <c r="H445" s="608"/>
      <c r="I445" s="643"/>
      <c r="J445" s="2178" t="str">
        <f>IF(F444&lt;&gt;$Q$31,"",IF(AND(E445=KALKULATION!$M$283,F444=$Q$31),"Auswahl erneut vornehmen (ungültiger Verweis)!",IF(OR(AND(F444=$Q$31,B445=""),AND(F444=$Q$32,B445&lt;&gt;"")),"Eingabe unvollständig (ergänzen,  löschen od Nein wählen)!","")))</f>
        <v>Eingabe unvollständig (ergänzen,  löschen od Nein wählen)!</v>
      </c>
      <c r="K445" s="2178"/>
      <c r="L445" s="2179"/>
      <c r="M445" s="2014" t="s">
        <v>883</v>
      </c>
      <c r="N445" s="1999">
        <f ca="1">$Q$113</f>
        <v>0.57750000000000001</v>
      </c>
      <c r="O445" s="2067"/>
      <c r="P445" s="2068" t="s">
        <v>881</v>
      </c>
      <c r="Q445" s="1950" t="s">
        <v>885</v>
      </c>
      <c r="R445" s="1965"/>
    </row>
    <row r="446" spans="1:18" ht="17.850000000000001" customHeight="1" x14ac:dyDescent="0.25">
      <c r="A446" s="2297" t="s">
        <v>135</v>
      </c>
      <c r="B446" s="2298"/>
      <c r="C446" s="2298"/>
      <c r="D446" s="2298"/>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33" t="s">
        <v>560</v>
      </c>
      <c r="B447" s="2234"/>
      <c r="C447" s="2234"/>
      <c r="D447" s="2234"/>
      <c r="E447" s="2235"/>
      <c r="F447" s="351">
        <v>4</v>
      </c>
      <c r="G447" s="546">
        <f ca="1">IF(F447=1,1,IF(F447=2,((' K3 Regie1'!O$23+' K3 Regie1'!O$24)/' K3 Regie1'!O$23),IF(F447&gt;2,((' K3 Regie1'!O$23+' K3 Regie1'!O$24+' K3 Regie1'!O$25)/' K3 Regie1'!O$23),"")))</f>
        <v>1.1479999999999999</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321" t="s">
        <v>565</v>
      </c>
      <c r="B448" s="2322"/>
      <c r="C448" s="2322"/>
      <c r="D448" s="2322"/>
      <c r="E448" s="553" t="s">
        <v>378</v>
      </c>
      <c r="F448" s="524" t="s">
        <v>192</v>
      </c>
      <c r="G448" s="543"/>
      <c r="H448" s="607"/>
      <c r="I448" s="366" t="str">
        <f>IF(AND(E443=M446,F448=_Ja),"X","")</f>
        <v/>
      </c>
      <c r="J448" s="2176"/>
      <c r="K448" s="2176"/>
      <c r="L448" s="2177"/>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22"/>
      <c r="C449" s="2123"/>
      <c r="D449" s="2124"/>
      <c r="E449" s="549" t="str">
        <f>IF(OR(ISBLANK(B449),F448=_Nein),"",IFERROR(VLOOKUP(B449,Stammdaten!A$50:C$54,3,FALSE),KALKULATION!$M$283))</f>
        <v/>
      </c>
      <c r="F449" s="1101"/>
      <c r="G449" s="544"/>
      <c r="H449" s="608"/>
      <c r="I449" s="643"/>
      <c r="J449" s="2178" t="str">
        <f>IF(F448&lt;&gt;$Q$31,"",IF(AND(E449=KALKULATION!$M$283,F448=$Q$31),"Auswahl erneut vornehmen (ungültiger Verweis)!",IF(OR(AND(F448=$Q$31,B449=""),AND(F448=$Q$32,B449&lt;&gt;"")),"Eingabe unvollständig (ergänzen,  löschen od Nein wählen)!","")))</f>
        <v>Eingabe unvollständig (ergänzen,  löschen od Nein wählen)!</v>
      </c>
      <c r="K449" s="2178"/>
      <c r="L449" s="217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41" t="s">
        <v>198</v>
      </c>
      <c r="B450" s="2242"/>
      <c r="C450" s="2242"/>
      <c r="D450" s="2242"/>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33" t="str">
        <f>A447</f>
        <v xml:space="preserve">  Basis für die Aufzahlung in % (siehe Pkt C0; KZ = 1, 2, 3 od. 4):  ↓</v>
      </c>
      <c r="B451" s="2234"/>
      <c r="C451" s="2234"/>
      <c r="D451" s="2234"/>
      <c r="E451" s="2235"/>
      <c r="F451" s="351">
        <v>4</v>
      </c>
      <c r="G451" s="546">
        <f ca="1">IF(F451=1,1,IF(F451=2,((' K3 Regie1'!O$23+' K3 Regie1'!O$24)/' K3 Regie1'!O$23),IF(F451&gt;2,((' K3 Regie1'!O$23+' K3 Regie1'!O$24+' K3 Regie1'!O$25)/' K3 Regie1'!O$23),"")))</f>
        <v>1.1479999999999999</v>
      </c>
      <c r="H451" s="608" t="str">
        <f ca="1">IFERROR(IF(F448=$Q$31,(E449*E450*G451),""),"??")</f>
        <v>??</v>
      </c>
      <c r="I451" s="643"/>
      <c r="J451" s="2176" t="str">
        <f>IF(F448&lt;&gt;$Q$31,"",IF(AND(ISBLANK(F451),F448=$Q$31),"Kennzeichen setzen!",""))</f>
        <v/>
      </c>
      <c r="K451" s="2176"/>
      <c r="L451" s="360"/>
      <c r="M451" s="1342" t="s">
        <v>868</v>
      </c>
      <c r="N451" s="1342">
        <f>IF(AND(N449&lt;&gt;"",N450&lt;&gt;""),2,IF(N449&amp;N450="",0,1))</f>
        <v>0</v>
      </c>
      <c r="R451" s="1965"/>
    </row>
    <row r="452" spans="1:28" ht="17.850000000000001" customHeight="1" x14ac:dyDescent="0.25">
      <c r="A452" s="2321" t="s">
        <v>566</v>
      </c>
      <c r="B452" s="2322"/>
      <c r="C452" s="2322"/>
      <c r="D452" s="2322"/>
      <c r="E452" s="553" t="s">
        <v>378</v>
      </c>
      <c r="F452" s="524" t="s">
        <v>192</v>
      </c>
      <c r="G452" s="547"/>
      <c r="H452" s="610"/>
      <c r="I452" s="366" t="str">
        <f>IF(AND(E443=M446,F452=_Ja),"X","")</f>
        <v/>
      </c>
      <c r="J452" s="2176"/>
      <c r="K452" s="2176"/>
      <c r="L452" s="2177"/>
      <c r="M452" s="1967"/>
      <c r="N452" s="2075" t="str">
        <f>IF(N451=2," "&amp;N449&amp;" "&amp;", "&amp;N450,IF(N451=1," "&amp;N449&amp;N450,""))</f>
        <v/>
      </c>
      <c r="O452" s="2075"/>
      <c r="P452" s="1967"/>
      <c r="Q452" s="1967"/>
      <c r="R452" s="1974"/>
    </row>
    <row r="453" spans="1:28" ht="17.850000000000001" customHeight="1" x14ac:dyDescent="0.25">
      <c r="A453" s="552" t="s">
        <v>379</v>
      </c>
      <c r="B453" s="2123"/>
      <c r="C453" s="2123"/>
      <c r="D453" s="2123"/>
      <c r="E453" s="550" t="str">
        <f>IF(OR(ISBLANK(B453),F452=_Nein),"",IFERROR(VLOOKUP(B453,Stammdaten!A$57:C$61,2,FALSE),KALKULATION!$M$283))</f>
        <v/>
      </c>
      <c r="F453" s="758" t="s">
        <v>197</v>
      </c>
      <c r="G453" s="759">
        <f ca="1">' K3 Regie1'!$O$21</f>
        <v>19</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4" t="s">
        <v>391</v>
      </c>
      <c r="B454" s="2135"/>
      <c r="C454" s="2135"/>
      <c r="D454" s="2135"/>
      <c r="E454" s="67"/>
      <c r="F454" s="1001"/>
      <c r="G454" s="377" t="str">
        <f ca="1">IF(F448=$Q$31,TEXT(H451,"0%"),IF(F452=$Q$31,TEXT(G453,"0,00€"),""))</f>
        <v>??</v>
      </c>
      <c r="H454" s="612">
        <f>IF(E443=M446,SUM(H444:H453),H443)</f>
        <v>0</v>
      </c>
      <c r="I454" s="643"/>
      <c r="L454" s="216"/>
    </row>
    <row r="455" spans="1:28" ht="17.850000000000001" customHeight="1" x14ac:dyDescent="0.25">
      <c r="A455" s="2199" t="s">
        <v>857</v>
      </c>
      <c r="B455" s="2200"/>
      <c r="C455" s="2200"/>
      <c r="D455" s="2201"/>
      <c r="E455" s="2196" t="s">
        <v>774</v>
      </c>
      <c r="F455" s="2196"/>
      <c r="G455" s="2196" t="s">
        <v>772</v>
      </c>
      <c r="H455" s="2125" t="s">
        <v>762</v>
      </c>
      <c r="I455" s="643"/>
      <c r="L455" s="216"/>
    </row>
    <row r="456" spans="1:28" ht="17.850000000000001" customHeight="1" x14ac:dyDescent="0.25">
      <c r="A456" s="2202"/>
      <c r="B456" s="2203"/>
      <c r="C456" s="2203"/>
      <c r="D456" s="2204"/>
      <c r="E456" s="2197"/>
      <c r="F456" s="2197"/>
      <c r="G456" s="2197"/>
      <c r="H456" s="2126"/>
      <c r="I456" s="643"/>
      <c r="L456" s="216"/>
    </row>
    <row r="457" spans="1:28" ht="17.850000000000001" customHeight="1" thickBot="1" x14ac:dyDescent="0.3">
      <c r="A457" s="2205"/>
      <c r="B457" s="2206"/>
      <c r="C457" s="2206"/>
      <c r="D457" s="2207"/>
      <c r="E457" s="2198"/>
      <c r="F457" s="2198"/>
      <c r="G457" s="2198"/>
      <c r="H457" s="2127"/>
      <c r="I457" s="643"/>
      <c r="L457" s="216"/>
    </row>
    <row r="458" spans="1:28" ht="17.850000000000001" customHeight="1" thickTop="1" x14ac:dyDescent="0.25">
      <c r="A458" s="2221" t="s">
        <v>386</v>
      </c>
      <c r="B458" s="2222"/>
      <c r="C458" s="2222"/>
      <c r="D458" s="2306"/>
      <c r="E458" s="51">
        <f ca="1">$H$228</f>
        <v>2.8</v>
      </c>
      <c r="F458" s="1887">
        <f>H427/G427</f>
        <v>0</v>
      </c>
      <c r="G458" s="567"/>
      <c r="H458" s="361">
        <f ca="1">IF(ISBLANK(G458),E458*(1+F458),G458)</f>
        <v>2.8</v>
      </c>
      <c r="I458" s="366" t="str">
        <f>IF(ISBLANK(G458),"","X")</f>
        <v/>
      </c>
      <c r="L458" s="216"/>
      <c r="V458" s="1951"/>
      <c r="W458" s="1951"/>
      <c r="X458" s="1951"/>
      <c r="Y458" s="1951"/>
      <c r="Z458" s="66"/>
      <c r="AA458" s="66"/>
      <c r="AB458" s="66"/>
    </row>
    <row r="459" spans="1:28" s="66" customFormat="1" ht="17.850000000000001" customHeight="1" x14ac:dyDescent="0.25">
      <c r="A459" s="2134" t="s">
        <v>387</v>
      </c>
      <c r="B459" s="2135"/>
      <c r="C459" s="2135"/>
      <c r="D459" s="2136"/>
      <c r="E459" s="48">
        <f ca="1">IF(E438=M439,$G$227,$G$229)</f>
        <v>1.1000000000000001</v>
      </c>
      <c r="F459" s="1888">
        <f>H427/G427</f>
        <v>0</v>
      </c>
      <c r="G459" s="567"/>
      <c r="H459" s="362">
        <f ca="1">IF(ISBLANK(G459),E459*(1+F459),G459)</f>
        <v>1.1000000000000001</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4" t="s">
        <v>388</v>
      </c>
      <c r="B460" s="2135"/>
      <c r="C460" s="2135"/>
      <c r="D460" s="2136"/>
      <c r="E460" s="157">
        <f ca="1">$H$236</f>
        <v>0.28000000000000003</v>
      </c>
      <c r="F460" s="156"/>
      <c r="G460" s="337"/>
      <c r="H460" s="363">
        <f ca="1">IF(ISBLANK(G460),E460,G460)</f>
        <v>0.28000000000000003</v>
      </c>
      <c r="I460" s="366" t="str">
        <f ca="1">IF(OR(G460&lt;&gt;0,E460&lt;&gt;H460),"X","")</f>
        <v/>
      </c>
      <c r="J460" s="2293" t="str">
        <f>IF(G460="","","Hinweis: DPNK lassen sich genau bestimmen/nachrechnen!")</f>
        <v/>
      </c>
      <c r="K460" s="2293"/>
      <c r="L460" s="2294"/>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4" t="s">
        <v>389</v>
      </c>
      <c r="B461" s="2135"/>
      <c r="C461" s="2135"/>
      <c r="D461" s="2136"/>
      <c r="E461" s="157">
        <f ca="1">$H$265</f>
        <v>0.72</v>
      </c>
      <c r="F461" s="156"/>
      <c r="G461" s="337"/>
      <c r="H461" s="363">
        <f ca="1">IF(ISBLANK(G461),E461,G461)</f>
        <v>0.72</v>
      </c>
      <c r="I461" s="366" t="str">
        <f ca="1">IF(OR(G461&lt;&gt;0,E461&lt;&gt;H461),"X","")</f>
        <v/>
      </c>
      <c r="L461" s="216"/>
    </row>
    <row r="462" spans="1:28" ht="17.850000000000001" customHeight="1" x14ac:dyDescent="0.25">
      <c r="A462" s="2134" t="s">
        <v>390</v>
      </c>
      <c r="B462" s="2135"/>
      <c r="C462" s="2135"/>
      <c r="D462" s="2136"/>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4" t="s">
        <v>594</v>
      </c>
      <c r="B463" s="2136"/>
      <c r="C463" s="199">
        <f>$E$306</f>
        <v>0.06</v>
      </c>
      <c r="D463" s="54">
        <f ca="1">$F$307</f>
        <v>3.46</v>
      </c>
      <c r="E463" s="338"/>
      <c r="F463" s="567"/>
      <c r="G463" s="363">
        <f>IF(ISBLANK(E463),C463,E463)</f>
        <v>0.06</v>
      </c>
      <c r="H463" s="361">
        <f ca="1">IF(ISBLANK(F463),D463,F463)</f>
        <v>3.46</v>
      </c>
      <c r="I463" s="366" t="str">
        <f>IF(OR(F463&lt;&gt;0,E463&lt;&gt;0),"X","")</f>
        <v/>
      </c>
      <c r="L463" s="216"/>
    </row>
    <row r="464" spans="1:28" ht="17.850000000000001" customHeight="1" x14ac:dyDescent="0.25">
      <c r="A464" s="2208" t="str">
        <f ca="1">"R5)"&amp;IF($G$327=0," Keine Umlagen unter Pkt H1 bzw H2 angelgt!"," Umlagen (K3 Spalte A)")</f>
        <v>R5) Keine Umlagen unter Pkt H1 bzw H2 angelgt!</v>
      </c>
      <c r="B464" s="2305"/>
      <c r="C464" s="2305"/>
      <c r="D464" s="2305"/>
      <c r="E464" s="2305"/>
      <c r="F464" s="2305"/>
      <c r="G464" s="2305"/>
      <c r="H464" s="2305"/>
      <c r="I464" s="643"/>
      <c r="L464" s="216"/>
      <c r="O464" s="2045" t="s">
        <v>381</v>
      </c>
      <c r="P464" s="2045" t="s">
        <v>392</v>
      </c>
    </row>
    <row r="465" spans="1:20" ht="17.850000000000001" customHeight="1" thickBot="1" x14ac:dyDescent="0.3">
      <c r="A465" s="2314" t="s">
        <v>562</v>
      </c>
      <c r="B465" s="2315"/>
      <c r="C465" s="2315"/>
      <c r="D465" s="2316"/>
      <c r="E465" s="811" t="str">
        <f ca="1">IF(SUM(F466:G468)&lt;&gt;$H$327,"!","")</f>
        <v/>
      </c>
      <c r="F465" s="715" t="s">
        <v>69</v>
      </c>
      <c r="G465" s="747" t="s">
        <v>673</v>
      </c>
      <c r="H465" s="1008">
        <f ca="1">IFERROR(' K3 Regie1'!O33,"")</f>
        <v>50.39</v>
      </c>
      <c r="I465" s="643"/>
      <c r="J465" s="2319" t="str">
        <f ca="1">IF(E465="!","Hinweis: Es sind nicht alle oder andere Umlagen wie unter Pkt H für K3_PP ausgewählt! Berechnung erfolgt mit den hier ausgewählten Umlagen.","")</f>
        <v/>
      </c>
      <c r="K465" s="2319"/>
      <c r="L465" s="2320"/>
    </row>
    <row r="466" spans="1:20" ht="17.850000000000001" customHeight="1" thickTop="1" x14ac:dyDescent="0.25">
      <c r="A466" s="2370"/>
      <c r="B466" s="2370"/>
      <c r="C466" s="2370"/>
      <c r="D466" s="2370"/>
      <c r="E466" s="2370"/>
      <c r="F466" s="85" t="str">
        <f>IF(A466="","",IFERROR(VLOOKUP(A466,A$329:E$333,2,FALSE),KALKULATION!$M$283))</f>
        <v/>
      </c>
      <c r="G466" s="812" t="str">
        <f>IF(A466="","",IFERROR(VLOOKUP(A466,A$329:E$333,3,FALSE),""))</f>
        <v/>
      </c>
      <c r="H466" s="218" t="str">
        <f t="shared" ref="H466" si="44">IF(OR(G466="",G466=0),"",G466*H$465)</f>
        <v/>
      </c>
      <c r="I466" s="643"/>
      <c r="J466" s="2319"/>
      <c r="K466" s="2319"/>
      <c r="L466" s="2320"/>
    </row>
    <row r="467" spans="1:20" ht="17.850000000000001" customHeight="1" x14ac:dyDescent="0.25">
      <c r="A467" s="2265"/>
      <c r="B467" s="2265"/>
      <c r="C467" s="2265"/>
      <c r="D467" s="2265"/>
      <c r="E467" s="2265"/>
      <c r="F467" s="85" t="str">
        <f>IF(A467="","",IFERROR(VLOOKUP(A467,A$329:E$333,2,FALSE),KALKULATION!$M$283))</f>
        <v/>
      </c>
      <c r="G467" s="158" t="str">
        <f t="shared" ref="G467:G468" si="45">IF(A467="","",IFERROR(VLOOKUP(A467,A$329:E$333,3,FALSE),""))</f>
        <v/>
      </c>
      <c r="H467" s="218" t="str">
        <f>IF(OR(G467="",G467=0),"",G467*H$465)</f>
        <v/>
      </c>
      <c r="I467" s="643"/>
      <c r="J467" s="2319"/>
      <c r="K467" s="2319"/>
      <c r="L467" s="2320"/>
      <c r="M467" s="2076" t="s">
        <v>643</v>
      </c>
      <c r="N467" s="2076" t="str">
        <f>$A$413&amp;" gesamt"</f>
        <v>Regielohnpreis gesamt</v>
      </c>
      <c r="O467" s="2076"/>
      <c r="P467" s="2077"/>
    </row>
    <row r="468" spans="1:20" ht="17.850000000000001" customHeight="1" x14ac:dyDescent="0.25">
      <c r="A468" s="2265"/>
      <c r="B468" s="2265"/>
      <c r="C468" s="2265"/>
      <c r="D468" s="2265"/>
      <c r="E468" s="2265"/>
      <c r="F468" s="84" t="str">
        <f>IF(A468="","",IFERROR(VLOOKUP(A468,A$329:E$333,2,FALSE),KALKULATION!$M$283))</f>
        <v/>
      </c>
      <c r="G468" s="50" t="str">
        <f t="shared" si="45"/>
        <v/>
      </c>
      <c r="H468" s="73" t="str">
        <f>IF(OR(G468="",G468=0),"",G468*H$465)</f>
        <v/>
      </c>
      <c r="I468" s="643"/>
      <c r="L468" s="216"/>
      <c r="M468" s="2076" t="s">
        <v>414</v>
      </c>
      <c r="N468" s="2076" t="str">
        <f>IF(A421="","",A421)</f>
        <v>Facharbeiter (&gt; 2Verwendungsjahr)</v>
      </c>
      <c r="O468" s="2078"/>
      <c r="P468" s="2079"/>
    </row>
    <row r="469" spans="1:20" ht="17.850000000000001" customHeight="1" x14ac:dyDescent="0.25">
      <c r="A469" s="2180" t="str">
        <f>IF(SUM(F466:H468)=0,"R5.b) GZ auf UMLAGEN - keine Umlagen ausgewählt (oder in Pkt H1 angelegt)","R5.b) GZ auf Umlagen")</f>
        <v>R5.b) GZ auf UMLAGEN - keine Umlagen ausgewählt (oder in Pkt H1 angelegt)</v>
      </c>
      <c r="B469" s="2181"/>
      <c r="C469" s="2181"/>
      <c r="D469" s="2181"/>
      <c r="E469" s="2181"/>
      <c r="F469" s="2182"/>
      <c r="G469" s="2182"/>
      <c r="H469" s="2181"/>
      <c r="I469" s="643"/>
      <c r="L469" s="216"/>
      <c r="M469" s="2080" t="s">
        <v>723</v>
      </c>
      <c r="N469" s="2080" t="str">
        <f>IF(C478="","",C478)</f>
        <v/>
      </c>
      <c r="O469" s="2076"/>
      <c r="P469" s="2077"/>
    </row>
    <row r="470" spans="1:20" ht="17.850000000000001" customHeight="1" x14ac:dyDescent="0.25">
      <c r="A470" s="2221" t="s">
        <v>561</v>
      </c>
      <c r="B470" s="2222"/>
      <c r="C470" s="2306"/>
      <c r="D470" s="2137"/>
      <c r="E470" s="2138"/>
      <c r="F470" s="2139"/>
      <c r="G470" s="199" t="str">
        <f>IF(D470="","",IFERROR(VLOOKUP(D470,'K2 GZ'!I$25:M$32,5,FALSE),KALKULATION!$M$283))</f>
        <v/>
      </c>
      <c r="H470" s="1009" t="str">
        <f ca="1">IF($G$327=0,"",IF(G470=KALKULATION!$M$283,"",IF(SUM(F466:H468)=0,"",IF(D470="",$G$346,G470))))</f>
        <v/>
      </c>
      <c r="I470" s="366" t="str">
        <f>IF(AND(D470&lt;&gt;"",SUM(F466:H468)&lt;&gt;0),"X","")</f>
        <v/>
      </c>
      <c r="J470" s="2178" t="str">
        <f ca="1">IF(G470=KALKULATION!$M$283,"Auswahl erneut vornehmen (ungült. Verweis)/Text löschen!",IF(AND(H470="",SUM(F466:G468)&lt;&gt;0),"GZ fehlt oder gleich 0!)",""))</f>
        <v/>
      </c>
      <c r="K470" s="2178"/>
      <c r="L470" s="2179"/>
      <c r="M470" s="2080" t="s">
        <v>724</v>
      </c>
      <c r="N470" s="2080" t="str">
        <f>IF(N469=""," für ["&amp;N468&amp;"]"," für ["&amp;N469&amp;"]")</f>
        <v xml:space="preserve"> für [Facharbeiter (&gt; 2Verwendungsjahr)]</v>
      </c>
      <c r="O470" s="2080"/>
      <c r="P470" s="2080" t="str">
        <f>IF(N469="",""," für ["&amp;N469&amp;" | "&amp;N468&amp;"]")</f>
        <v/>
      </c>
    </row>
    <row r="471" spans="1:20" ht="17.850000000000001" customHeight="1" x14ac:dyDescent="0.25">
      <c r="A471" s="2351"/>
      <c r="B471" s="2352"/>
      <c r="C471" s="2352"/>
      <c r="D471" s="2352"/>
      <c r="E471" s="2352"/>
      <c r="F471" s="2352"/>
      <c r="G471" s="2352"/>
      <c r="H471" s="2352"/>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180" t="s">
        <v>646</v>
      </c>
      <c r="B472" s="2181"/>
      <c r="C472" s="2181"/>
      <c r="D472" s="2313"/>
      <c r="E472" s="2313"/>
      <c r="F472" s="2313"/>
      <c r="G472" s="2313"/>
      <c r="H472" s="2313"/>
      <c r="I472" s="641"/>
      <c r="L472" s="216"/>
      <c r="M472" s="2083" t="s">
        <v>642</v>
      </c>
      <c r="N472" s="2084" t="str">
        <f>IF(N452="",""," in ["&amp;N452&amp;"]")</f>
        <v/>
      </c>
      <c r="O472" s="2083"/>
      <c r="P472" s="2085"/>
    </row>
    <row r="473" spans="1:20" ht="17.850000000000001" customHeight="1" x14ac:dyDescent="0.25">
      <c r="A473" s="2221" t="s">
        <v>561</v>
      </c>
      <c r="B473" s="2222"/>
      <c r="C473" s="2222"/>
      <c r="D473" s="2137"/>
      <c r="E473" s="2138"/>
      <c r="F473" s="2139"/>
      <c r="G473" s="196" t="str">
        <f>IF(D473="","",IFERROR(VLOOKUP(D473,'K2 GZ'!I$25:M$32,5,FALSE),KALKULATION!$M$283))</f>
        <v/>
      </c>
      <c r="H473" s="1057">
        <f>IF(G473=KALKULATION!$M$283,"",IF(D473="",$G$345,G473))</f>
        <v>0.28999999999999998</v>
      </c>
      <c r="I473" s="366" t="str">
        <f>IF(D473&lt;&gt;"","X","")</f>
        <v/>
      </c>
      <c r="J473" s="2178" t="str">
        <f>IF(G473=KALKULATION!$M$283,"Auswahl erneut vornehmen (ungültiger Verweis)!",IF(H473=KALKULATION!$M$283,"GZ aus K2-Blatt wählen!",""))</f>
        <v/>
      </c>
      <c r="K473" s="2178"/>
      <c r="L473" s="2179"/>
      <c r="M473" s="2080"/>
      <c r="N473" s="2086"/>
      <c r="O473" s="2080"/>
      <c r="P473" s="2082"/>
    </row>
    <row r="474" spans="1:20" ht="20.100000000000001" customHeight="1" x14ac:dyDescent="0.25">
      <c r="A474" s="1189" t="s">
        <v>393</v>
      </c>
      <c r="B474" s="844"/>
      <c r="C474" s="2755" t="str">
        <f>D436</f>
        <v>Facharbeiter (&gt; 2Verwendungsjahr)</v>
      </c>
      <c r="D474" s="2755"/>
      <c r="E474" s="2755"/>
      <c r="F474" s="640" t="s">
        <v>259</v>
      </c>
      <c r="G474" s="845">
        <f ca="1">H474/D421-1</f>
        <v>2.9125000000000001</v>
      </c>
      <c r="H474" s="846">
        <f ca="1">IFERROR(' K3 Regie1'!N45,"??")</f>
        <v>73.36</v>
      </c>
      <c r="I474" s="641"/>
      <c r="J474" s="47"/>
      <c r="K474" s="47"/>
      <c r="L474" s="594"/>
      <c r="M474" s="2078"/>
      <c r="N474" s="2087"/>
      <c r="O474" s="2078"/>
      <c r="P474" s="2079"/>
      <c r="R474" s="2752"/>
      <c r="S474" s="2752"/>
      <c r="T474" s="2752"/>
    </row>
    <row r="475" spans="1:20" ht="17.850000000000001" customHeight="1" x14ac:dyDescent="0.25">
      <c r="A475" s="2116" t="s">
        <v>726</v>
      </c>
      <c r="B475" s="2267"/>
      <c r="C475" s="2190" t="str">
        <f>IFERROR(VLOOKUP(A477,M476:N482,2,FALSE),KALKULATION!$M$283)</f>
        <v>Regielohnpreis gesamt für [Facharbeiter (&gt; 2Verwendungsjahr)]</v>
      </c>
      <c r="D475" s="2191"/>
      <c r="E475" s="2191"/>
      <c r="F475" s="2191"/>
      <c r="G475" s="2191"/>
      <c r="H475" s="2191"/>
      <c r="I475" s="641"/>
      <c r="J475" s="2326" t="str">
        <f ca="1">IF(OR(H473&lt;Report!$G$13,KALKULATION!H473&gt;Report!$F$13,AND(SUM(KALKULATION!F466:H468)&lt;&gt;0,OR(H470&lt;Report!$G$13,KALKULATION!H470&gt;Report!$F$13))),"Hinweis: GZ in R5.b oder R6 liegt außerhalb der empfohlenen Grenzwerte gem Blatt REPORT!","")</f>
        <v/>
      </c>
      <c r="K475" s="2326"/>
      <c r="L475" s="2327"/>
      <c r="M475" s="2088" t="s">
        <v>679</v>
      </c>
      <c r="N475" s="2088"/>
    </row>
    <row r="476" spans="1:20" ht="17.850000000000001" customHeight="1" x14ac:dyDescent="0.25">
      <c r="A476" s="2268"/>
      <c r="B476" s="2269"/>
      <c r="C476" s="2192"/>
      <c r="D476" s="2193"/>
      <c r="E476" s="2193"/>
      <c r="F476" s="2193"/>
      <c r="G476" s="2193"/>
      <c r="H476" s="2193"/>
      <c r="I476" s="641"/>
      <c r="J476" s="2328"/>
      <c r="K476" s="2328"/>
      <c r="L476" s="2329"/>
      <c r="M476" s="2088" t="s">
        <v>717</v>
      </c>
      <c r="N476" s="2088" t="str">
        <f>N467</f>
        <v>Regielohnpreis gesamt</v>
      </c>
    </row>
    <row r="477" spans="1:20" ht="17.850000000000001" customHeight="1" x14ac:dyDescent="0.25">
      <c r="A477" s="2270" t="s">
        <v>718</v>
      </c>
      <c r="B477" s="2271"/>
      <c r="C477" s="2194"/>
      <c r="D477" s="2195"/>
      <c r="E477" s="2195"/>
      <c r="F477" s="2195"/>
      <c r="G477" s="2195"/>
      <c r="H477" s="2195"/>
      <c r="I477" s="641"/>
      <c r="L477" s="216"/>
      <c r="M477" s="2088" t="s">
        <v>718</v>
      </c>
      <c r="N477" s="2088" t="str">
        <f>N467&amp;N470</f>
        <v>Regielohnpreis gesamt für [Facharbeiter (&gt; 2Verwendungsjahr)]</v>
      </c>
    </row>
    <row r="478" spans="1:20" ht="17.850000000000001" customHeight="1" x14ac:dyDescent="0.25">
      <c r="A478" s="2134" t="s">
        <v>725</v>
      </c>
      <c r="B478" s="2136"/>
      <c r="C478" s="2307"/>
      <c r="D478" s="2308"/>
      <c r="E478" s="2308"/>
      <c r="F478" s="2308"/>
      <c r="G478" s="2308"/>
      <c r="H478" s="2308"/>
      <c r="I478" s="366" t="str">
        <f>IF(B478&lt;&gt;"","X","")</f>
        <v/>
      </c>
      <c r="L478" s="216"/>
      <c r="M478" s="2088" t="s">
        <v>719</v>
      </c>
      <c r="N478" s="2088" t="str">
        <f>N467&amp;P470</f>
        <v>Regielohnpreis gesamt</v>
      </c>
    </row>
    <row r="479" spans="1:20" ht="17.850000000000001" customHeight="1" x14ac:dyDescent="0.25">
      <c r="A479" s="2116" t="s">
        <v>727</v>
      </c>
      <c r="B479" s="2267"/>
      <c r="C479" s="2309"/>
      <c r="D479" s="2276"/>
      <c r="E479" s="2276"/>
      <c r="F479" s="2276"/>
      <c r="G479" s="2276"/>
      <c r="H479" s="2276"/>
      <c r="I479" s="641"/>
      <c r="L479" s="216"/>
      <c r="M479" s="2088" t="s">
        <v>720</v>
      </c>
      <c r="N479" s="2088" t="str">
        <f ca="1">N476&amp;N471&amp;N472</f>
        <v>Regielohnpreis gesamt</v>
      </c>
    </row>
    <row r="480" spans="1:20" ht="17.850000000000001" customHeight="1" x14ac:dyDescent="0.25">
      <c r="A480" s="2117"/>
      <c r="B480" s="2310"/>
      <c r="C480" s="2122"/>
      <c r="D480" s="2123"/>
      <c r="E480" s="2123"/>
      <c r="F480" s="2123"/>
      <c r="G480" s="2123"/>
      <c r="H480" s="2123"/>
      <c r="I480" s="641"/>
      <c r="L480" s="216"/>
      <c r="M480" s="2088" t="s">
        <v>721</v>
      </c>
      <c r="N480" s="2088" t="str">
        <f ca="1">N477&amp;N471&amp;N472</f>
        <v>Regielohnpreis gesamt für [Facharbeiter (&gt; 2Verwendungsjahr)]</v>
      </c>
    </row>
    <row r="481" spans="1:15" ht="20.100000000000001" customHeight="1" x14ac:dyDescent="0.25">
      <c r="A481" s="2813"/>
      <c r="B481" s="2814"/>
      <c r="C481" s="2814"/>
      <c r="D481" s="2814"/>
      <c r="E481" s="2814"/>
      <c r="F481" s="2814"/>
      <c r="G481" s="2814"/>
      <c r="H481" s="2814"/>
      <c r="I481" s="2814"/>
      <c r="L481" s="216"/>
      <c r="M481" s="2088" t="s">
        <v>722</v>
      </c>
      <c r="N481" s="2088" t="str">
        <f ca="1">N478&amp;N471&amp;N472</f>
        <v>Regielohnpreis gesamt</v>
      </c>
    </row>
    <row r="482" spans="1:15" ht="17.850000000000001" customHeight="1" x14ac:dyDescent="0.25">
      <c r="A482" s="2116" t="s">
        <v>672</v>
      </c>
      <c r="B482" s="2118"/>
      <c r="C482" s="2119"/>
      <c r="D482" s="2119"/>
      <c r="E482" s="2119"/>
      <c r="F482" s="2119"/>
      <c r="G482" s="2119"/>
      <c r="H482" s="2119"/>
      <c r="I482" s="2119"/>
      <c r="L482" s="216"/>
      <c r="M482" s="2088" t="s">
        <v>858</v>
      </c>
      <c r="N482" s="2088" t="str">
        <f>IF(C479="","",C479)</f>
        <v/>
      </c>
    </row>
    <row r="483" spans="1:15" ht="17.850000000000001" customHeight="1" x14ac:dyDescent="0.25">
      <c r="A483" s="2117"/>
      <c r="B483" s="2120"/>
      <c r="C483" s="2121"/>
      <c r="D483" s="2121"/>
      <c r="E483" s="2121"/>
      <c r="F483" s="2121"/>
      <c r="G483" s="2121"/>
      <c r="H483" s="2121"/>
      <c r="I483" s="2121"/>
      <c r="J483" s="47"/>
      <c r="K483" s="47"/>
      <c r="L483" s="594"/>
    </row>
    <row r="484" spans="1:15" ht="17.850000000000001" customHeight="1" x14ac:dyDescent="0.25">
      <c r="A484" s="2240"/>
      <c r="B484" s="2240"/>
      <c r="C484" s="2240"/>
      <c r="D484" s="2240"/>
      <c r="E484" s="2240"/>
      <c r="F484" s="2240"/>
      <c r="G484" s="2240"/>
      <c r="H484" s="2240"/>
      <c r="I484" s="2240"/>
      <c r="L484" s="216"/>
    </row>
    <row r="485" spans="1:15" ht="25.15" customHeight="1" x14ac:dyDescent="0.25">
      <c r="A485" s="2855" t="str">
        <f ca="1">$A$413&amp;" 2"&amp;IF(A489=""," [keine Beschäftigungsgruppe ausgewählt]",IF(D489=KALKULATION!$M$283," - [nicht vorhandene Beschäftigungsgruppe]"," - kalkuliert für ["&amp;LEFT(A489,40)&amp;"]"))</f>
        <v>Regielohnpreis 2 - kalkuliert für [Qualifizierter Helfer]</v>
      </c>
      <c r="B485" s="2856"/>
      <c r="C485" s="2856"/>
      <c r="D485" s="2856"/>
      <c r="E485" s="2856"/>
      <c r="F485" s="2856"/>
      <c r="G485" s="2856"/>
      <c r="H485" s="2856"/>
      <c r="I485" s="1218"/>
      <c r="J485" s="59"/>
      <c r="K485" s="59"/>
      <c r="L485" s="593"/>
    </row>
    <row r="486" spans="1:15" ht="17.850000000000001" customHeight="1" x14ac:dyDescent="0.25">
      <c r="A486" s="2116" t="s">
        <v>533</v>
      </c>
      <c r="B486" s="2403"/>
      <c r="C486" s="2404"/>
      <c r="D486" s="2384" t="s">
        <v>936</v>
      </c>
      <c r="E486" s="2385"/>
      <c r="F486" s="2385"/>
      <c r="G486" s="2385"/>
      <c r="H486" s="2385"/>
      <c r="I486" s="637"/>
      <c r="L486" s="216"/>
    </row>
    <row r="487" spans="1:15" ht="17.850000000000001" customHeight="1" x14ac:dyDescent="0.25">
      <c r="A487" s="2405"/>
      <c r="B487" s="2406"/>
      <c r="C487" s="2407"/>
      <c r="D487" s="2386"/>
      <c r="E487" s="2387"/>
      <c r="F487" s="2387"/>
      <c r="G487" s="2387"/>
      <c r="H487" s="2387"/>
      <c r="I487" s="637"/>
      <c r="L487" s="216"/>
    </row>
    <row r="488" spans="1:15" ht="17.850000000000001" customHeight="1" thickBot="1" x14ac:dyDescent="0.3">
      <c r="A488" s="2266" t="s">
        <v>380</v>
      </c>
      <c r="B488" s="2266"/>
      <c r="C488" s="2266"/>
      <c r="D488" s="2266"/>
      <c r="E488" s="715" t="s">
        <v>18</v>
      </c>
      <c r="F488" s="715" t="s">
        <v>68</v>
      </c>
      <c r="G488" s="1011" t="s">
        <v>72</v>
      </c>
      <c r="H488" s="1120" t="s">
        <v>73</v>
      </c>
      <c r="I488" s="637"/>
      <c r="L488" s="216"/>
    </row>
    <row r="489" spans="1:15" ht="17.850000000000001" customHeight="1" thickTop="1" thickBot="1" x14ac:dyDescent="0.3">
      <c r="A489" s="2214" t="s">
        <v>1136</v>
      </c>
      <c r="B489" s="2215"/>
      <c r="C489" s="2216"/>
      <c r="D489" s="51">
        <f ca="1">IFERROR(VLOOKUP(A489,Stammdaten!A$7:D$33,4,FALSE),$M$283)</f>
        <v>15.96</v>
      </c>
      <c r="E489" s="520">
        <v>1</v>
      </c>
      <c r="F489" s="521">
        <v>1</v>
      </c>
      <c r="G489" s="349">
        <f ca="1">IFERROR(VLOOKUP(A489,Stammdaten!A$7:F$33,4,FALSE)*F489,"")</f>
        <v>15.96</v>
      </c>
      <c r="H489" s="522">
        <f ca="1">IFERROR(VLOOKUP(A489,Stammdaten!A$7:F$33,6,FALSE)*F489,"")</f>
        <v>2.39</v>
      </c>
      <c r="I489" s="637"/>
      <c r="J489" s="2178" t="str">
        <f ca="1">IF(D489=KALKULATION!$M$283,"Auswahl erneut vornehmen (ungültiger Verweis)!","")</f>
        <v/>
      </c>
      <c r="K489" s="2178"/>
      <c r="L489" s="2179"/>
      <c r="O489" s="2089"/>
    </row>
    <row r="490" spans="1:15" ht="17.850000000000001" customHeight="1" x14ac:dyDescent="0.25">
      <c r="A490" s="2323" t="s">
        <v>92</v>
      </c>
      <c r="B490" s="2324"/>
      <c r="C490" s="2324"/>
      <c r="D490" s="2325"/>
      <c r="E490" s="49">
        <f>E489</f>
        <v>1</v>
      </c>
      <c r="F490" s="50">
        <v>1</v>
      </c>
      <c r="G490" s="51">
        <f ca="1">IF(AND(_OK?="OK!",_OK_KV?="OK_KV!"),SUM(G489),ROUNDUP(G489,0))</f>
        <v>16</v>
      </c>
      <c r="H490" s="84">
        <f ca="1">SUM(H489:H489)</f>
        <v>2.39</v>
      </c>
      <c r="I490" s="372" t="str">
        <f ca="1">IF(OR(_OK?&lt;&gt;"OK!",_OK_KV?&lt;&gt;"OK_KV!"),"X","")</f>
        <v>X</v>
      </c>
      <c r="J490" s="1112"/>
      <c r="K490" s="1112"/>
      <c r="L490" s="270"/>
    </row>
    <row r="491" spans="1:15" ht="17.850000000000001" customHeight="1" x14ac:dyDescent="0.25">
      <c r="A491" s="2142" t="s">
        <v>894</v>
      </c>
      <c r="B491" s="2143"/>
      <c r="C491" s="2143"/>
      <c r="D491" s="2143"/>
      <c r="E491" s="2143"/>
      <c r="F491" s="2143"/>
      <c r="G491" s="2143"/>
      <c r="H491" s="2143"/>
      <c r="I491" s="637"/>
      <c r="J491" s="1112"/>
      <c r="K491" s="1112"/>
      <c r="L491" s="216"/>
    </row>
    <row r="492" spans="1:15" ht="17.850000000000001" customHeight="1" thickBot="1" x14ac:dyDescent="0.3">
      <c r="A492" s="2395"/>
      <c r="B492" s="2396"/>
      <c r="C492" s="2397"/>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78" t="str">
        <f ca="1">IF(OR(COUNTA(A492,E492)=2,COUNTA(A492,E492)=0),IF(D492=KALKULATION!$M$283,"Auswahl erneut vornehmen (ungültiger Verweis)!",""),"Eingabe unvollständig (ergänzen oder löschen)!")</f>
        <v/>
      </c>
      <c r="K492" s="2178"/>
      <c r="L492" s="217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78" t="str">
        <f ca="1">IF(E493&gt;=E490,"Unzulässige Umlage (R2 größer/gleich R1)!!!",IF(AND(E493&lt;&gt;0,G490=0),"Beschäftigungsgruppe in R1 wählen!",""))</f>
        <v/>
      </c>
      <c r="K493" s="2178"/>
      <c r="L493" s="2179"/>
    </row>
    <row r="494" spans="1:15" ht="17.850000000000001" customHeight="1" x14ac:dyDescent="0.25">
      <c r="A494" s="2134" t="s">
        <v>700</v>
      </c>
      <c r="B494" s="2135"/>
      <c r="C494" s="2135"/>
      <c r="D494" s="2135"/>
      <c r="E494" s="2135"/>
      <c r="F494" s="2135"/>
      <c r="G494" s="2135"/>
      <c r="H494" s="572">
        <v>0</v>
      </c>
      <c r="I494" s="638"/>
      <c r="J494" s="2176" t="str">
        <f>IF(AND(ISBLANK(H494),E493&lt;&gt;0),"Kennzeichen eingeben! Es sind unprod. Zeiten kalkuliert.","")</f>
        <v/>
      </c>
      <c r="K494" s="2176"/>
      <c r="L494" s="2177"/>
    </row>
    <row r="495" spans="1:15" ht="17.850000000000001" customHeight="1" x14ac:dyDescent="0.25">
      <c r="A495" s="2287"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88"/>
      <c r="C495" s="2288"/>
      <c r="D495" s="2288"/>
      <c r="E495" s="2288"/>
      <c r="F495" s="2288"/>
      <c r="G495" s="367">
        <f>IF(H494=1,E490,E490-E493)</f>
        <v>1</v>
      </c>
      <c r="H495" s="367">
        <f>E493</f>
        <v>0</v>
      </c>
      <c r="I495" s="637"/>
      <c r="J495" s="2280" t="str">
        <f>IFERROR(IF(H495/G495&gt;Report!$F$7,"Hinweis: Unproduktiver Anteil erscheint hoch!",""),"Der unprod. Anteil löst eine Division mit 0 aus!")</f>
        <v/>
      </c>
      <c r="K495" s="2280"/>
      <c r="L495" s="2281"/>
    </row>
    <row r="496" spans="1:15" ht="17.850000000000001" customHeight="1" thickBot="1" x14ac:dyDescent="0.3">
      <c r="A496" s="2343"/>
      <c r="B496" s="2344"/>
      <c r="C496" s="2344"/>
      <c r="D496" s="2344"/>
      <c r="E496" s="2344"/>
      <c r="F496" s="2344"/>
      <c r="G496" s="2344"/>
      <c r="H496" s="2344"/>
      <c r="I496" s="637"/>
      <c r="L496" s="216"/>
    </row>
    <row r="497" spans="1:17" ht="17.850000000000001" customHeight="1" thickBot="1" x14ac:dyDescent="0.3">
      <c r="A497" s="2142" t="s">
        <v>382</v>
      </c>
      <c r="B497" s="2143"/>
      <c r="C497" s="2414"/>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16</v>
      </c>
      <c r="E498" s="707">
        <f ca="1">G495*H490</f>
        <v>2.39</v>
      </c>
      <c r="F498" s="708" t="s">
        <v>204</v>
      </c>
      <c r="G498" s="685">
        <f ca="1">D498</f>
        <v>16</v>
      </c>
      <c r="H498" s="686">
        <f ca="1">IF(D501=_Ja,"",D500)</f>
        <v>16</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2.39</v>
      </c>
      <c r="I499" s="637"/>
      <c r="L499" s="216"/>
    </row>
    <row r="500" spans="1:17" ht="17.850000000000001" customHeight="1" x14ac:dyDescent="0.25">
      <c r="A500" s="695"/>
      <c r="B500" s="696"/>
      <c r="C500" s="697" t="s">
        <v>56</v>
      </c>
      <c r="D500" s="698">
        <f ca="1">SUM(D498:D499)</f>
        <v>16</v>
      </c>
      <c r="E500" s="699">
        <f ca="1">SUM(E498:E499)</f>
        <v>2.39</v>
      </c>
      <c r="F500" s="710" t="s">
        <v>86</v>
      </c>
      <c r="G500" s="711">
        <f ca="1">G499/G498</f>
        <v>0</v>
      </c>
      <c r="H500" s="712">
        <f ca="1">IF(D501=_Ja,$H$73,H499/H498)</f>
        <v>0.14940000000000001</v>
      </c>
      <c r="I500" s="372" t="str">
        <f>IF(D501=_Ja,"X","")</f>
        <v/>
      </c>
      <c r="L500" s="216"/>
    </row>
    <row r="501" spans="1:17" ht="17.850000000000001" customHeight="1" thickBot="1" x14ac:dyDescent="0.3">
      <c r="A501" s="2134" t="str">
        <f ca="1">"Ø AKV gem Pkt B "&amp;TEXT($H$73,"0,00%")&amp;". Beibehalten?"</f>
        <v>Ø AKV gem Pkt B 14,50%. Beibehalten?</v>
      </c>
      <c r="B501" s="2135"/>
      <c r="C501" s="2136"/>
      <c r="D501" s="826" t="s">
        <v>193</v>
      </c>
      <c r="E501" s="2421" t="s">
        <v>383</v>
      </c>
      <c r="F501" s="2422"/>
      <c r="G501" s="378"/>
      <c r="H501" s="379"/>
      <c r="I501" s="372" t="str">
        <f>IF(OR(G501&lt;&gt;0,H501&lt;&gt;0),"X","")</f>
        <v/>
      </c>
      <c r="L501" s="216"/>
    </row>
    <row r="502" spans="1:17" ht="17.850000000000001" customHeight="1" x14ac:dyDescent="0.25">
      <c r="A502" s="2217"/>
      <c r="B502" s="2218"/>
      <c r="C502" s="2218"/>
      <c r="D502" s="2219"/>
      <c r="E502" s="2187" t="s">
        <v>556</v>
      </c>
      <c r="F502" s="2188"/>
      <c r="G502" s="86">
        <f ca="1">SUM(G500,G501)</f>
        <v>0</v>
      </c>
      <c r="H502" s="154">
        <f ca="1">SUM(H500,H501)</f>
        <v>0.14940000000000001</v>
      </c>
      <c r="I502" s="637"/>
      <c r="L502" s="216"/>
    </row>
    <row r="503" spans="1:17" ht="17.850000000000001" customHeight="1" x14ac:dyDescent="0.25">
      <c r="A503" s="2210"/>
      <c r="B503" s="2211"/>
      <c r="C503" s="2211"/>
      <c r="D503" s="2220"/>
      <c r="E503" s="2210"/>
      <c r="F503" s="2220"/>
      <c r="G503" s="368" t="s">
        <v>121</v>
      </c>
      <c r="H503" s="369" t="s">
        <v>122</v>
      </c>
      <c r="I503" s="637"/>
      <c r="L503" s="216"/>
    </row>
    <row r="504" spans="1:17" ht="17.850000000000001" customHeight="1" x14ac:dyDescent="0.25">
      <c r="A504" s="1190" t="s">
        <v>384</v>
      </c>
      <c r="B504" s="843"/>
      <c r="C504" s="843"/>
      <c r="D504" s="2423" t="str">
        <f>IF(A489=0,"Beschäftigungsgruppe wählen!",A489)</f>
        <v>Qualifizierter Helfer</v>
      </c>
      <c r="E504" s="2423"/>
      <c r="F504" s="2423"/>
      <c r="G504" s="2423"/>
      <c r="H504" s="842">
        <f ca="1">' K3 Regie2'!N$45</f>
        <v>64.010000000000005</v>
      </c>
      <c r="I504" s="637"/>
      <c r="L504" s="216"/>
    </row>
    <row r="505" spans="1:17" ht="20.100000000000001" customHeight="1" x14ac:dyDescent="0.25">
      <c r="A505" s="2289" t="s">
        <v>632</v>
      </c>
      <c r="B505" s="2290"/>
      <c r="C505" s="2290"/>
      <c r="D505" s="2290"/>
      <c r="E505" s="2290"/>
      <c r="F505" s="2290"/>
      <c r="G505" s="2290"/>
      <c r="H505" s="2290"/>
      <c r="I505" s="637"/>
      <c r="J505" s="2227" t="str">
        <f>IF(OR(I506="X",I511="X"),M$301,"")</f>
        <v/>
      </c>
      <c r="K505" s="2227"/>
      <c r="L505" s="2228"/>
    </row>
    <row r="506" spans="1:17" ht="20.100000000000001" customHeight="1" x14ac:dyDescent="0.25">
      <c r="A506" s="2134" t="s">
        <v>704</v>
      </c>
      <c r="B506" s="2135"/>
      <c r="C506" s="2136"/>
      <c r="D506" s="865" t="s">
        <v>702</v>
      </c>
      <c r="E506" s="2137" t="s">
        <v>902</v>
      </c>
      <c r="F506" s="2138"/>
      <c r="G506" s="2139"/>
      <c r="H506" s="1010">
        <f>IFERROR(VLOOKUP(E506,M506:N508,2,FALSE),"")</f>
        <v>0</v>
      </c>
      <c r="I506" s="372" t="str">
        <f>IF(E506&lt;&gt;M506,"X","")</f>
        <v/>
      </c>
      <c r="J506" s="2227"/>
      <c r="K506" s="2227"/>
      <c r="L506" s="222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0.01</v>
      </c>
    </row>
    <row r="508" spans="1:17" ht="30" customHeight="1" thickTop="1" x14ac:dyDescent="0.25">
      <c r="A508" s="2185"/>
      <c r="B508" s="2186"/>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227" t="str">
        <f>VLOOKUP(E511,M511:Q514,5,FALSE)</f>
        <v>Hinweis zu R4.b - 1.) Wenn der Regiepreis keine Arbeitszeitzuschläge enthalten soll (Regelung gem ÖN B 2110) ist diese Einstellung (1.) zutreffend.</v>
      </c>
      <c r="K508" s="2227"/>
      <c r="L508" s="222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16</v>
      </c>
      <c r="F509" s="870">
        <f ca="1">IFERROR(F508/E509,0)</f>
        <v>0</v>
      </c>
      <c r="G509" s="868" t="str">
        <f ca="1">IF(G508=0,"",$G$131)</f>
        <v/>
      </c>
      <c r="H509" s="1007">
        <f ca="1">IFERROR(H508*G509,0)</f>
        <v>0</v>
      </c>
      <c r="I509" s="637"/>
      <c r="J509" s="2227"/>
      <c r="K509" s="2227"/>
      <c r="L509" s="2228"/>
      <c r="N509" s="2018"/>
    </row>
    <row r="510" spans="1:17" ht="20.100000000000001" customHeight="1" x14ac:dyDescent="0.25">
      <c r="A510" s="392" t="s">
        <v>768</v>
      </c>
      <c r="B510" s="67"/>
      <c r="C510" s="346"/>
      <c r="D510" s="346"/>
      <c r="E510" s="346"/>
      <c r="F510" s="498"/>
      <c r="G510" s="346"/>
      <c r="H510" s="92">
        <f>IF(E506=M508,SUM(F509,H509),H506)</f>
        <v>0</v>
      </c>
      <c r="I510" s="637"/>
      <c r="J510" s="2227"/>
      <c r="K510" s="2227"/>
      <c r="L510" s="2228"/>
      <c r="M510" s="1961" t="str">
        <f>M$442</f>
        <v>DD Arbeitszeitzuschläge</v>
      </c>
      <c r="N510" s="1961"/>
      <c r="O510" s="1961"/>
      <c r="P510" s="1961" t="str">
        <f t="shared" ref="P510" si="46">P$442</f>
        <v>Text in K3</v>
      </c>
      <c r="Q510" s="1961" t="str">
        <f>Q$442</f>
        <v>Text in Kalk</v>
      </c>
    </row>
    <row r="511" spans="1:17" ht="20.100000000000001" customHeight="1" x14ac:dyDescent="0.25">
      <c r="A511" s="2142" t="s">
        <v>767</v>
      </c>
      <c r="B511" s="2143"/>
      <c r="C511" s="2143"/>
      <c r="D511" s="923" t="s">
        <v>769</v>
      </c>
      <c r="E511" s="2137" t="s">
        <v>882</v>
      </c>
      <c r="F511" s="2138"/>
      <c r="G511" s="2139"/>
      <c r="H511" s="1010">
        <f>IFERROR(VLOOKUP(E511,M511:N513,2,FALSE),"")</f>
        <v>0</v>
      </c>
      <c r="I511" s="372" t="str">
        <f>IF(E511&lt;&gt;M511,"X","")</f>
        <v/>
      </c>
      <c r="J511" s="2227"/>
      <c r="K511" s="2227"/>
      <c r="L511" s="222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321" t="s">
        <v>563</v>
      </c>
      <c r="B512" s="2322"/>
      <c r="C512" s="2322"/>
      <c r="D512" s="2322"/>
      <c r="E512" s="553" t="s">
        <v>378</v>
      </c>
      <c r="F512" s="524" t="s">
        <v>192</v>
      </c>
      <c r="G512" s="926">
        <v>1</v>
      </c>
      <c r="H512" s="607"/>
      <c r="I512" s="372" t="str">
        <f>IF(AND(E511=M514,F512=_Ja),"X","")</f>
        <v/>
      </c>
      <c r="J512" s="2176" t="str">
        <f>IF(OR(F512=$Q$31,F512=$Q$32),"","Bitte Ja oder Nein wählen!")</f>
        <v/>
      </c>
      <c r="K512" s="2176"/>
      <c r="L512" s="2177"/>
      <c r="M512" s="2014" t="str">
        <f>M$444</f>
        <v>2. Regie mit Ø-Zuschlag wie K3 Zeile 8</v>
      </c>
      <c r="N512" s="1999">
        <f t="shared" ref="N512:Q512" ca="1" si="48">N$444</f>
        <v>2.9000000000000001E-2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22"/>
      <c r="C513" s="2123"/>
      <c r="D513" s="2124"/>
      <c r="E513" s="542" t="str">
        <f>IF(OR(ISBLANK(B513),F512=_Nein),"",IFERROR(VLOOKUP(B513,Stammdaten!A$39:C$48,3,FALSE),KALKULATION!$M$283))</f>
        <v/>
      </c>
      <c r="F513" s="1101"/>
      <c r="G513" s="544"/>
      <c r="H513" s="608"/>
      <c r="I513" s="372"/>
      <c r="J513" s="2178" t="str">
        <f>IF(F512&lt;&gt;$Q$31,"",IF(AND(E513=KALKULATION!$M$283,F512=$Q$31),"Auswahl erneut vornehmen (ungültiger Verweis)!",IF(OR(AND(F512=$Q$31,B513=""),AND(F512=$Q$32,B513&lt;&gt;"")),"Eingabe unvollständig (ergänzen,  löschen od Nein wählen)!","")))</f>
        <v>Eingabe unvollständig (ergänzen,  löschen od Nein wählen)!</v>
      </c>
      <c r="K513" s="2178"/>
      <c r="L513" s="2179"/>
      <c r="M513" s="2014" t="str">
        <f>M$445</f>
        <v>3. Regie mit Std-Zuschlag wie K3</v>
      </c>
      <c r="N513" s="1999">
        <f t="shared" ref="N513:Q513" ca="1" si="49">N$445</f>
        <v>0.57750000000000001</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297" t="s">
        <v>135</v>
      </c>
      <c r="B514" s="2298"/>
      <c r="C514" s="2298"/>
      <c r="D514" s="2298"/>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33" t="s">
        <v>560</v>
      </c>
      <c r="B515" s="2234"/>
      <c r="C515" s="2234"/>
      <c r="D515" s="2234"/>
      <c r="E515" s="2235"/>
      <c r="F515" s="351">
        <v>4</v>
      </c>
      <c r="G515" s="546">
        <f ca="1">IF(F515=1,1,IF(F515=2,((' K3 Regie2'!O$23+' K3 Regie2'!O$24)/' K3 Regie2'!O$23),IF(F515&gt;2,((' K3 Regie2'!O$23+' K3 Regie2'!O$24+' K3 Regie2'!O$25)/' K3 Regie2'!O$23),"")))</f>
        <v>1.149</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321" t="s">
        <v>565</v>
      </c>
      <c r="B516" s="2322"/>
      <c r="C516" s="2322"/>
      <c r="D516" s="2322"/>
      <c r="E516" s="553" t="s">
        <v>378</v>
      </c>
      <c r="F516" s="524" t="s">
        <v>192</v>
      </c>
      <c r="G516" s="543"/>
      <c r="H516" s="607"/>
      <c r="I516" s="372" t="str">
        <f>IF(AND(E511=M514,F516=_Ja),"X","")</f>
        <v/>
      </c>
      <c r="J516" s="2176"/>
      <c r="K516" s="2176"/>
      <c r="L516" s="2177"/>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22"/>
      <c r="C517" s="2123"/>
      <c r="D517" s="2124"/>
      <c r="E517" s="549" t="str">
        <f>IF(OR(ISBLANK(B517),F516=_Nein),"",IFERROR(VLOOKUP(B517,Stammdaten!A$50:C$54,3,FALSE),KALKULATION!$M$283))</f>
        <v/>
      </c>
      <c r="F517" s="1101"/>
      <c r="G517" s="544"/>
      <c r="H517" s="608"/>
      <c r="I517" s="372"/>
      <c r="J517" s="2178" t="str">
        <f>IF(F516&lt;&gt;$Q$31,"",IF(AND(E517=KALKULATION!$M$283,F516=$Q$31),"Auswahl erneut vornehmen (ungültiger Verweis)!",IF(OR(AND(F516=$Q$31,B517=""),AND(F516=$Q$32,B517&lt;&gt;"")),"Eingabe unvollständig (ergänzen,  löschen od Nein wählen)!","")))</f>
        <v>Eingabe unvollständig (ergänzen,  löschen od Nein wählen)!</v>
      </c>
      <c r="K517" s="2178"/>
      <c r="L517" s="2179"/>
      <c r="M517" s="1342" t="s">
        <v>863</v>
      </c>
      <c r="N517" s="2071" t="str">
        <f>IF(AND(E511=M514,F516=_Ja),B517,"")</f>
        <v/>
      </c>
      <c r="O517" s="2072"/>
      <c r="P517" s="1999" t="str">
        <f>IF(N517="","",E517)</f>
        <v/>
      </c>
      <c r="Q517" s="1951"/>
      <c r="R517" s="2073"/>
    </row>
    <row r="518" spans="1:18" ht="17.850000000000001" customHeight="1" x14ac:dyDescent="0.25">
      <c r="A518" s="2241" t="s">
        <v>198</v>
      </c>
      <c r="B518" s="2242"/>
      <c r="C518" s="2242"/>
      <c r="D518" s="2242"/>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33" t="str">
        <f>A515</f>
        <v xml:space="preserve">  Basis für die Aufzahlung in % (siehe Pkt C0; KZ = 1, 2, 3 od. 4):  ↓</v>
      </c>
      <c r="B519" s="2234"/>
      <c r="C519" s="2234"/>
      <c r="D519" s="2234"/>
      <c r="E519" s="2235"/>
      <c r="F519" s="351">
        <v>4</v>
      </c>
      <c r="G519" s="546">
        <f ca="1">IF(F519=1,1,IF(F519=2,((' K3 Regie2'!O$23+' K3 Regie2'!O$24)/' K3 Regie2'!O$23),IF(F519&gt;2,((' K3 Regie2'!O$23+' K3 Regie2'!O$24+' K3 Regie2'!O$25)/' K3 Regie2'!O$23),"")))</f>
        <v>1.149</v>
      </c>
      <c r="H519" s="608" t="str">
        <f ca="1">IFERROR(IF(F516=$Q$31,(E517*E518*G519),""),"??")</f>
        <v>??</v>
      </c>
      <c r="I519" s="372"/>
      <c r="J519" s="2176" t="str">
        <f>IF(F516&lt;&gt;$Q$31,"",IF(AND(ISBLANK(F519),F516=$Q$31),"Kennzeichen setzen!",""))</f>
        <v/>
      </c>
      <c r="K519" s="2176"/>
      <c r="L519" s="360"/>
      <c r="M519" s="1342" t="s">
        <v>868</v>
      </c>
      <c r="N519" s="1342">
        <f>IF(AND(N517&lt;&gt;"",N518&lt;&gt;""),2,IF(N517&amp;N518="",0,1))</f>
        <v>0</v>
      </c>
      <c r="R519" s="1965"/>
    </row>
    <row r="520" spans="1:18" ht="17.850000000000001" customHeight="1" x14ac:dyDescent="0.25">
      <c r="A520" s="2321" t="s">
        <v>566</v>
      </c>
      <c r="B520" s="2322"/>
      <c r="C520" s="2322"/>
      <c r="D520" s="2322"/>
      <c r="E520" s="553" t="s">
        <v>378</v>
      </c>
      <c r="F520" s="524" t="s">
        <v>192</v>
      </c>
      <c r="G520" s="547"/>
      <c r="H520" s="610"/>
      <c r="I520" s="372" t="str">
        <f>IF(AND(E511=M514,F520=_Ja),"X","")</f>
        <v/>
      </c>
      <c r="J520" s="2176"/>
      <c r="K520" s="2176"/>
      <c r="L520" s="2177"/>
      <c r="M520" s="1967"/>
      <c r="N520" s="2075" t="str">
        <f>IF(N519=2," "&amp;N517&amp;" "&amp;", "&amp;N518,IF(N519=1," "&amp;N517&amp;N518,""))</f>
        <v/>
      </c>
      <c r="O520" s="2075"/>
      <c r="P520" s="1967"/>
      <c r="Q520" s="1967"/>
      <c r="R520" s="1974"/>
    </row>
    <row r="521" spans="1:18" ht="17.850000000000001" customHeight="1" x14ac:dyDescent="0.25">
      <c r="A521" s="552" t="s">
        <v>379</v>
      </c>
      <c r="B521" s="2123"/>
      <c r="C521" s="2123"/>
      <c r="D521" s="2123"/>
      <c r="E521" s="550" t="str">
        <f>IF(OR(ISBLANK(B521),F520=_Nein),"",IFERROR(VLOOKUP(B521,Stammdaten!A$57:C$61,2,FALSE),KALKULATION!$M$283))</f>
        <v/>
      </c>
      <c r="F521" s="551" t="s">
        <v>197</v>
      </c>
      <c r="G521" s="548">
        <f ca="1">' K3 Regie2'!$O$21</f>
        <v>16</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1" t="s">
        <v>391</v>
      </c>
      <c r="B522" s="2222"/>
      <c r="C522" s="2222"/>
      <c r="D522" s="222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199" t="str">
        <f>A$455</f>
        <v>Standardmäßig sind die Werte aus der Mittelpersonal-preiskalkulation (Blatt K3_PP) übernommen; sie sind überschreibbar.</v>
      </c>
      <c r="B523" s="2200"/>
      <c r="C523" s="2200"/>
      <c r="D523" s="2201"/>
      <c r="E523" s="2196" t="str">
        <f>E$455</f>
        <v xml:space="preserve">Standard-werte sind
</v>
      </c>
      <c r="F523" s="2196"/>
      <c r="G523" s="2196" t="str">
        <f>G$455</f>
        <v>Optional überschrei-ben mit:</v>
      </c>
      <c r="H523" s="2125" t="str">
        <f>H$455</f>
        <v>Übertrag in K3 Regie</v>
      </c>
      <c r="I523" s="639"/>
      <c r="L523" s="216"/>
    </row>
    <row r="524" spans="1:18" ht="17.850000000000001" customHeight="1" x14ac:dyDescent="0.25">
      <c r="A524" s="2202"/>
      <c r="B524" s="2203"/>
      <c r="C524" s="2203"/>
      <c r="D524" s="2204"/>
      <c r="E524" s="2197"/>
      <c r="F524" s="2197"/>
      <c r="G524" s="2197"/>
      <c r="H524" s="2126"/>
      <c r="I524" s="639"/>
      <c r="L524" s="216"/>
    </row>
    <row r="525" spans="1:18" ht="17.850000000000001" customHeight="1" thickBot="1" x14ac:dyDescent="0.3">
      <c r="A525" s="2205"/>
      <c r="B525" s="2206"/>
      <c r="C525" s="2206"/>
      <c r="D525" s="2207"/>
      <c r="E525" s="2198"/>
      <c r="F525" s="2198"/>
      <c r="G525" s="2198"/>
      <c r="H525" s="2127"/>
      <c r="I525" s="639"/>
      <c r="L525" s="216"/>
    </row>
    <row r="526" spans="1:18" ht="17.850000000000001" customHeight="1" thickTop="1" x14ac:dyDescent="0.25">
      <c r="A526" s="2221" t="s">
        <v>386</v>
      </c>
      <c r="B526" s="2222"/>
      <c r="C526" s="2222"/>
      <c r="D526" s="2306"/>
      <c r="E526" s="51">
        <f ca="1">$H$228</f>
        <v>2.8</v>
      </c>
      <c r="F526" s="1887">
        <f>H495/G495</f>
        <v>0</v>
      </c>
      <c r="G526" s="364"/>
      <c r="H526" s="361">
        <f ca="1">IF(ISBLANK(G526),E526*(1+F526),G526)</f>
        <v>2.8</v>
      </c>
      <c r="I526" s="372" t="str">
        <f>IF(ISBLANK(G526),"","X")</f>
        <v/>
      </c>
      <c r="L526" s="216"/>
    </row>
    <row r="527" spans="1:18" ht="17.850000000000001" customHeight="1" x14ac:dyDescent="0.25">
      <c r="A527" s="2134" t="s">
        <v>387</v>
      </c>
      <c r="B527" s="2135"/>
      <c r="C527" s="2135"/>
      <c r="D527" s="2136"/>
      <c r="E527" s="48">
        <f ca="1">IF(E506=M507,$G$227,$G$229)</f>
        <v>1.1000000000000001</v>
      </c>
      <c r="F527" s="1888">
        <f>H495/G495</f>
        <v>0</v>
      </c>
      <c r="G527" s="341"/>
      <c r="H527" s="362">
        <f ca="1">IF(ISBLANK(G527),E527*(1+F527),G527)</f>
        <v>1.1000000000000001</v>
      </c>
      <c r="I527" s="372" t="str">
        <f>IF(ISBLANK(G527),"","X")</f>
        <v/>
      </c>
      <c r="L527" s="216"/>
    </row>
    <row r="528" spans="1:18" ht="17.850000000000001" customHeight="1" x14ac:dyDescent="0.25">
      <c r="A528" s="2134" t="s">
        <v>388</v>
      </c>
      <c r="B528" s="2135"/>
      <c r="C528" s="2135"/>
      <c r="D528" s="2136"/>
      <c r="E528" s="157">
        <f ca="1">$H$236</f>
        <v>0.28000000000000003</v>
      </c>
      <c r="F528" s="156"/>
      <c r="G528" s="337"/>
      <c r="H528" s="363">
        <f ca="1">IF(ISBLANK(G528),E528,G528)</f>
        <v>0.28000000000000003</v>
      </c>
      <c r="I528" s="372" t="str">
        <f ca="1">IF(OR(G528&lt;&gt;0,E528&lt;&gt;H528),"X","")</f>
        <v/>
      </c>
      <c r="J528" s="2293" t="str">
        <f>IF(G528="","","Hinweis: DPNK lassen sich genau bestimmen/nachrechnen!")</f>
        <v/>
      </c>
      <c r="K528" s="2293"/>
      <c r="L528" s="2294"/>
    </row>
    <row r="529" spans="1:20" ht="17.850000000000001" customHeight="1" x14ac:dyDescent="0.25">
      <c r="A529" s="2134" t="s">
        <v>389</v>
      </c>
      <c r="B529" s="2135"/>
      <c r="C529" s="2135"/>
      <c r="D529" s="2136"/>
      <c r="E529" s="157">
        <f ca="1">$H$265</f>
        <v>0.72</v>
      </c>
      <c r="F529" s="156"/>
      <c r="G529" s="337"/>
      <c r="H529" s="363">
        <f ca="1">IF(ISBLANK(G529),E529,G529)</f>
        <v>0.72</v>
      </c>
      <c r="I529" s="372" t="str">
        <f ca="1">IF(OR(G529&lt;&gt;0,E529&lt;&gt;H529),"X","")</f>
        <v/>
      </c>
      <c r="L529" s="216"/>
    </row>
    <row r="530" spans="1:20" ht="17.850000000000001" customHeight="1" x14ac:dyDescent="0.25">
      <c r="A530" s="2134" t="s">
        <v>390</v>
      </c>
      <c r="B530" s="2135"/>
      <c r="C530" s="2135"/>
      <c r="D530" s="2136"/>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4" t="s">
        <v>773</v>
      </c>
      <c r="B531" s="2136"/>
      <c r="C531" s="199">
        <f>$E$306</f>
        <v>0.06</v>
      </c>
      <c r="D531" s="48">
        <f ca="1">$F$307</f>
        <v>3.46</v>
      </c>
      <c r="E531" s="338"/>
      <c r="F531" s="364"/>
      <c r="G531" s="363">
        <f>IF(ISBLANK(E531),C531,E531)</f>
        <v>0.06</v>
      </c>
      <c r="H531" s="361">
        <f ca="1">IF(ISBLANK(F531),D531,F531)</f>
        <v>3.46</v>
      </c>
      <c r="I531" s="372" t="str">
        <f>IF(OR(F531&lt;&gt;0,E531&lt;&gt;0),"X","")</f>
        <v/>
      </c>
      <c r="L531" s="216"/>
    </row>
    <row r="532" spans="1:20" ht="17.850000000000001" customHeight="1" x14ac:dyDescent="0.25">
      <c r="A532" s="2142" t="str">
        <f ca="1">"R5)"&amp;IF($G$327=0," Keine Umlagen unter Pkt H1 bzw H2 angelgt!"," Umlagen (K3 Spalte A)")</f>
        <v>R5) Keine Umlagen unter Pkt H1 bzw H2 angelgt!</v>
      </c>
      <c r="B532" s="2143"/>
      <c r="C532" s="2143"/>
      <c r="D532" s="2143"/>
      <c r="E532" s="2143"/>
      <c r="F532" s="2143"/>
      <c r="G532" s="2143"/>
      <c r="H532" s="2143"/>
      <c r="I532" s="639"/>
      <c r="L532" s="216"/>
    </row>
    <row r="533" spans="1:20" ht="17.850000000000001" customHeight="1" thickBot="1" x14ac:dyDescent="0.3">
      <c r="A533" s="2314" t="s">
        <v>562</v>
      </c>
      <c r="B533" s="2315"/>
      <c r="C533" s="2315"/>
      <c r="D533" s="2315"/>
      <c r="E533" s="523" t="str">
        <f ca="1">IF(SUM(F534:G536)&lt;&gt;$H$327,"!","")</f>
        <v/>
      </c>
      <c r="F533" s="715" t="s">
        <v>69</v>
      </c>
      <c r="G533" s="747" t="s">
        <v>673</v>
      </c>
      <c r="H533" s="1008">
        <f ca="1">' K3 Regie2'!O33</f>
        <v>43.55</v>
      </c>
      <c r="I533" s="639"/>
      <c r="J533" s="2319" t="str">
        <f ca="1">IF(E533="!","Hinweis: Es sind nicht alle oder andere Umlagen wie oben (Pkt H) für K3 ausgewählt! Berechnung erfolgt mit den hier ausgewählten Umlagen.","")</f>
        <v/>
      </c>
      <c r="K533" s="2319"/>
      <c r="L533" s="2320"/>
    </row>
    <row r="534" spans="1:20" ht="17.850000000000001" customHeight="1" thickTop="1" x14ac:dyDescent="0.25">
      <c r="A534" s="2370"/>
      <c r="B534" s="2370"/>
      <c r="C534" s="2370"/>
      <c r="D534" s="2370"/>
      <c r="E534" s="2370"/>
      <c r="F534" s="85" t="str">
        <f>IF(A534="","",IFERROR(VLOOKUP(A534,A$329:E$333,2,FALSE),KALKULATION!$M$283))</f>
        <v/>
      </c>
      <c r="G534" s="158" t="str">
        <f>IF(A534="","",IFERROR(VLOOKUP(A534,A$329:E$333,3,FALSE),""))</f>
        <v/>
      </c>
      <c r="H534" s="85" t="str">
        <f>IF(OR(G534="",G534=0),"",G534*H$533)</f>
        <v/>
      </c>
      <c r="I534" s="639"/>
      <c r="J534" s="2319"/>
      <c r="K534" s="2319"/>
      <c r="L534" s="2320"/>
    </row>
    <row r="535" spans="1:20" ht="17.850000000000001" customHeight="1" x14ac:dyDescent="0.25">
      <c r="A535" s="2265"/>
      <c r="B535" s="2265"/>
      <c r="C535" s="2265"/>
      <c r="D535" s="2265"/>
      <c r="E535" s="2265"/>
      <c r="F535" s="85" t="str">
        <f>IF(A535="","",IFERROR(VLOOKUP(A535,A$329:E$333,2,FALSE),KALKULATION!$M$283))</f>
        <v/>
      </c>
      <c r="G535" s="158" t="str">
        <f t="shared" ref="G535:G536" si="51">IF(A535="","",IFERROR(VLOOKUP(A535,A$329:E$333,3,FALSE),""))</f>
        <v/>
      </c>
      <c r="H535" s="85" t="str">
        <f t="shared" ref="H535:H536" si="52">IF(OR(G535="",G535=0),"",G535*H$533)</f>
        <v/>
      </c>
      <c r="I535" s="639"/>
      <c r="J535" s="2319"/>
      <c r="K535" s="2319"/>
      <c r="L535" s="2320"/>
      <c r="M535" s="2076" t="s">
        <v>643</v>
      </c>
      <c r="N535" s="2076" t="str">
        <f>$A$413&amp;" gesamt"</f>
        <v>Regielohnpreis gesamt</v>
      </c>
      <c r="O535" s="2076"/>
      <c r="P535" s="2077"/>
    </row>
    <row r="536" spans="1:20" ht="17.850000000000001" customHeight="1" x14ac:dyDescent="0.25">
      <c r="A536" s="2265"/>
      <c r="B536" s="2265"/>
      <c r="C536" s="2265"/>
      <c r="D536" s="2265"/>
      <c r="E536" s="2265"/>
      <c r="F536" s="84" t="str">
        <f>IF(A536="","",IFERROR(VLOOKUP(A536,A$329:E$333,2,FALSE),KALKULATION!$M$283))</f>
        <v/>
      </c>
      <c r="G536" s="50" t="str">
        <f t="shared" si="51"/>
        <v/>
      </c>
      <c r="H536" s="84" t="str">
        <f t="shared" si="52"/>
        <v/>
      </c>
      <c r="I536" s="639"/>
      <c r="L536" s="216"/>
      <c r="M536" s="2076" t="s">
        <v>414</v>
      </c>
      <c r="N536" s="2076" t="str">
        <f>IF(A489="","",A489)</f>
        <v>Qualifizierter Helfer</v>
      </c>
      <c r="O536" s="2078"/>
      <c r="P536" s="2079"/>
    </row>
    <row r="537" spans="1:20" ht="17.850000000000001" customHeight="1" x14ac:dyDescent="0.25">
      <c r="A537" s="2180" t="str">
        <f>IF(SUM(F534:H536)=0,"R5.b) GZ auf UMLAGEN - keine Umlagen ausgewählt (oder in Pkt H1 angelegt)","R5.b) GZ auf UMLAGEN")</f>
        <v>R5.b) GZ auf UMLAGEN - keine Umlagen ausgewählt (oder in Pkt H1 angelegt)</v>
      </c>
      <c r="B537" s="2181"/>
      <c r="C537" s="2181"/>
      <c r="D537" s="2181"/>
      <c r="E537" s="2181"/>
      <c r="F537" s="2182"/>
      <c r="G537" s="2182"/>
      <c r="H537" s="2181"/>
      <c r="I537" s="639"/>
      <c r="L537" s="216"/>
      <c r="M537" s="2080" t="s">
        <v>723</v>
      </c>
      <c r="N537" s="2080" t="str">
        <f>IF(C546="","",C546)</f>
        <v/>
      </c>
      <c r="O537" s="2076"/>
      <c r="P537" s="2077"/>
    </row>
    <row r="538" spans="1:20" ht="17.850000000000001" customHeight="1" x14ac:dyDescent="0.25">
      <c r="A538" s="392" t="s">
        <v>561</v>
      </c>
      <c r="B538" s="373"/>
      <c r="C538" s="373"/>
      <c r="D538" s="2137"/>
      <c r="E538" s="2138"/>
      <c r="F538" s="2139"/>
      <c r="G538" s="199" t="str">
        <f>IF(D538="","",IFERROR(VLOOKUP(D538,'K2 GZ'!I$25:M$32,5,FALSE),KALKULATION!$M$283))</f>
        <v/>
      </c>
      <c r="H538" s="1009" t="str">
        <f ca="1">IF($G$327=0,"",IF(G538=KALKULATION!$M$283,"",IF(SUM(F534:H536)=0,"",IF(D538="",$G$346,G538))))</f>
        <v/>
      </c>
      <c r="I538" s="372" t="str">
        <f>IF(AND(D538&lt;&gt;"",SUM(F534:H536)&lt;&gt;0),"X","")</f>
        <v/>
      </c>
      <c r="J538" s="2178" t="str">
        <f ca="1">IF(G538=KALKULATION!$M$283,"Auswahl erneut vornehmen (ungült. Verweis)/Text löschen!",IF(AND(H538="",SUM(F534:G536)&lt;&gt;0),"GZ fehlt oder gleich 0!)",""))</f>
        <v/>
      </c>
      <c r="K538" s="2178"/>
      <c r="L538" s="2179"/>
      <c r="M538" s="2080" t="s">
        <v>724</v>
      </c>
      <c r="N538" s="2080" t="str">
        <f>IF(N537=""," für ["&amp;N536&amp;"]"," für ["&amp;N537&amp;"]")</f>
        <v xml:space="preserve"> für [Qualifizierter Helfer]</v>
      </c>
      <c r="O538" s="2080"/>
      <c r="P538" s="2080" t="str">
        <f>IF(N537="",""," für ["&amp;N537&amp;" | "&amp;N536&amp;"]")</f>
        <v/>
      </c>
    </row>
    <row r="539" spans="1:20" ht="17.850000000000001" customHeight="1" x14ac:dyDescent="0.25">
      <c r="A539" s="2330"/>
      <c r="B539" s="2331"/>
      <c r="C539" s="2331"/>
      <c r="D539" s="2331"/>
      <c r="E539" s="2331"/>
      <c r="F539" s="2331"/>
      <c r="G539" s="2331"/>
      <c r="H539" s="2331"/>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180" t="str">
        <f>A$472</f>
        <v>R6) GZ auf PERSONALKOSTEN (K3 Spalte B)</v>
      </c>
      <c r="B540" s="2181"/>
      <c r="C540" s="2181"/>
      <c r="D540" s="2181"/>
      <c r="E540" s="2181"/>
      <c r="F540" s="2181"/>
      <c r="G540" s="2181"/>
      <c r="H540" s="2181"/>
      <c r="I540" s="637"/>
      <c r="L540" s="216"/>
      <c r="M540" s="2083" t="s">
        <v>642</v>
      </c>
      <c r="N540" s="2084" t="str">
        <f>IF(N520="",""," in ["&amp;N520&amp;"]")</f>
        <v/>
      </c>
      <c r="O540" s="2083"/>
      <c r="P540" s="2085"/>
    </row>
    <row r="541" spans="1:20" ht="17.850000000000001" customHeight="1" x14ac:dyDescent="0.25">
      <c r="A541" s="392" t="s">
        <v>561</v>
      </c>
      <c r="B541" s="373"/>
      <c r="C541" s="373"/>
      <c r="D541" s="2137"/>
      <c r="E541" s="2138"/>
      <c r="F541" s="2139"/>
      <c r="G541" s="199" t="str">
        <f>IF(D541="","",IFERROR(VLOOKUP(D541,'K2 GZ'!I$25:M$32,5,FALSE),KALKULATION!$M$283))</f>
        <v/>
      </c>
      <c r="H541" s="1009">
        <f>IF(G541=KALKULATION!$M$283,"",IF(D541="",$G$345,G541))</f>
        <v>0.28999999999999998</v>
      </c>
      <c r="I541" s="372" t="str">
        <f>IF(D541&lt;&gt;"","X","")</f>
        <v/>
      </c>
      <c r="J541" s="2178" t="str">
        <f>IF(G541=KALKULATION!$M$283,"Auswahl erneut vornehmen (ungültiger Verweis)!",IF(H541=KALKULATION!$M$283,"GZ aus K2-Blatt wählen!",""))</f>
        <v/>
      </c>
      <c r="K541" s="2178"/>
      <c r="L541" s="2179"/>
      <c r="M541" s="2080"/>
      <c r="N541" s="2086"/>
      <c r="O541" s="2080"/>
      <c r="P541" s="2082"/>
    </row>
    <row r="542" spans="1:20" ht="20.100000000000001" customHeight="1" x14ac:dyDescent="0.25">
      <c r="A542" s="1191" t="s">
        <v>394</v>
      </c>
      <c r="B542" s="633"/>
      <c r="C542" s="2423" t="str">
        <f>D504</f>
        <v>Qualifizierter Helfer</v>
      </c>
      <c r="D542" s="2423"/>
      <c r="E542" s="2423"/>
      <c r="F542" s="634" t="s">
        <v>259</v>
      </c>
      <c r="G542" s="635">
        <f ca="1">H542/D489-1</f>
        <v>3.0106999999999999</v>
      </c>
      <c r="H542" s="842">
        <f ca="1">IFERROR(' K3 Regie2'!N$45,"??")</f>
        <v>64.010000000000005</v>
      </c>
      <c r="I542" s="637"/>
      <c r="J542" s="47"/>
      <c r="K542" s="47"/>
      <c r="L542" s="594"/>
      <c r="M542" s="2078"/>
      <c r="N542" s="2087"/>
      <c r="O542" s="2078"/>
      <c r="P542" s="2079"/>
      <c r="Q542" s="2016"/>
      <c r="R542" s="2419"/>
      <c r="S542" s="2419"/>
      <c r="T542" s="2419"/>
    </row>
    <row r="543" spans="1:20" ht="17.850000000000001" customHeight="1" x14ac:dyDescent="0.25">
      <c r="A543" s="2116" t="s">
        <v>714</v>
      </c>
      <c r="B543" s="2267"/>
      <c r="C543" s="2191" t="str">
        <f>IFERROR(VLOOKUP(A545,M544:N550,2,FALSE),KALKULATION!$M$283)</f>
        <v>Regielohnpreis gesamt für [Qualifizierter Helfer]</v>
      </c>
      <c r="D543" s="2191"/>
      <c r="E543" s="2191"/>
      <c r="F543" s="2191"/>
      <c r="G543" s="2191"/>
      <c r="H543" s="2191"/>
      <c r="I543" s="637"/>
      <c r="J543" s="2326" t="str">
        <f ca="1">IF(OR(H541&lt;Report!$G$13,KALKULATION!H541&gt;Report!$F$13,AND(SUM(KALKULATION!F534:H536)&lt;&gt;0,OR(H538&lt;Report!$G$13,KALKULATION!H538&gt;Report!$F$13))),"Hinweis: GZ in R5.b oder R6 liegt außerhalb der empfohlenen Grenzwerte gem Blatt REPORT!","")</f>
        <v/>
      </c>
      <c r="K543" s="2326"/>
      <c r="L543" s="2327"/>
      <c r="M543" s="2088" t="s">
        <v>679</v>
      </c>
      <c r="N543" s="2088"/>
      <c r="Q543" s="2016"/>
      <c r="R543" s="2090"/>
      <c r="S543" s="2090"/>
      <c r="T543" s="2090"/>
    </row>
    <row r="544" spans="1:20" ht="17.850000000000001" customHeight="1" x14ac:dyDescent="0.25">
      <c r="A544" s="2268"/>
      <c r="B544" s="2269"/>
      <c r="C544" s="2193"/>
      <c r="D544" s="2193"/>
      <c r="E544" s="2193"/>
      <c r="F544" s="2193"/>
      <c r="G544" s="2193"/>
      <c r="H544" s="2193"/>
      <c r="I544" s="637"/>
      <c r="J544" s="2328"/>
      <c r="K544" s="2328"/>
      <c r="L544" s="2329"/>
      <c r="M544" s="2088" t="s">
        <v>717</v>
      </c>
      <c r="N544" s="2088" t="str">
        <f>N535</f>
        <v>Regielohnpreis gesamt</v>
      </c>
      <c r="Q544" s="2016"/>
      <c r="R544" s="2090"/>
      <c r="S544" s="2090"/>
      <c r="T544" s="2090"/>
    </row>
    <row r="545" spans="1:20" ht="17.850000000000001" customHeight="1" x14ac:dyDescent="0.25">
      <c r="A545" s="2270" t="s">
        <v>718</v>
      </c>
      <c r="B545" s="2271"/>
      <c r="C545" s="2195"/>
      <c r="D545" s="2195"/>
      <c r="E545" s="2195"/>
      <c r="F545" s="2195"/>
      <c r="G545" s="2195"/>
      <c r="H545" s="2195"/>
      <c r="I545" s="637"/>
      <c r="L545" s="216"/>
      <c r="M545" s="2088" t="s">
        <v>718</v>
      </c>
      <c r="N545" s="2088" t="str">
        <f>N535&amp;N538</f>
        <v>Regielohnpreis gesamt für [Qualifizierter Helfer]</v>
      </c>
      <c r="Q545" s="2016"/>
      <c r="R545" s="2090"/>
      <c r="S545" s="2090"/>
      <c r="T545" s="2090"/>
    </row>
    <row r="546" spans="1:20" ht="17.850000000000001" customHeight="1" x14ac:dyDescent="0.25">
      <c r="A546" s="2116" t="str">
        <f>A$478</f>
        <v>Bezeichnung zusätzlich:</v>
      </c>
      <c r="B546" s="2267"/>
      <c r="C546" s="2274"/>
      <c r="D546" s="2275"/>
      <c r="E546" s="2275"/>
      <c r="F546" s="2275"/>
      <c r="G546" s="2275"/>
      <c r="H546" s="2275"/>
      <c r="I546" s="637"/>
      <c r="L546" s="216"/>
      <c r="M546" s="2088" t="s">
        <v>719</v>
      </c>
      <c r="N546" s="2088" t="str">
        <f>N535&amp;P538</f>
        <v>Regielohnpreis gesamt</v>
      </c>
      <c r="Q546" s="2016"/>
      <c r="R546" s="2090"/>
      <c r="S546" s="2090"/>
      <c r="T546" s="2090"/>
    </row>
    <row r="547" spans="1:20" ht="17.850000000000001" customHeight="1" x14ac:dyDescent="0.25">
      <c r="A547" s="2116" t="str">
        <f>A$479</f>
        <v>Individuelle Bezeichnung für Wahl in R7.a:</v>
      </c>
      <c r="B547" s="2272"/>
      <c r="C547" s="2276"/>
      <c r="D547" s="2276"/>
      <c r="E547" s="2276"/>
      <c r="F547" s="2276"/>
      <c r="G547" s="2276"/>
      <c r="H547" s="2276"/>
      <c r="I547" s="637"/>
      <c r="L547" s="216"/>
      <c r="M547" s="2088" t="s">
        <v>720</v>
      </c>
      <c r="N547" s="2088" t="str">
        <f ca="1">N544&amp;N539&amp;N540</f>
        <v>Regielohnpreis gesamt</v>
      </c>
      <c r="Q547" s="2016"/>
      <c r="R547" s="2090"/>
      <c r="S547" s="2090"/>
      <c r="T547" s="2090"/>
    </row>
    <row r="548" spans="1:20" ht="17.850000000000001" customHeight="1" x14ac:dyDescent="0.25">
      <c r="A548" s="2268"/>
      <c r="B548" s="2273"/>
      <c r="C548" s="2123"/>
      <c r="D548" s="2123"/>
      <c r="E548" s="2123"/>
      <c r="F548" s="2123"/>
      <c r="G548" s="2123"/>
      <c r="H548" s="2123"/>
      <c r="I548" s="637"/>
      <c r="L548" s="216"/>
      <c r="M548" s="2088" t="s">
        <v>721</v>
      </c>
      <c r="N548" s="2088" t="str">
        <f ca="1">N545&amp;N539&amp;N540</f>
        <v>Regielohnpreis gesamt für [Qualifizierter Helfer]</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116" t="s">
        <v>672</v>
      </c>
      <c r="B550" s="2118"/>
      <c r="C550" s="2119"/>
      <c r="D550" s="2119"/>
      <c r="E550" s="2119"/>
      <c r="F550" s="2119"/>
      <c r="G550" s="2119"/>
      <c r="H550" s="2119"/>
      <c r="I550" s="2119"/>
      <c r="L550" s="216"/>
      <c r="M550" s="2088" t="s">
        <v>716</v>
      </c>
      <c r="N550" s="2088" t="str">
        <f>IF(C547="","",C547)</f>
        <v/>
      </c>
      <c r="Q550" s="2016"/>
      <c r="R550" s="2090"/>
      <c r="S550" s="2090"/>
      <c r="T550" s="2090"/>
    </row>
    <row r="551" spans="1:20" ht="17.850000000000001" customHeight="1" x14ac:dyDescent="0.25">
      <c r="A551" s="2117"/>
      <c r="B551" s="2120"/>
      <c r="C551" s="2121"/>
      <c r="D551" s="2121"/>
      <c r="E551" s="2121"/>
      <c r="F551" s="2121"/>
      <c r="G551" s="2121"/>
      <c r="H551" s="2121"/>
      <c r="I551" s="2121"/>
      <c r="J551" s="47"/>
      <c r="K551" s="47"/>
      <c r="L551" s="594"/>
      <c r="M551" s="2016"/>
      <c r="N551" s="2016"/>
      <c r="O551" s="2016"/>
      <c r="P551" s="2016"/>
      <c r="Q551" s="2016"/>
      <c r="R551" s="2090"/>
      <c r="S551" s="2090"/>
      <c r="T551" s="2090"/>
    </row>
    <row r="552" spans="1:20" ht="17.850000000000001" customHeight="1" x14ac:dyDescent="0.25">
      <c r="A552" s="2286"/>
      <c r="B552" s="2286"/>
      <c r="C552" s="2286"/>
      <c r="D552" s="2286"/>
      <c r="E552" s="2286"/>
      <c r="F552" s="2286"/>
      <c r="G552" s="2286"/>
      <c r="H552" s="2286"/>
      <c r="I552" s="2286"/>
      <c r="L552" s="216"/>
      <c r="M552" s="2016"/>
      <c r="N552" s="2016"/>
      <c r="O552" s="2016"/>
      <c r="P552" s="2016"/>
    </row>
    <row r="553" spans="1:20" ht="25.15" customHeight="1" x14ac:dyDescent="0.35">
      <c r="A553" s="2291" t="str">
        <f ca="1">$A$413&amp;" 3"&amp;IF(A557=""," [keine Beschäftigungsgruppe ausgewählt]",IF(D557=KALKULATION!$M$283," - [nicht vorhandene Beschäftigungsgruppe]"," - kalkuliert für ["&amp;LEFT(A557,40)&amp;"]"))</f>
        <v>Regielohnpreis 3 - kalkuliert für [Helfer]</v>
      </c>
      <c r="B553" s="2292"/>
      <c r="C553" s="2292"/>
      <c r="D553" s="2292"/>
      <c r="E553" s="2292"/>
      <c r="F553" s="2292"/>
      <c r="G553" s="2292"/>
      <c r="H553" s="2292"/>
      <c r="I553" s="1219"/>
      <c r="J553" s="59"/>
      <c r="K553" s="59"/>
      <c r="L553" s="593"/>
    </row>
    <row r="554" spans="1:20" ht="17.850000000000001" customHeight="1" x14ac:dyDescent="0.25">
      <c r="A554" s="2116" t="s">
        <v>533</v>
      </c>
      <c r="B554" s="2403"/>
      <c r="C554" s="2404"/>
      <c r="D554" s="2384" t="s">
        <v>937</v>
      </c>
      <c r="E554" s="2385"/>
      <c r="F554" s="2385"/>
      <c r="G554" s="2385"/>
      <c r="H554" s="2385"/>
      <c r="I554" s="627"/>
      <c r="L554" s="216"/>
    </row>
    <row r="555" spans="1:20" ht="17.850000000000001" customHeight="1" x14ac:dyDescent="0.25">
      <c r="A555" s="2405"/>
      <c r="B555" s="2406"/>
      <c r="C555" s="2407"/>
      <c r="D555" s="2386"/>
      <c r="E555" s="2387"/>
      <c r="F555" s="2387"/>
      <c r="G555" s="2387"/>
      <c r="H555" s="2387"/>
      <c r="I555" s="627"/>
      <c r="L555" s="216"/>
    </row>
    <row r="556" spans="1:20" ht="17.850000000000001" customHeight="1" thickBot="1" x14ac:dyDescent="0.3">
      <c r="A556" s="2266" t="s">
        <v>380</v>
      </c>
      <c r="B556" s="2266"/>
      <c r="C556" s="2266"/>
      <c r="D556" s="2266"/>
      <c r="E556" s="715" t="s">
        <v>18</v>
      </c>
      <c r="F556" s="715" t="s">
        <v>68</v>
      </c>
      <c r="G556" s="1011" t="s">
        <v>72</v>
      </c>
      <c r="H556" s="1120" t="s">
        <v>73</v>
      </c>
      <c r="I556" s="627"/>
      <c r="L556" s="216"/>
    </row>
    <row r="557" spans="1:20" ht="17.850000000000001" customHeight="1" thickTop="1" thickBot="1" x14ac:dyDescent="0.3">
      <c r="A557" s="2214" t="s">
        <v>1138</v>
      </c>
      <c r="B557" s="2215"/>
      <c r="C557" s="2216"/>
      <c r="D557" s="51">
        <f ca="1">IFERROR(VLOOKUP(A557,Stammdaten!A$7:D$33,4,FALSE),KALKULATION!$M$283)</f>
        <v>15.33</v>
      </c>
      <c r="E557" s="520">
        <v>1</v>
      </c>
      <c r="F557" s="521">
        <v>1</v>
      </c>
      <c r="G557" s="349">
        <f ca="1">IFERROR(VLOOKUP(A557,Stammdaten!A$7:F$33,4,FALSE)*F557,"")</f>
        <v>15.33</v>
      </c>
      <c r="H557" s="522">
        <f ca="1">IFERROR(VLOOKUP(A557,Stammdaten!A$7:F$33,6,FALSE)*F557,"")</f>
        <v>2.2999999999999998</v>
      </c>
      <c r="I557" s="627"/>
      <c r="J557" s="2178" t="str">
        <f ca="1">IF(D557=KALKULATION!$M$283,"Auswahl erneut vornehmen (ungültiger Verweis)!","")</f>
        <v/>
      </c>
      <c r="K557" s="2178"/>
      <c r="L557" s="2179"/>
    </row>
    <row r="558" spans="1:20" ht="17.850000000000001" customHeight="1" x14ac:dyDescent="0.25">
      <c r="A558" s="2323" t="s">
        <v>92</v>
      </c>
      <c r="B558" s="2324"/>
      <c r="C558" s="2324"/>
      <c r="D558" s="2325"/>
      <c r="E558" s="49">
        <f>E557</f>
        <v>1</v>
      </c>
      <c r="F558" s="50">
        <v>1</v>
      </c>
      <c r="G558" s="51">
        <f ca="1">IF(AND(_OK?="OK!",_OK_KV?="OK_KV!"),SUM(G557),ROUNDUP(G557,0))</f>
        <v>16</v>
      </c>
      <c r="H558" s="84">
        <f ca="1">SUM(H557:H557)</f>
        <v>2.2999999999999998</v>
      </c>
      <c r="I558" s="628" t="str">
        <f ca="1">IF(OR(_OK?&lt;&gt;"OK!",_OK_KV?&lt;&gt;"OK_KV!"),"X","")</f>
        <v>X</v>
      </c>
      <c r="J558" s="1112"/>
      <c r="K558" s="1112"/>
      <c r="L558" s="270"/>
    </row>
    <row r="559" spans="1:20" ht="17.850000000000001" customHeight="1" x14ac:dyDescent="0.25">
      <c r="A559" s="2142" t="s">
        <v>895</v>
      </c>
      <c r="B559" s="2143"/>
      <c r="C559" s="2143"/>
      <c r="D559" s="2143"/>
      <c r="E559" s="2143"/>
      <c r="F559" s="2143"/>
      <c r="G559" s="2143"/>
      <c r="H559" s="2143"/>
      <c r="I559" s="627"/>
      <c r="J559" s="1112"/>
      <c r="K559" s="1112"/>
      <c r="L559" s="216"/>
    </row>
    <row r="560" spans="1:20" ht="17.850000000000001" customHeight="1" thickBot="1" x14ac:dyDescent="0.3">
      <c r="A560" s="2395"/>
      <c r="B560" s="2396"/>
      <c r="C560" s="2397"/>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78" t="str">
        <f ca="1">IF(OR(COUNTA(A560,E560)=2,COUNTA(A560,E560)=0),IF(D560=KALKULATION!$M$283,"Auswahl erneut vornehmen (ungültiger Verweis)!",""),"Eingabe unvollständig (ergänzen oder löschen)!")</f>
        <v/>
      </c>
      <c r="K560" s="2178"/>
      <c r="L560" s="217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78" t="str">
        <f ca="1">IF(E561&gt;=E558,"Unzulässige Umlage (R2 größer/gleich R1)!!!",IF(AND(E561&lt;&gt;0,G558=0),"Beschäftigungsgruppe in R1 wählen!",""))</f>
        <v/>
      </c>
      <c r="K561" s="2178"/>
      <c r="L561" s="2179"/>
    </row>
    <row r="562" spans="1:14" ht="17.850000000000001" customHeight="1" x14ac:dyDescent="0.25">
      <c r="A562" s="2134" t="s">
        <v>699</v>
      </c>
      <c r="B562" s="2135"/>
      <c r="C562" s="2135"/>
      <c r="D562" s="2135"/>
      <c r="E562" s="2135"/>
      <c r="F562" s="2135"/>
      <c r="G562" s="2135"/>
      <c r="H562" s="572">
        <v>0</v>
      </c>
      <c r="I562" s="630"/>
      <c r="J562" s="2176" t="str">
        <f>IF(AND(ISBLANK(H562),E561&lt;&gt;0),"Kennzeichen eingeben! Es sind unprod. Zeiten kalkuliert.","")</f>
        <v/>
      </c>
      <c r="K562" s="2176"/>
      <c r="L562" s="2177"/>
    </row>
    <row r="563" spans="1:14" ht="17.850000000000001" customHeight="1" x14ac:dyDescent="0.25">
      <c r="A563" s="2287"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88"/>
      <c r="C563" s="2288"/>
      <c r="D563" s="2288"/>
      <c r="E563" s="2288"/>
      <c r="F563" s="2288"/>
      <c r="G563" s="367">
        <f>IF(H562=1,E558,E558-E561)</f>
        <v>1</v>
      </c>
      <c r="H563" s="367">
        <f>E561</f>
        <v>0</v>
      </c>
      <c r="I563" s="627"/>
      <c r="J563" s="2280" t="str">
        <f>IFERROR(IF(H563/G563&gt;Report!$F$7,"Hinweis: Unproduktiver Anteil erscheint hoch!",""),"Der unprod. Anteil löst eine Division mit 0 aus!")</f>
        <v/>
      </c>
      <c r="K563" s="2280"/>
      <c r="L563" s="2281"/>
    </row>
    <row r="564" spans="1:14" ht="17.850000000000001" customHeight="1" x14ac:dyDescent="0.25">
      <c r="A564" s="2282"/>
      <c r="B564" s="2283"/>
      <c r="C564" s="2283"/>
      <c r="D564" s="2283"/>
      <c r="E564" s="2283"/>
      <c r="F564" s="2283"/>
      <c r="G564" s="2283"/>
      <c r="H564" s="2283"/>
      <c r="I564" s="627"/>
      <c r="K564" s="4"/>
      <c r="L564" s="859"/>
    </row>
    <row r="565" spans="1:14" ht="17.850000000000001" customHeight="1" thickBot="1" x14ac:dyDescent="0.3">
      <c r="A565" s="2144" t="s">
        <v>382</v>
      </c>
      <c r="B565" s="2145"/>
      <c r="C565" s="2146"/>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16</v>
      </c>
      <c r="E566" s="707">
        <f ca="1">G563*H558</f>
        <v>2.2999999999999998</v>
      </c>
      <c r="F566" s="708" t="s">
        <v>204</v>
      </c>
      <c r="G566" s="685">
        <f ca="1">D566</f>
        <v>16</v>
      </c>
      <c r="H566" s="686">
        <f ca="1">IF(D569=_Ja,"",D568)</f>
        <v>16</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2.2999999999999998</v>
      </c>
      <c r="I567" s="627"/>
      <c r="J567" s="1139"/>
      <c r="L567" s="216"/>
    </row>
    <row r="568" spans="1:14" ht="17.850000000000001" customHeight="1" x14ac:dyDescent="0.25">
      <c r="A568" s="695"/>
      <c r="B568" s="696"/>
      <c r="C568" s="697" t="s">
        <v>56</v>
      </c>
      <c r="D568" s="698">
        <f ca="1">SUM(D566:D567)</f>
        <v>16</v>
      </c>
      <c r="E568" s="699">
        <f ca="1">SUM(E566:E567)</f>
        <v>2.2999999999999998</v>
      </c>
      <c r="F568" s="710" t="s">
        <v>86</v>
      </c>
      <c r="G568" s="711">
        <f ca="1">G567/G566</f>
        <v>0</v>
      </c>
      <c r="H568" s="712">
        <f ca="1">IF(D569=_Ja,$H$73,H567/H566)</f>
        <v>0.14380000000000001</v>
      </c>
      <c r="I568" s="628" t="str">
        <f>IF(D569=_Ja,"X","")</f>
        <v/>
      </c>
      <c r="L568" s="216"/>
    </row>
    <row r="569" spans="1:14" ht="17.850000000000001" customHeight="1" thickBot="1" x14ac:dyDescent="0.3">
      <c r="A569" s="2756" t="str">
        <f ca="1">"Ø AKV Pkt B ist "&amp;TEXT($H$73,"0,00%")&amp;". Beibehalten?"</f>
        <v>Ø AKV Pkt B ist 14,50%. Beibehalten?</v>
      </c>
      <c r="B569" s="2757"/>
      <c r="C569" s="2758"/>
      <c r="D569" s="826" t="s">
        <v>193</v>
      </c>
      <c r="E569" s="2421" t="s">
        <v>383</v>
      </c>
      <c r="F569" s="2422"/>
      <c r="G569" s="378"/>
      <c r="H569" s="379"/>
      <c r="I569" s="628" t="str">
        <f>IF(OR(G569&lt;&gt;0,H569&lt;&gt;0),"X","")</f>
        <v/>
      </c>
      <c r="L569" s="216"/>
    </row>
    <row r="570" spans="1:14" ht="17.850000000000001" customHeight="1" x14ac:dyDescent="0.25">
      <c r="A570" s="2217"/>
      <c r="B570" s="2218"/>
      <c r="C570" s="2218"/>
      <c r="D570" s="2218"/>
      <c r="E570" s="2187" t="s">
        <v>556</v>
      </c>
      <c r="F570" s="2188"/>
      <c r="G570" s="86">
        <f ca="1">SUM(G568,G569)</f>
        <v>0</v>
      </c>
      <c r="H570" s="154">
        <f ca="1">SUM(H568,H569)</f>
        <v>0.14380000000000001</v>
      </c>
      <c r="I570" s="627"/>
      <c r="L570" s="216"/>
    </row>
    <row r="571" spans="1:14" ht="17.850000000000001" customHeight="1" x14ac:dyDescent="0.25">
      <c r="A571" s="2817"/>
      <c r="B571" s="2815"/>
      <c r="C571" s="2815"/>
      <c r="D571" s="2815"/>
      <c r="E571" s="2815"/>
      <c r="F571" s="2816"/>
      <c r="G571" s="368" t="s">
        <v>121</v>
      </c>
      <c r="H571" s="369" t="s">
        <v>122</v>
      </c>
      <c r="I571" s="627"/>
      <c r="L571" s="216"/>
    </row>
    <row r="572" spans="1:14" ht="18" customHeight="1" x14ac:dyDescent="0.25">
      <c r="A572" s="370" t="s">
        <v>384</v>
      </c>
      <c r="B572" s="371"/>
      <c r="C572" s="371"/>
      <c r="D572" s="2420" t="str">
        <f>IF(A557=0,"Beschäftigungsgruppe wählen!",A557)</f>
        <v>Helfer</v>
      </c>
      <c r="E572" s="2420"/>
      <c r="F572" s="2420"/>
      <c r="G572" s="2420"/>
      <c r="H572" s="626">
        <f ca="1">IFERROR(' K3 Regie3'!N$45,"??")</f>
        <v>63.76</v>
      </c>
      <c r="I572" s="627"/>
      <c r="L572" s="216"/>
    </row>
    <row r="573" spans="1:14" ht="17.850000000000001" customHeight="1" x14ac:dyDescent="0.25">
      <c r="A573" s="2289" t="s">
        <v>632</v>
      </c>
      <c r="B573" s="2290"/>
      <c r="C573" s="2290"/>
      <c r="D573" s="2290"/>
      <c r="E573" s="2290"/>
      <c r="F573" s="2290"/>
      <c r="G573" s="2290"/>
      <c r="H573" s="2290"/>
      <c r="I573" s="627"/>
      <c r="J573" s="2227" t="str">
        <f>IF(OR(I574="X",I579="X"),M$301,"")</f>
        <v/>
      </c>
      <c r="K573" s="2227"/>
      <c r="L573" s="2228"/>
    </row>
    <row r="574" spans="1:14" ht="17.850000000000001" customHeight="1" x14ac:dyDescent="0.25">
      <c r="A574" s="2134" t="s">
        <v>704</v>
      </c>
      <c r="B574" s="2135"/>
      <c r="C574" s="2136"/>
      <c r="D574" s="865" t="s">
        <v>702</v>
      </c>
      <c r="E574" s="2137" t="s">
        <v>902</v>
      </c>
      <c r="F574" s="2138"/>
      <c r="G574" s="2139"/>
      <c r="H574" s="1010">
        <f>IFERROR(VLOOKUP(E574,M574:N576,2,FALSE),"")</f>
        <v>0</v>
      </c>
      <c r="I574" s="628" t="str">
        <f>IF(E574&lt;&gt;M574,"X","")</f>
        <v/>
      </c>
      <c r="J574" s="2227"/>
      <c r="K574" s="2227"/>
      <c r="L574" s="222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0.01</v>
      </c>
    </row>
    <row r="576" spans="1:14" ht="30" customHeight="1" thickTop="1" x14ac:dyDescent="0.25">
      <c r="A576" s="2185"/>
      <c r="B576" s="2186"/>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27" t="str">
        <f>VLOOKUP(E579,M579:Q582,5,FALSE)</f>
        <v>Hinweis zu R4.b - 1.) Wenn der Regiepreis keine Arbeitszeitzuschläge enthalten soll (Regelung gem ÖN B 2110) ist diese Einstellung (1.) zutreffend.</v>
      </c>
      <c r="K576" s="2227"/>
      <c r="L576" s="222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16</v>
      </c>
      <c r="F577" s="870">
        <f ca="1">IFERROR(F576/E577,0)</f>
        <v>0</v>
      </c>
      <c r="G577" s="868" t="str">
        <f ca="1">IF(G576=0,"",$G$131)</f>
        <v/>
      </c>
      <c r="H577" s="1007">
        <f ca="1">IFERROR(H576*G577,0)</f>
        <v>0</v>
      </c>
      <c r="I577" s="627"/>
      <c r="J577" s="2227"/>
      <c r="K577" s="2227"/>
      <c r="L577" s="2228"/>
    </row>
    <row r="578" spans="1:18" ht="17.850000000000001" customHeight="1" x14ac:dyDescent="0.25">
      <c r="A578" s="392" t="s">
        <v>768</v>
      </c>
      <c r="B578" s="67"/>
      <c r="C578" s="346"/>
      <c r="D578" s="346"/>
      <c r="E578" s="346"/>
      <c r="F578" s="498"/>
      <c r="G578" s="346"/>
      <c r="H578" s="92">
        <f>IF(E574=M576,SUM(F577,H577),H574)</f>
        <v>0</v>
      </c>
      <c r="I578" s="627"/>
      <c r="J578" s="2227"/>
      <c r="K578" s="2227"/>
      <c r="L578" s="2228"/>
      <c r="M578" s="1961" t="str">
        <f>M$442</f>
        <v>DD Arbeitszeitzuschläge</v>
      </c>
      <c r="N578" s="1961"/>
      <c r="O578" s="1961"/>
      <c r="P578" s="1961" t="str">
        <f t="shared" ref="P578" si="54">P$442</f>
        <v>Text in K3</v>
      </c>
      <c r="Q578" s="1961" t="str">
        <f>Q$442</f>
        <v>Text in Kalk</v>
      </c>
    </row>
    <row r="579" spans="1:18" ht="17.850000000000001" customHeight="1" x14ac:dyDescent="0.25">
      <c r="A579" s="2142" t="s">
        <v>564</v>
      </c>
      <c r="B579" s="2143"/>
      <c r="C579" s="2143"/>
      <c r="D579" s="928" t="s">
        <v>770</v>
      </c>
      <c r="E579" s="2138" t="s">
        <v>882</v>
      </c>
      <c r="F579" s="2138"/>
      <c r="G579" s="2138"/>
      <c r="H579" s="998">
        <f>IFERROR(VLOOKUP(E579,M579:N582,2,FALSE),"x")</f>
        <v>0</v>
      </c>
      <c r="I579" s="628" t="str">
        <f>IF(E579&lt;&gt;M579,"X","")</f>
        <v/>
      </c>
      <c r="J579" s="2227"/>
      <c r="K579" s="2227"/>
      <c r="L579" s="222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321" t="s">
        <v>563</v>
      </c>
      <c r="B580" s="2322"/>
      <c r="C580" s="2322"/>
      <c r="D580" s="2322"/>
      <c r="E580" s="553" t="s">
        <v>378</v>
      </c>
      <c r="F580" s="524" t="s">
        <v>192</v>
      </c>
      <c r="G580" s="926">
        <v>1</v>
      </c>
      <c r="H580" s="607"/>
      <c r="I580" s="628" t="str">
        <f>IF(AND(E579=M582,F580=_Ja),"X","")</f>
        <v/>
      </c>
      <c r="J580" s="2176" t="str">
        <f>IF(OR(F580=$Q$31,F580=$Q$32),"","Bitte Ja oder Nein wählen!")</f>
        <v/>
      </c>
      <c r="K580" s="2176"/>
      <c r="L580" s="2177"/>
      <c r="M580" s="2014" t="str">
        <f>M$444</f>
        <v>2. Regie mit Ø-Zuschlag wie K3 Zeile 8</v>
      </c>
      <c r="N580" s="1999">
        <f t="shared" ref="N580:Q580" ca="1" si="56">N$444</f>
        <v>2.9000000000000001E-2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22"/>
      <c r="C581" s="2123"/>
      <c r="D581" s="2124"/>
      <c r="E581" s="542" t="str">
        <f>IF(OR(ISBLANK(B581),F580=_Nein),"",IFERROR(VLOOKUP(B581,Stammdaten!A$39:C$48,3,FALSE),KALKULATION!$M$283))</f>
        <v/>
      </c>
      <c r="F581" s="1101"/>
      <c r="G581" s="544"/>
      <c r="H581" s="608"/>
      <c r="I581" s="628"/>
      <c r="J581" s="2178" t="str">
        <f>IF(F580&lt;&gt;$Q$31,"",IF(AND(E581=KALKULATION!$M$283,F580=$Q$31),"Auswahl erneut vornehmen (ungültiger Verweis)!",IF(OR(AND(F580=$Q$31,B581=""),AND(F580=$Q$32,B581&lt;&gt;"")),"Eingabe unvollständig (ergänzen,  löschen od Nein wählen)!","")))</f>
        <v>Eingabe unvollständig (ergänzen,  löschen od Nein wählen)!</v>
      </c>
      <c r="K581" s="2178"/>
      <c r="L581" s="2179"/>
      <c r="M581" s="2014" t="str">
        <f>M$445</f>
        <v>3. Regie mit Std-Zuschlag wie K3</v>
      </c>
      <c r="N581" s="1999">
        <f t="shared" ref="N581:Q581" ca="1" si="57">N$445</f>
        <v>0.57750000000000001</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297" t="s">
        <v>135</v>
      </c>
      <c r="B582" s="2298"/>
      <c r="C582" s="2298"/>
      <c r="D582" s="2298"/>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33" t="s">
        <v>560</v>
      </c>
      <c r="B583" s="2234"/>
      <c r="C583" s="2234"/>
      <c r="D583" s="2234"/>
      <c r="E583" s="2235"/>
      <c r="F583" s="351">
        <v>4</v>
      </c>
      <c r="G583" s="546">
        <f ca="1">IF(F583=1,1,IF(F583=2,((' K3 Regie3'!O$23+' K3 Regie3'!O$24)/' K3 Regie3'!O$23),IF(F583&gt;2,((' K3 Regie3'!O$23+' K3 Regie3'!O$24+' K3 Regie3'!O$25)/' K3 Regie3'!O$23),"")))</f>
        <v>1.1439999999999999</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321" t="s">
        <v>565</v>
      </c>
      <c r="B584" s="2322"/>
      <c r="C584" s="2322"/>
      <c r="D584" s="2322"/>
      <c r="E584" s="553" t="s">
        <v>378</v>
      </c>
      <c r="F584" s="524" t="s">
        <v>192</v>
      </c>
      <c r="G584" s="543"/>
      <c r="H584" s="607"/>
      <c r="I584" s="628" t="str">
        <f>IF(AND(E579=M582,F584=_Ja),"X","")</f>
        <v/>
      </c>
      <c r="J584" s="2176"/>
      <c r="K584" s="2176"/>
      <c r="L584" s="2177"/>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22"/>
      <c r="C585" s="2123"/>
      <c r="D585" s="2124"/>
      <c r="E585" s="549" t="str">
        <f>IF(OR(ISBLANK(B585),F584=_Nein),"",IFERROR(VLOOKUP(B585,Stammdaten!A$50:C$54,3,FALSE),KALKULATION!$M$283))</f>
        <v/>
      </c>
      <c r="F585" s="1101"/>
      <c r="G585" s="544"/>
      <c r="H585" s="608"/>
      <c r="I585" s="628"/>
      <c r="J585" s="2178" t="str">
        <f>IF(F584&lt;&gt;$Q$31,"",IF(AND(E585=KALKULATION!$M$283,F584=$Q$31),"Auswahl erneut vornehmen (ungültiger Verweis)!",IF(OR(AND(F584=$Q$31,B585=""),AND(F584=$Q$32,B585&lt;&gt;"")),"Eingabe unvollständig (ergänzen,  löschen od Nein wählen)!","")))</f>
        <v>Eingabe unvollständig (ergänzen,  löschen od Nein wählen)!</v>
      </c>
      <c r="K585" s="2178"/>
      <c r="L585" s="2179"/>
      <c r="M585" s="1342" t="s">
        <v>863</v>
      </c>
      <c r="N585" s="2071" t="str">
        <f>IF(AND(E579=M582,F584=_Ja),B585,"")</f>
        <v/>
      </c>
      <c r="O585" s="2072"/>
      <c r="P585" s="1999" t="str">
        <f>IF(N585="","",E585)</f>
        <v/>
      </c>
      <c r="Q585" s="1951"/>
      <c r="R585" s="2073"/>
    </row>
    <row r="586" spans="1:18" ht="17.850000000000001" customHeight="1" x14ac:dyDescent="0.25">
      <c r="A586" s="2241" t="s">
        <v>198</v>
      </c>
      <c r="B586" s="2242"/>
      <c r="C586" s="2242"/>
      <c r="D586" s="2242"/>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33" t="str">
        <f>A583</f>
        <v xml:space="preserve">  Basis für die Aufzahlung in % (siehe Pkt C0; KZ = 1, 2, 3 od. 4):  ↓</v>
      </c>
      <c r="B587" s="2234"/>
      <c r="C587" s="2234"/>
      <c r="D587" s="2234"/>
      <c r="E587" s="2235"/>
      <c r="F587" s="351">
        <v>4</v>
      </c>
      <c r="G587" s="546">
        <f ca="1">IF(F587=1,1,IF(F587=2,((' K3 Regie3'!O$23+' K3 Regie3'!O$24)/' K3 Regie3'!O$23),IF(F587&gt;2,((' K3 Regie3'!O$23+' K3 Regie3'!O$24+' K3 Regie3'!O$25)/' K3 Regie3'!O$23),"")))</f>
        <v>1.1439999999999999</v>
      </c>
      <c r="H587" s="608" t="str">
        <f ca="1">IFERROR(IF(F584=$Q$31,(E585*E586*G587),""),"??")</f>
        <v>??</v>
      </c>
      <c r="I587" s="628"/>
      <c r="J587" s="2176" t="str">
        <f>IF(F584&lt;&gt;$Q$31,"",IF(AND(ISBLANK(F587),F584=$Q$31),"Kennzeichen setzen!",""))</f>
        <v/>
      </c>
      <c r="K587" s="2176"/>
      <c r="L587" s="360"/>
      <c r="M587" s="1342" t="s">
        <v>868</v>
      </c>
      <c r="N587" s="1342">
        <f>IF(AND(N585&lt;&gt;"",N586&lt;&gt;""),2,IF(N585&amp;N586="",0,1))</f>
        <v>0</v>
      </c>
      <c r="R587" s="1965"/>
    </row>
    <row r="588" spans="1:18" ht="17.850000000000001" customHeight="1" x14ac:dyDescent="0.25">
      <c r="A588" s="2321" t="s">
        <v>566</v>
      </c>
      <c r="B588" s="2322"/>
      <c r="C588" s="2322"/>
      <c r="D588" s="2322"/>
      <c r="E588" s="553" t="s">
        <v>378</v>
      </c>
      <c r="F588" s="524" t="s">
        <v>192</v>
      </c>
      <c r="G588" s="547"/>
      <c r="H588" s="610"/>
      <c r="I588" s="628" t="str">
        <f>IF(AND(E579=M582,F588=_Ja),"X","")</f>
        <v/>
      </c>
      <c r="J588" s="2176"/>
      <c r="K588" s="2176"/>
      <c r="L588" s="2177"/>
      <c r="M588" s="1967"/>
      <c r="N588" s="2075" t="str">
        <f>IF(N587=2," "&amp;N585&amp;" "&amp;", "&amp;N586,IF(N587=1," "&amp;N585&amp;N586,""))</f>
        <v/>
      </c>
      <c r="O588" s="2075"/>
      <c r="P588" s="1967"/>
      <c r="Q588" s="1967"/>
      <c r="R588" s="1974"/>
    </row>
    <row r="589" spans="1:18" ht="17.850000000000001" customHeight="1" x14ac:dyDescent="0.25">
      <c r="A589" s="552" t="s">
        <v>379</v>
      </c>
      <c r="B589" s="2123"/>
      <c r="C589" s="2123"/>
      <c r="D589" s="2123"/>
      <c r="E589" s="550" t="str">
        <f>IF(OR(ISBLANK(B589),F588=_Nein),"",IFERROR(VLOOKUP(B589,Stammdaten!A$57:C$61,2,FALSE),KALKULATION!$M$283))</f>
        <v/>
      </c>
      <c r="F589" s="551" t="s">
        <v>197</v>
      </c>
      <c r="G589" s="548">
        <f ca="1">' K3 Regie3'!$O$21</f>
        <v>16</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1" t="s">
        <v>391</v>
      </c>
      <c r="B590" s="2222"/>
      <c r="C590" s="2222"/>
      <c r="D590" s="222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199" t="str">
        <f>A$455</f>
        <v>Standardmäßig sind die Werte aus der Mittelpersonal-preiskalkulation (Blatt K3_PP) übernommen; sie sind überschreibbar.</v>
      </c>
      <c r="B591" s="2200"/>
      <c r="C591" s="2200"/>
      <c r="D591" s="2201"/>
      <c r="E591" s="2196" t="str">
        <f>E$455</f>
        <v xml:space="preserve">Standard-werte sind
</v>
      </c>
      <c r="F591" s="2196"/>
      <c r="G591" s="2196" t="str">
        <f>G$455</f>
        <v>Optional überschrei-ben mit:</v>
      </c>
      <c r="H591" s="2125" t="str">
        <f>H$455</f>
        <v>Übertrag in K3 Regie</v>
      </c>
      <c r="I591" s="631"/>
      <c r="L591" s="216"/>
    </row>
    <row r="592" spans="1:18" ht="17.850000000000001" customHeight="1" x14ac:dyDescent="0.25">
      <c r="A592" s="2202"/>
      <c r="B592" s="2203"/>
      <c r="C592" s="2203"/>
      <c r="D592" s="2204"/>
      <c r="E592" s="2197"/>
      <c r="F592" s="2197"/>
      <c r="G592" s="2197"/>
      <c r="H592" s="2126"/>
      <c r="I592" s="631"/>
      <c r="L592" s="216"/>
    </row>
    <row r="593" spans="1:16" ht="17.850000000000001" customHeight="1" thickBot="1" x14ac:dyDescent="0.3">
      <c r="A593" s="2205"/>
      <c r="B593" s="2206"/>
      <c r="C593" s="2206"/>
      <c r="D593" s="2207"/>
      <c r="E593" s="2198"/>
      <c r="F593" s="2198"/>
      <c r="G593" s="2198"/>
      <c r="H593" s="2127"/>
      <c r="I593" s="631"/>
      <c r="L593" s="216"/>
    </row>
    <row r="594" spans="1:16" ht="17.850000000000001" customHeight="1" thickTop="1" x14ac:dyDescent="0.25">
      <c r="A594" s="2221" t="s">
        <v>386</v>
      </c>
      <c r="B594" s="2222"/>
      <c r="C594" s="2222"/>
      <c r="D594" s="2306"/>
      <c r="E594" s="51">
        <f ca="1">$H$228</f>
        <v>2.8</v>
      </c>
      <c r="F594" s="1887">
        <f>H563/G563</f>
        <v>0</v>
      </c>
      <c r="G594" s="364"/>
      <c r="H594" s="361">
        <f ca="1">IF(ISBLANK(G594),E594*(1+F594),G594)</f>
        <v>2.8</v>
      </c>
      <c r="I594" s="628" t="str">
        <f>IF(ISBLANK(G594),"","X")</f>
        <v/>
      </c>
      <c r="L594" s="216"/>
    </row>
    <row r="595" spans="1:16" ht="17.850000000000001" customHeight="1" x14ac:dyDescent="0.25">
      <c r="A595" s="2134" t="s">
        <v>387</v>
      </c>
      <c r="B595" s="2135"/>
      <c r="C595" s="2135"/>
      <c r="D595" s="2136"/>
      <c r="E595" s="48">
        <f ca="1">IF(E574=M575,$G$227,$G$229)</f>
        <v>1.1000000000000001</v>
      </c>
      <c r="F595" s="1888">
        <f>H563/G563</f>
        <v>0</v>
      </c>
      <c r="G595" s="341"/>
      <c r="H595" s="362">
        <f ca="1">IF(ISBLANK(G595),E595*(1+F595),G595)</f>
        <v>1.1000000000000001</v>
      </c>
      <c r="I595" s="628" t="str">
        <f>IF(ISBLANK(G595),"","X")</f>
        <v/>
      </c>
      <c r="L595" s="216"/>
    </row>
    <row r="596" spans="1:16" ht="17.850000000000001" customHeight="1" x14ac:dyDescent="0.25">
      <c r="A596" s="2134" t="s">
        <v>388</v>
      </c>
      <c r="B596" s="2135"/>
      <c r="C596" s="2135"/>
      <c r="D596" s="2136"/>
      <c r="E596" s="157">
        <f ca="1">$H$236</f>
        <v>0.28000000000000003</v>
      </c>
      <c r="F596" s="156"/>
      <c r="G596" s="337"/>
      <c r="H596" s="363">
        <f ca="1">IF(ISBLANK(G596),E596,G596)</f>
        <v>0.28000000000000003</v>
      </c>
      <c r="I596" s="628" t="str">
        <f ca="1">IF(OR(G596&lt;&gt;0,E596&lt;&gt;H596),"X","")</f>
        <v/>
      </c>
      <c r="J596" s="2293" t="str">
        <f>IF(G596="","","Hinweis: DPNK lassen sich genau bestimmen/nachrechnen!")</f>
        <v/>
      </c>
      <c r="K596" s="2293"/>
      <c r="L596" s="2294"/>
    </row>
    <row r="597" spans="1:16" ht="17.850000000000001" customHeight="1" x14ac:dyDescent="0.25">
      <c r="A597" s="2134" t="s">
        <v>389</v>
      </c>
      <c r="B597" s="2135"/>
      <c r="C597" s="2135"/>
      <c r="D597" s="2136"/>
      <c r="E597" s="157">
        <f ca="1">$H$265</f>
        <v>0.72</v>
      </c>
      <c r="F597" s="156"/>
      <c r="G597" s="337"/>
      <c r="H597" s="363">
        <f ca="1">IF(ISBLANK(G597),E597,G597)</f>
        <v>0.72</v>
      </c>
      <c r="I597" s="628" t="str">
        <f ca="1">IF(OR(G597&lt;&gt;0,E597&lt;&gt;H597),"X","")</f>
        <v/>
      </c>
      <c r="L597" s="216"/>
    </row>
    <row r="598" spans="1:16" ht="17.850000000000001" customHeight="1" x14ac:dyDescent="0.25">
      <c r="A598" s="2134" t="s">
        <v>390</v>
      </c>
      <c r="B598" s="2135"/>
      <c r="C598" s="2135"/>
      <c r="D598" s="2136"/>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4" t="s">
        <v>594</v>
      </c>
      <c r="B599" s="2136"/>
      <c r="C599" s="199">
        <f>$E$306</f>
        <v>0.06</v>
      </c>
      <c r="D599" s="48">
        <f ca="1">$F$307</f>
        <v>3.46</v>
      </c>
      <c r="E599" s="338"/>
      <c r="F599" s="364"/>
      <c r="G599" s="363">
        <f>IF(ISBLANK(E599),C599,E599)</f>
        <v>0.06</v>
      </c>
      <c r="H599" s="361">
        <f ca="1">IF(ISBLANK(F599),D599,F599)</f>
        <v>3.46</v>
      </c>
      <c r="I599" s="628" t="str">
        <f>IF(OR(F599&lt;&gt;0,E599&lt;&gt;0),"X","")</f>
        <v/>
      </c>
      <c r="L599" s="216"/>
    </row>
    <row r="600" spans="1:16" ht="17.850000000000001" customHeight="1" x14ac:dyDescent="0.25">
      <c r="A600" s="2142" t="str">
        <f ca="1">"R5)"&amp;IF($G$327=0," Keine Umlagen unter Pkt H1 bzw H2 angelgt!"," Umlagen (K3 Spalte A)")</f>
        <v>R5) Keine Umlagen unter Pkt H1 bzw H2 angelgt!</v>
      </c>
      <c r="B600" s="2143"/>
      <c r="C600" s="2143"/>
      <c r="D600" s="2143"/>
      <c r="E600" s="2143"/>
      <c r="F600" s="2143"/>
      <c r="G600" s="2143"/>
      <c r="H600" s="2143"/>
      <c r="I600" s="631"/>
      <c r="L600" s="216"/>
      <c r="M600" s="1342">
        <f>ROW()</f>
        <v>600</v>
      </c>
      <c r="N600" s="1342">
        <f>M600-M554</f>
        <v>600</v>
      </c>
    </row>
    <row r="601" spans="1:16" ht="17.850000000000001" customHeight="1" thickBot="1" x14ac:dyDescent="0.3">
      <c r="A601" s="2314" t="s">
        <v>562</v>
      </c>
      <c r="B601" s="2315"/>
      <c r="C601" s="2315"/>
      <c r="D601" s="2315"/>
      <c r="E601" s="523" t="str">
        <f ca="1">IF(SUM(F602:G604)&lt;&gt;$H$327,"!","")</f>
        <v/>
      </c>
      <c r="F601" s="715" t="s">
        <v>69</v>
      </c>
      <c r="G601" s="747" t="s">
        <v>673</v>
      </c>
      <c r="H601" s="1008">
        <f ca="1">' K3 Regie3'!O33</f>
        <v>43.37</v>
      </c>
      <c r="I601" s="631"/>
      <c r="J601" s="2263" t="str">
        <f ca="1">IF(E601="!","Hinweis: Es sind nicht alle oder andere Umlagen wie oben (Pkt H) für K3 ausgewählt! Berechnung erfolgt mit den hier ausgewählten Umlagen.","")</f>
        <v/>
      </c>
      <c r="K601" s="2263"/>
      <c r="L601" s="2264"/>
    </row>
    <row r="602" spans="1:16" ht="17.850000000000001" customHeight="1" thickTop="1" x14ac:dyDescent="0.25">
      <c r="A602" s="2370"/>
      <c r="B602" s="2370"/>
      <c r="C602" s="2370"/>
      <c r="D602" s="2370"/>
      <c r="E602" s="2370"/>
      <c r="F602" s="85" t="str">
        <f>IF(A602="","",IFERROR(VLOOKUP(A602,A$329:E$333,2,FALSE),KALKULATION!$M$283))</f>
        <v/>
      </c>
      <c r="G602" s="158" t="str">
        <f>IF(A602="","",IFERROR(VLOOKUP(A602,A$329:E$333,3,FALSE),""))</f>
        <v/>
      </c>
      <c r="H602" s="85" t="str">
        <f>IF(OR(G602="",G602=0),"",G602*H$601)</f>
        <v/>
      </c>
      <c r="I602" s="631"/>
      <c r="J602" s="2263"/>
      <c r="K602" s="2263"/>
      <c r="L602" s="2264"/>
    </row>
    <row r="603" spans="1:16" ht="17.850000000000001" customHeight="1" x14ac:dyDescent="0.25">
      <c r="A603" s="2265"/>
      <c r="B603" s="2265"/>
      <c r="C603" s="2265"/>
      <c r="D603" s="2265"/>
      <c r="E603" s="2265"/>
      <c r="F603" s="85" t="str">
        <f>IF(A603="","",IFERROR(VLOOKUP(A603,A$329:E$333,2,FALSE),KALKULATION!$M$283))</f>
        <v/>
      </c>
      <c r="G603" s="158" t="str">
        <f t="shared" ref="G603:G604" si="59">IF(A603="","",IFERROR(VLOOKUP(A603,A$329:E$333,3,FALSE),""))</f>
        <v/>
      </c>
      <c r="H603" s="85" t="str">
        <f t="shared" ref="H603:H604" si="60">IF(OR(G603="",G603=0),"",G603*H$601)</f>
        <v/>
      </c>
      <c r="I603" s="631"/>
      <c r="J603" s="2263"/>
      <c r="K603" s="2263"/>
      <c r="L603" s="2264"/>
      <c r="M603" s="2076" t="s">
        <v>643</v>
      </c>
      <c r="N603" s="2076" t="str">
        <f>$A$413&amp;" gesamt"</f>
        <v>Regielohnpreis gesamt</v>
      </c>
      <c r="O603" s="2076"/>
      <c r="P603" s="2077"/>
    </row>
    <row r="604" spans="1:16" ht="17.850000000000001" customHeight="1" x14ac:dyDescent="0.25">
      <c r="A604" s="2265"/>
      <c r="B604" s="2265"/>
      <c r="C604" s="2265"/>
      <c r="D604" s="2265"/>
      <c r="E604" s="2265"/>
      <c r="F604" s="84" t="str">
        <f>IF(A604="","",IFERROR(VLOOKUP(A604,A$329:E$333,2,FALSE),KALKULATION!$M$283))</f>
        <v/>
      </c>
      <c r="G604" s="50" t="str">
        <f t="shared" si="59"/>
        <v/>
      </c>
      <c r="H604" s="84" t="str">
        <f t="shared" si="60"/>
        <v/>
      </c>
      <c r="I604" s="631"/>
      <c r="L604" s="216"/>
      <c r="M604" s="2076" t="s">
        <v>414</v>
      </c>
      <c r="N604" s="2076" t="str">
        <f>IF(A557="","",A557)</f>
        <v>Helfer</v>
      </c>
      <c r="O604" s="2078"/>
      <c r="P604" s="2079"/>
    </row>
    <row r="605" spans="1:16" ht="17.850000000000001" customHeight="1" x14ac:dyDescent="0.25">
      <c r="A605" s="2180" t="str">
        <f>IF(SUM(F602:H604)=0,"R5.b) GZ auf UMLAGEN - keine Umlagen ausgewählt (oder in Pkt H1 angelegt)","R5.b) GZ auf UMLAGEN")</f>
        <v>R5.b) GZ auf UMLAGEN - keine Umlagen ausgewählt (oder in Pkt H1 angelegt)</v>
      </c>
      <c r="B605" s="2181"/>
      <c r="C605" s="2181"/>
      <c r="D605" s="2181"/>
      <c r="E605" s="2181"/>
      <c r="F605" s="2182"/>
      <c r="G605" s="2182"/>
      <c r="H605" s="2181"/>
      <c r="I605" s="631"/>
      <c r="L605" s="216"/>
      <c r="M605" s="2080" t="s">
        <v>723</v>
      </c>
      <c r="N605" s="2080" t="str">
        <f>IF(C614="","",C614)</f>
        <v/>
      </c>
      <c r="O605" s="2076"/>
      <c r="P605" s="2077"/>
    </row>
    <row r="606" spans="1:16" ht="17.850000000000001" customHeight="1" x14ac:dyDescent="0.25">
      <c r="A606" s="2221" t="s">
        <v>561</v>
      </c>
      <c r="B606" s="2222"/>
      <c r="C606" s="2222"/>
      <c r="D606" s="2137"/>
      <c r="E606" s="2138"/>
      <c r="F606" s="2139"/>
      <c r="G606" s="199" t="str">
        <f>IF(D606="","",IFERROR(VLOOKUP(D606,'K2 GZ'!I$25:M$32,5,FALSE),KALKULATION!$M$283))</f>
        <v/>
      </c>
      <c r="H606" s="1009" t="str">
        <f ca="1">IF($G$327=0,"",IF(G606=KALKULATION!$M$283,"",IF(SUM(F602:H604)=0,"",IF(D606="",$G$346,G606))))</f>
        <v/>
      </c>
      <c r="I606" s="628" t="str">
        <f>IF(AND(D606&lt;&gt;"",SUM(F602:H604)&lt;&gt;0),"X","")</f>
        <v/>
      </c>
      <c r="J606" s="2178" t="str">
        <f ca="1">IF(G606=KALKULATION!$M$283,"Auswahl erneut vornehmen (ungült. Verweis)/Text löschen!",IF(AND(H606="",SUM(F602:G604)&lt;&gt;0),"GZ fehlt oder gleich 0!)",""))</f>
        <v/>
      </c>
      <c r="K606" s="2178"/>
      <c r="L606" s="2179"/>
      <c r="M606" s="2080" t="s">
        <v>724</v>
      </c>
      <c r="N606" s="2080" t="str">
        <f>IF(N605=""," für ["&amp;N604&amp;"]"," für ["&amp;N605&amp;"]")</f>
        <v xml:space="preserve"> für [Helfer]</v>
      </c>
      <c r="O606" s="2080"/>
      <c r="P606" s="2080" t="str">
        <f>IF(N605="",""," für ["&amp;N605&amp;" | "&amp;N604&amp;"]")</f>
        <v/>
      </c>
    </row>
    <row r="607" spans="1:16" ht="17.850000000000001" customHeight="1" x14ac:dyDescent="0.25">
      <c r="A607" s="2393"/>
      <c r="B607" s="2394"/>
      <c r="C607" s="2394"/>
      <c r="D607" s="2394"/>
      <c r="E607" s="2394"/>
      <c r="F607" s="2394"/>
      <c r="G607" s="2394"/>
      <c r="H607" s="2394"/>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180" t="str">
        <f>A$472</f>
        <v>R6) GZ auf PERSONALKOSTEN (K3 Spalte B)</v>
      </c>
      <c r="B608" s="2181"/>
      <c r="C608" s="2181"/>
      <c r="D608" s="2313"/>
      <c r="E608" s="2313"/>
      <c r="F608" s="2313"/>
      <c r="G608" s="2313"/>
      <c r="H608" s="2313"/>
      <c r="I608" s="632"/>
      <c r="L608" s="216"/>
      <c r="M608" s="2083" t="s">
        <v>642</v>
      </c>
      <c r="N608" s="2084" t="str">
        <f>IF(N588="",""," in ["&amp;N588&amp;"]")</f>
        <v/>
      </c>
      <c r="O608" s="2083"/>
      <c r="P608" s="2085"/>
    </row>
    <row r="609" spans="1:20" ht="17.850000000000001" customHeight="1" x14ac:dyDescent="0.25">
      <c r="A609" s="2221" t="s">
        <v>561</v>
      </c>
      <c r="B609" s="2222"/>
      <c r="C609" s="2222"/>
      <c r="D609" s="2137"/>
      <c r="E609" s="2138"/>
      <c r="F609" s="2139"/>
      <c r="G609" s="196" t="str">
        <f>IF(D609="","",IFERROR(VLOOKUP(D609,'K2 GZ'!I$25:M$32,5,FALSE),KALKULATION!$M$283))</f>
        <v/>
      </c>
      <c r="H609" s="1057">
        <f>IF(G609=KALKULATION!$M$283,"",IF(D609="",$G$345,G609))</f>
        <v>0.28999999999999998</v>
      </c>
      <c r="I609" s="628" t="str">
        <f>IF(D609&lt;&gt;"","X","")</f>
        <v/>
      </c>
      <c r="J609" s="2178" t="str">
        <f>IF(G609=KALKULATION!$M$283,"Auswahl erneut vornehmen (ungültiger Verweis)!",IF(H609=KALKULATION!$M$283,"GZ aus K2-Blatt wählen!",""))</f>
        <v/>
      </c>
      <c r="K609" s="2178"/>
      <c r="L609" s="2179"/>
      <c r="M609" s="2080"/>
      <c r="N609" s="2086"/>
      <c r="O609" s="2080"/>
      <c r="P609" s="2082"/>
    </row>
    <row r="610" spans="1:20" ht="20.100000000000001" customHeight="1" x14ac:dyDescent="0.25">
      <c r="A610" s="1192" t="s">
        <v>393</v>
      </c>
      <c r="B610" s="839"/>
      <c r="C610" s="2347" t="str">
        <f>D572</f>
        <v>Helfer</v>
      </c>
      <c r="D610" s="2347"/>
      <c r="E610" s="2347"/>
      <c r="F610" s="625" t="s">
        <v>259</v>
      </c>
      <c r="G610" s="840">
        <f ca="1">H610/D557-1</f>
        <v>3.1591999999999998</v>
      </c>
      <c r="H610" s="841">
        <f ca="1">IFERROR(' K3 Regie3'!N$45,"??")</f>
        <v>63.76</v>
      </c>
      <c r="I610" s="632"/>
      <c r="J610" s="47"/>
      <c r="K610" s="47"/>
      <c r="L610" s="594"/>
      <c r="M610" s="2078"/>
      <c r="N610" s="2087"/>
      <c r="O610" s="2078"/>
      <c r="P610" s="2079"/>
      <c r="Q610" s="2016"/>
      <c r="R610" s="2419"/>
      <c r="S610" s="2419"/>
      <c r="T610" s="2419"/>
    </row>
    <row r="611" spans="1:20" ht="17.850000000000001" customHeight="1" x14ac:dyDescent="0.25">
      <c r="A611" s="2149" t="s">
        <v>714</v>
      </c>
      <c r="B611" s="2277"/>
      <c r="C611" s="2190" t="str">
        <f ca="1">IFERROR(VLOOKUP(A613,M612:N618,2,FALSE),KALKULATION!$M$283)</f>
        <v>Regielohnpreis gesamt für [Helfer]</v>
      </c>
      <c r="D611" s="2191"/>
      <c r="E611" s="2191"/>
      <c r="F611" s="2191"/>
      <c r="G611" s="2191"/>
      <c r="H611" s="2191"/>
      <c r="I611" s="632"/>
      <c r="J611" s="2326" t="str">
        <f ca="1">IF(OR(H609&lt;Report!$G$13,KALKULATION!H609&gt;Report!$F$13,AND(SUM(KALKULATION!F602:H604)&lt;&gt;0,OR(H606&lt;Report!$G$13,KALKULATION!H606&gt;Report!$F$13))),"Hinweis: GZ in R5.b oder R6 liegt außerhalb der empfohlenen Grenzwerte gem Blatt REPORT!","")</f>
        <v/>
      </c>
      <c r="K611" s="2326"/>
      <c r="L611" s="2327"/>
      <c r="M611" s="2088" t="s">
        <v>679</v>
      </c>
      <c r="N611" s="2088"/>
      <c r="Q611" s="2016"/>
      <c r="R611" s="2090"/>
      <c r="S611" s="2090"/>
      <c r="T611" s="2090"/>
    </row>
    <row r="612" spans="1:20" ht="17.850000000000001" customHeight="1" x14ac:dyDescent="0.25">
      <c r="A612" s="2153"/>
      <c r="B612" s="2278"/>
      <c r="C612" s="2192"/>
      <c r="D612" s="2193"/>
      <c r="E612" s="2193"/>
      <c r="F612" s="2193"/>
      <c r="G612" s="2193"/>
      <c r="H612" s="2193"/>
      <c r="I612" s="632"/>
      <c r="J612" s="2328"/>
      <c r="K612" s="2328"/>
      <c r="L612" s="2329"/>
      <c r="M612" s="2088" t="s">
        <v>717</v>
      </c>
      <c r="N612" s="2088" t="str">
        <f>N603</f>
        <v>Regielohnpreis gesamt</v>
      </c>
      <c r="Q612" s="2016"/>
      <c r="R612" s="2090"/>
      <c r="S612" s="2090"/>
      <c r="T612" s="2090"/>
    </row>
    <row r="613" spans="1:20" ht="17.850000000000001" customHeight="1" x14ac:dyDescent="0.25">
      <c r="A613" s="2270" t="s">
        <v>721</v>
      </c>
      <c r="B613" s="2271"/>
      <c r="C613" s="2194"/>
      <c r="D613" s="2195"/>
      <c r="E613" s="2195"/>
      <c r="F613" s="2195"/>
      <c r="G613" s="2195"/>
      <c r="H613" s="2195"/>
      <c r="I613" s="632"/>
      <c r="L613" s="216"/>
      <c r="M613" s="2088" t="s">
        <v>718</v>
      </c>
      <c r="N613" s="2088" t="str">
        <f>N603&amp;N606</f>
        <v>Regielohnpreis gesamt für [Helfer]</v>
      </c>
      <c r="Q613" s="2016"/>
      <c r="R613" s="2090"/>
      <c r="S613" s="2090"/>
      <c r="T613" s="2090"/>
    </row>
    <row r="614" spans="1:20" ht="17.850000000000001" customHeight="1" x14ac:dyDescent="0.25">
      <c r="A614" s="2236" t="str">
        <f>A$478</f>
        <v>Bezeichnung zusätzlich:</v>
      </c>
      <c r="B614" s="2237"/>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149" t="str">
        <f>A$479</f>
        <v>Individuelle Bezeichnung für Wahl in R7.a:</v>
      </c>
      <c r="B615" s="2277"/>
      <c r="C615" s="2371"/>
      <c r="D615" s="2372"/>
      <c r="E615" s="2372"/>
      <c r="F615" s="2372"/>
      <c r="G615" s="2372"/>
      <c r="H615" s="2372"/>
      <c r="I615" s="632"/>
      <c r="L615" s="216"/>
      <c r="M615" s="2088" t="s">
        <v>720</v>
      </c>
      <c r="N615" s="2088" t="str">
        <f ca="1">N612&amp;N607&amp;N608</f>
        <v>Regielohnpreis gesamt</v>
      </c>
      <c r="Q615" s="2016"/>
      <c r="R615" s="2090"/>
      <c r="S615" s="2090"/>
      <c r="T615" s="2090"/>
    </row>
    <row r="616" spans="1:20" ht="17.850000000000001" customHeight="1" x14ac:dyDescent="0.25">
      <c r="A616" s="2151"/>
      <c r="B616" s="2279"/>
      <c r="C616" s="2373"/>
      <c r="D616" s="2374"/>
      <c r="E616" s="2374"/>
      <c r="F616" s="2374"/>
      <c r="G616" s="2374"/>
      <c r="H616" s="2374"/>
      <c r="I616" s="632"/>
      <c r="L616" s="216"/>
      <c r="M616" s="2088" t="s">
        <v>721</v>
      </c>
      <c r="N616" s="2088" t="str">
        <f ca="1">N613&amp;N607&amp;N608</f>
        <v>Regielohnpreis gesamt für [Helfer]</v>
      </c>
      <c r="Q616" s="2016"/>
      <c r="R616" s="2090"/>
      <c r="S616" s="2090"/>
      <c r="T616" s="2090"/>
    </row>
    <row r="617" spans="1:20" ht="17.850000000000001" customHeight="1" x14ac:dyDescent="0.25">
      <c r="A617" s="2366"/>
      <c r="B617" s="2367"/>
      <c r="C617" s="2367"/>
      <c r="D617" s="2367"/>
      <c r="E617" s="2367"/>
      <c r="F617" s="2367"/>
      <c r="G617" s="2367"/>
      <c r="H617" s="2367"/>
      <c r="I617" s="2367"/>
      <c r="L617" s="216"/>
      <c r="M617" s="2088" t="s">
        <v>722</v>
      </c>
      <c r="N617" s="2088" t="str">
        <f ca="1">N614&amp;N607&amp;N608</f>
        <v>Regielohnpreis gesamt</v>
      </c>
      <c r="Q617" s="2016"/>
      <c r="R617" s="2090"/>
      <c r="S617" s="2090"/>
      <c r="T617" s="2090"/>
    </row>
    <row r="618" spans="1:20" ht="17.850000000000001" customHeight="1" x14ac:dyDescent="0.25">
      <c r="A618" s="2117" t="s">
        <v>672</v>
      </c>
      <c r="B618" s="2121"/>
      <c r="C618" s="2121"/>
      <c r="D618" s="2121"/>
      <c r="E618" s="2121"/>
      <c r="F618" s="2121"/>
      <c r="G618" s="2121"/>
      <c r="H618" s="2121"/>
      <c r="I618" s="2121"/>
      <c r="J618" s="45"/>
      <c r="L618" s="216"/>
      <c r="M618" s="2088" t="s">
        <v>716</v>
      </c>
      <c r="N618" s="2088" t="str">
        <f>IF(C615="","",C615)</f>
        <v/>
      </c>
      <c r="Q618" s="2016"/>
      <c r="R618" s="2090"/>
      <c r="S618" s="2090"/>
      <c r="T618" s="2090"/>
    </row>
    <row r="619" spans="1:20" ht="17.850000000000001" customHeight="1" x14ac:dyDescent="0.25">
      <c r="A619" s="2117"/>
      <c r="B619" s="2121"/>
      <c r="C619" s="2121"/>
      <c r="D619" s="2121"/>
      <c r="E619" s="2121"/>
      <c r="F619" s="2121"/>
      <c r="G619" s="2121"/>
      <c r="H619" s="2121"/>
      <c r="I619" s="2121"/>
      <c r="J619" s="46"/>
      <c r="K619" s="47"/>
      <c r="L619" s="594"/>
      <c r="M619" s="2016"/>
      <c r="N619" s="2016"/>
      <c r="O619" s="2016"/>
      <c r="P619" s="2016"/>
    </row>
    <row r="620" spans="1:20" ht="17.850000000000001" customHeight="1" x14ac:dyDescent="0.25">
      <c r="A620" s="2375"/>
      <c r="B620" s="2375"/>
      <c r="C620" s="2375"/>
      <c r="D620" s="2375"/>
      <c r="E620" s="2375"/>
      <c r="F620" s="2375"/>
      <c r="G620" s="2375"/>
      <c r="H620" s="2375"/>
      <c r="I620" s="2375"/>
      <c r="L620" s="216"/>
    </row>
    <row r="621" spans="1:20" ht="25.15" customHeight="1" x14ac:dyDescent="0.35">
      <c r="A621" s="2853" t="str">
        <f ca="1">$A$413&amp;" 4"&amp;IF(A625=""," [keine Beschäftigungsgruppe ausgewählt]",IF(D625=KALKULATION!$M$283," - [nicht vorhandene Beschäftigungsgruppe]"," - kalkuliert für ["&amp;LEFT(A625,40)&amp;"]"))</f>
        <v>Regielohnpreis 4 - kalkuliert für [Facharbeiter (&gt; 2Verwendungsjahr)]</v>
      </c>
      <c r="B621" s="2854"/>
      <c r="C621" s="2854"/>
      <c r="D621" s="2854"/>
      <c r="E621" s="2854"/>
      <c r="F621" s="2854"/>
      <c r="G621" s="2854"/>
      <c r="H621" s="2854"/>
      <c r="I621" s="1220"/>
      <c r="J621" s="59"/>
      <c r="K621" s="59"/>
      <c r="L621" s="593"/>
    </row>
    <row r="622" spans="1:20" ht="17.850000000000001" customHeight="1" x14ac:dyDescent="0.25">
      <c r="A622" s="2117" t="s">
        <v>533</v>
      </c>
      <c r="B622" s="2417"/>
      <c r="C622" s="2418"/>
      <c r="D622" s="2840" t="s">
        <v>1132</v>
      </c>
      <c r="E622" s="2571"/>
      <c r="F622" s="2571"/>
      <c r="G622" s="2571"/>
      <c r="H622" s="2571"/>
      <c r="I622" s="619"/>
      <c r="L622" s="216"/>
    </row>
    <row r="623" spans="1:20" ht="17.850000000000001" customHeight="1" x14ac:dyDescent="0.25">
      <c r="A623" s="2405"/>
      <c r="B623" s="2406"/>
      <c r="C623" s="2407"/>
      <c r="D623" s="2386"/>
      <c r="E623" s="2387"/>
      <c r="F623" s="2387"/>
      <c r="G623" s="2387"/>
      <c r="H623" s="2387"/>
      <c r="I623" s="619"/>
      <c r="L623" s="216"/>
    </row>
    <row r="624" spans="1:20" ht="17.850000000000001" customHeight="1" thickBot="1" x14ac:dyDescent="0.3">
      <c r="A624" s="2266" t="s">
        <v>380</v>
      </c>
      <c r="B624" s="2266"/>
      <c r="C624" s="2266"/>
      <c r="D624" s="2266"/>
      <c r="E624" s="715" t="s">
        <v>18</v>
      </c>
      <c r="F624" s="715" t="s">
        <v>68</v>
      </c>
      <c r="G624" s="1011" t="s">
        <v>72</v>
      </c>
      <c r="H624" s="1120" t="s">
        <v>73</v>
      </c>
      <c r="I624" s="619"/>
      <c r="L624" s="216"/>
    </row>
    <row r="625" spans="1:12" ht="17.850000000000001" customHeight="1" thickTop="1" thickBot="1" x14ac:dyDescent="0.3">
      <c r="A625" s="2214" t="s">
        <v>1135</v>
      </c>
      <c r="B625" s="2215"/>
      <c r="C625" s="2216"/>
      <c r="D625" s="51">
        <f ca="1">IFERROR(VLOOKUP(A625,Stammdaten!A$7:D$33,4,FALSE),$M$283)</f>
        <v>18.75</v>
      </c>
      <c r="E625" s="520">
        <v>1</v>
      </c>
      <c r="F625" s="521">
        <v>1</v>
      </c>
      <c r="G625" s="349">
        <f ca="1">IFERROR(VLOOKUP(A625,Stammdaten!A$7:F$33,4,FALSE)*F625,"")</f>
        <v>18.75</v>
      </c>
      <c r="H625" s="522">
        <f ca="1">IFERROR(VLOOKUP(A625,Stammdaten!A$7:F$33,6,FALSE)*F625,"")</f>
        <v>2.81</v>
      </c>
      <c r="I625" s="619"/>
      <c r="J625" s="2178" t="str">
        <f ca="1">IF(D625=KALKULATION!$M$283,"Auswahl erneut vornehmen (ungültiger Verweis)!","")</f>
        <v/>
      </c>
      <c r="K625" s="2178"/>
      <c r="L625" s="2179"/>
    </row>
    <row r="626" spans="1:12" ht="17.850000000000001" customHeight="1" x14ac:dyDescent="0.25">
      <c r="A626" s="2323" t="s">
        <v>92</v>
      </c>
      <c r="B626" s="2324"/>
      <c r="C626" s="2324"/>
      <c r="D626" s="2325"/>
      <c r="E626" s="49">
        <f>E625</f>
        <v>1</v>
      </c>
      <c r="F626" s="50">
        <v>1</v>
      </c>
      <c r="G626" s="51">
        <f ca="1">IF(AND(_OK?="OK!",_OK_KV?="OK_KV!"),SUM(G625),ROUNDUP(G625,0))</f>
        <v>19</v>
      </c>
      <c r="H626" s="84">
        <f ca="1">SUM(H625:H625)</f>
        <v>2.81</v>
      </c>
      <c r="I626" s="620" t="str">
        <f ca="1">IF(OR(_OK?&lt;&gt;"OK!",_OK_KV?&lt;&gt;"OK_KV!"),"X","")</f>
        <v>X</v>
      </c>
      <c r="J626" s="1112"/>
      <c r="K626" s="1112"/>
      <c r="L626" s="270"/>
    </row>
    <row r="627" spans="1:12" ht="17.850000000000001" customHeight="1" x14ac:dyDescent="0.25">
      <c r="A627" s="2142" t="s">
        <v>895</v>
      </c>
      <c r="B627" s="2143"/>
      <c r="C627" s="2143"/>
      <c r="D627" s="2143"/>
      <c r="E627" s="2143"/>
      <c r="F627" s="2143"/>
      <c r="G627" s="2143"/>
      <c r="H627" s="2143"/>
      <c r="I627" s="619"/>
      <c r="J627" s="1112"/>
      <c r="K627" s="1112"/>
      <c r="L627" s="216"/>
    </row>
    <row r="628" spans="1:12" ht="17.850000000000001" customHeight="1" thickBot="1" x14ac:dyDescent="0.3">
      <c r="A628" s="2395"/>
      <c r="B628" s="2396"/>
      <c r="C628" s="2397"/>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78" t="str">
        <f ca="1">IF(OR(COUNTA(A628,E628)=2,COUNTA(A628,E628)=0),IF(D628=KALKULATION!$M$283,"Auswahl erneut vornehmen (ungültiger Verweis)!",""),"Eingabe unvollständig (ergänzen oder löschen)!")</f>
        <v/>
      </c>
      <c r="K628" s="2178"/>
      <c r="L628" s="217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78" t="str">
        <f ca="1">IF(E629&gt;=E626,"Unzulässige Umlage (R2 größer/gleich R1)!!!",IF(AND(E629&lt;&gt;0,G626=0),"Beschäftigungsgruppe in R1 wählen!",""))</f>
        <v/>
      </c>
      <c r="K629" s="2178"/>
      <c r="L629" s="2179"/>
    </row>
    <row r="630" spans="1:12" ht="17.850000000000001" customHeight="1" x14ac:dyDescent="0.25">
      <c r="A630" s="2134" t="s">
        <v>699</v>
      </c>
      <c r="B630" s="2135"/>
      <c r="C630" s="2135"/>
      <c r="D630" s="2135"/>
      <c r="E630" s="2135"/>
      <c r="F630" s="2135"/>
      <c r="G630" s="2135"/>
      <c r="H630" s="572">
        <v>0</v>
      </c>
      <c r="I630" s="622"/>
      <c r="L630" s="216"/>
    </row>
    <row r="631" spans="1:12" ht="17.850000000000001" customHeight="1" x14ac:dyDescent="0.25">
      <c r="A631" s="2287"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88"/>
      <c r="C631" s="2288"/>
      <c r="D631" s="2288"/>
      <c r="E631" s="2288"/>
      <c r="F631" s="2288"/>
      <c r="G631" s="367">
        <f>IF(H630=1,E626,E626-E629)</f>
        <v>1</v>
      </c>
      <c r="H631" s="367">
        <f>E629</f>
        <v>0</v>
      </c>
      <c r="I631" s="619"/>
      <c r="J631" s="2176" t="str">
        <f>IF(AND(ISBLANK(H630),E629&lt;&gt;0),"Kennzeichen eingeben! Es sind unprod. Zeiten kalkuliert.","")</f>
        <v/>
      </c>
      <c r="K631" s="2176"/>
      <c r="L631" s="2177"/>
    </row>
    <row r="632" spans="1:12" ht="17.850000000000001" customHeight="1" x14ac:dyDescent="0.25">
      <c r="A632" s="2284"/>
      <c r="B632" s="2285"/>
      <c r="C632" s="2285"/>
      <c r="D632" s="2285"/>
      <c r="E632" s="2285"/>
      <c r="F632" s="2285"/>
      <c r="G632" s="2285"/>
      <c r="H632" s="2285"/>
      <c r="I632" s="619"/>
      <c r="J632" s="2280" t="str">
        <f>IFERROR(IF(H631/G631&gt;Report!$F$7,"Hinweis: Unproduktiver Anteil erscheint hoch!",""),"Der unprod. Anteil löst eine Division mit 0 aus!")</f>
        <v/>
      </c>
      <c r="K632" s="2280"/>
      <c r="L632" s="2281"/>
    </row>
    <row r="633" spans="1:12" ht="17.850000000000001" customHeight="1" thickBot="1" x14ac:dyDescent="0.3">
      <c r="A633" s="2144" t="s">
        <v>382</v>
      </c>
      <c r="B633" s="2145"/>
      <c r="C633" s="2146"/>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19</v>
      </c>
      <c r="E634" s="707">
        <f ca="1">G631*H626</f>
        <v>2.81</v>
      </c>
      <c r="F634" s="708" t="s">
        <v>204</v>
      </c>
      <c r="G634" s="685">
        <f ca="1">D634</f>
        <v>19</v>
      </c>
      <c r="H634" s="686">
        <f ca="1">IF(D637=_Ja,"",D636)</f>
        <v>19</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2.81</v>
      </c>
      <c r="I635" s="619"/>
      <c r="L635" s="216"/>
    </row>
    <row r="636" spans="1:12" ht="17.850000000000001" customHeight="1" x14ac:dyDescent="0.25">
      <c r="A636" s="695"/>
      <c r="B636" s="696"/>
      <c r="C636" s="697" t="s">
        <v>56</v>
      </c>
      <c r="D636" s="698">
        <f ca="1">SUM(D634:D635)</f>
        <v>19</v>
      </c>
      <c r="E636" s="699">
        <f ca="1">SUM(E634:E635)</f>
        <v>2.81</v>
      </c>
      <c r="F636" s="710" t="s">
        <v>86</v>
      </c>
      <c r="G636" s="711">
        <f ca="1">G635/G634</f>
        <v>0</v>
      </c>
      <c r="H636" s="712">
        <f ca="1">IF(D637=_Ja,$H$73,H635/H634)</f>
        <v>0.1479</v>
      </c>
      <c r="I636" s="623" t="str">
        <f>IF(D637=_Ja,"X","")</f>
        <v/>
      </c>
      <c r="L636" s="216"/>
    </row>
    <row r="637" spans="1:12" ht="17.850000000000001" customHeight="1" thickBot="1" x14ac:dyDescent="0.3">
      <c r="A637" s="2756" t="str">
        <f ca="1">"Ø AKV Pkt B ist "&amp;TEXT($H$73,"0,00%")&amp;". Beibehalten?"</f>
        <v>Ø AKV Pkt B ist 14,50%. Beibehalten?</v>
      </c>
      <c r="B637" s="2757"/>
      <c r="C637" s="2758"/>
      <c r="D637" s="826" t="s">
        <v>193</v>
      </c>
      <c r="E637" s="2208" t="s">
        <v>383</v>
      </c>
      <c r="F637" s="2209"/>
      <c r="G637" s="378"/>
      <c r="H637" s="379"/>
      <c r="I637" s="623" t="str">
        <f>IF(OR(G637&lt;&gt;0,H637&lt;&gt;0),"X","")</f>
        <v/>
      </c>
      <c r="L637" s="216"/>
    </row>
    <row r="638" spans="1:12" ht="17.850000000000001" customHeight="1" x14ac:dyDescent="0.25">
      <c r="A638" s="2217"/>
      <c r="B638" s="2218"/>
      <c r="C638" s="2218"/>
      <c r="D638" s="2218"/>
      <c r="E638" s="2187" t="s">
        <v>556</v>
      </c>
      <c r="F638" s="2188"/>
      <c r="G638" s="86">
        <f ca="1">SUM(G636,G637)</f>
        <v>0</v>
      </c>
      <c r="H638" s="154">
        <f ca="1">SUM(H636,H637)</f>
        <v>0.1479</v>
      </c>
      <c r="I638" s="619"/>
      <c r="L638" s="216"/>
    </row>
    <row r="639" spans="1:12" ht="17.850000000000001" customHeight="1" x14ac:dyDescent="0.25">
      <c r="A639" s="2210"/>
      <c r="B639" s="2211"/>
      <c r="C639" s="2211"/>
      <c r="D639" s="2211"/>
      <c r="E639" s="2210"/>
      <c r="F639" s="2220"/>
      <c r="G639" s="368" t="s">
        <v>121</v>
      </c>
      <c r="H639" s="369" t="s">
        <v>122</v>
      </c>
      <c r="I639" s="619"/>
      <c r="L639" s="216"/>
    </row>
    <row r="640" spans="1:12" ht="17.850000000000001" customHeight="1" x14ac:dyDescent="0.25">
      <c r="A640" s="1193" t="s">
        <v>384</v>
      </c>
      <c r="B640" s="836"/>
      <c r="C640" s="836"/>
      <c r="D640" s="2189" t="str">
        <f>IF(A625=0,"Beschäfftigungsgruppe wählen!",A625)</f>
        <v>Facharbeiter (&gt; 2Verwendungsjahr)</v>
      </c>
      <c r="E640" s="2189"/>
      <c r="F640" s="2189"/>
      <c r="G640" s="2189"/>
      <c r="H640" s="838">
        <f ca="1">IFERROR(' K3 Regie4'!N$45,"??")</f>
        <v>103.2</v>
      </c>
      <c r="I640" s="619"/>
      <c r="L640" s="216"/>
    </row>
    <row r="641" spans="1:18" ht="17.850000000000001" customHeight="1" x14ac:dyDescent="0.25">
      <c r="A641" s="875" t="s">
        <v>632</v>
      </c>
      <c r="B641" s="876"/>
      <c r="C641" s="876"/>
      <c r="D641" s="876"/>
      <c r="E641" s="876"/>
      <c r="F641" s="876"/>
      <c r="G641" s="876"/>
      <c r="H641" s="876"/>
      <c r="I641" s="619"/>
      <c r="J641" s="2183" t="str">
        <f>IF(OR(I642="X",I647="X"),M$301,"")</f>
        <v>Hinweis: IdR enthalten Regiepreise keinen Ansatz für Zulagen (R4.a) und Mehrarbeitszuschläge (R4.b). Vertrag beachten!</v>
      </c>
      <c r="K641" s="2183"/>
      <c r="L641" s="2184"/>
    </row>
    <row r="642" spans="1:18" ht="17.850000000000001" customHeight="1" x14ac:dyDescent="0.25">
      <c r="A642" s="2134" t="s">
        <v>704</v>
      </c>
      <c r="B642" s="2135"/>
      <c r="C642" s="2136"/>
      <c r="D642" s="865" t="s">
        <v>702</v>
      </c>
      <c r="E642" s="2137" t="s">
        <v>902</v>
      </c>
      <c r="F642" s="2138"/>
      <c r="G642" s="2139"/>
      <c r="H642" s="1010">
        <f>IFERROR(VLOOKUP(E642,M642:N644,2,FALSE),"")</f>
        <v>0</v>
      </c>
      <c r="I642" s="623" t="str">
        <f>IF(E642&lt;&gt;M642,"X","")</f>
        <v/>
      </c>
      <c r="J642" s="2183"/>
      <c r="K642" s="2183"/>
      <c r="L642" s="2184"/>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0.01</v>
      </c>
    </row>
    <row r="644" spans="1:18" ht="30" customHeight="1" thickTop="1" x14ac:dyDescent="0.25">
      <c r="A644" s="2185"/>
      <c r="B644" s="2186"/>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27" t="str">
        <f>VLOOKUP(E647,M647:Q650,5,FALSE)</f>
        <v>Hinweis zu R4.b - 4.) Wenn ein Regiepreis unter kalkulatorischer Beachtung zeitlicher Rahmenbedingungen zu nennen ist, ist diese Auswahl zutreffend. Mehrarbeitszuschläge und Verr.std.zuschläge lassen sich individuell getrennt erfassen.</v>
      </c>
      <c r="K644" s="2227"/>
      <c r="L644" s="222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19</v>
      </c>
      <c r="F645" s="870">
        <f ca="1">IFERROR(F644/E645,0)</f>
        <v>0</v>
      </c>
      <c r="G645" s="868" t="str">
        <f ca="1">IF(G644=0,"",$G$131)</f>
        <v/>
      </c>
      <c r="H645" s="1007">
        <f ca="1">IFERROR(H644*G645,0)</f>
        <v>0</v>
      </c>
      <c r="I645" s="619"/>
      <c r="J645" s="2227"/>
      <c r="K645" s="2227"/>
      <c r="L645" s="2228"/>
    </row>
    <row r="646" spans="1:18" ht="17.850000000000001" customHeight="1" x14ac:dyDescent="0.25">
      <c r="A646" s="392" t="s">
        <v>768</v>
      </c>
      <c r="B646" s="67"/>
      <c r="C646" s="346"/>
      <c r="D646" s="346"/>
      <c r="E646" s="346"/>
      <c r="F646" s="498"/>
      <c r="G646" s="346"/>
      <c r="H646" s="92">
        <f>IF(E642=M644,SUM(F645,H645),H642)</f>
        <v>0</v>
      </c>
      <c r="I646" s="619"/>
      <c r="J646" s="2227"/>
      <c r="K646" s="2227"/>
      <c r="L646" s="222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142" t="s">
        <v>564</v>
      </c>
      <c r="B647" s="2143"/>
      <c r="C647" s="2143"/>
      <c r="D647" s="927" t="s">
        <v>770</v>
      </c>
      <c r="E647" s="2137" t="s">
        <v>878</v>
      </c>
      <c r="F647" s="2138"/>
      <c r="G647" s="2138"/>
      <c r="H647" s="1010" t="str">
        <f>IFERROR(VLOOKUP(E647,M647:N650,2,FALSE),"")</f>
        <v>berechnen:</v>
      </c>
      <c r="I647" s="623" t="str">
        <f>IF(E647&lt;&gt;M647,"X","")</f>
        <v>X</v>
      </c>
      <c r="J647" s="2227"/>
      <c r="K647" s="2227"/>
      <c r="L647" s="222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321" t="s">
        <v>563</v>
      </c>
      <c r="B648" s="2322"/>
      <c r="C648" s="2322"/>
      <c r="D648" s="2322"/>
      <c r="E648" s="553" t="s">
        <v>378</v>
      </c>
      <c r="F648" s="524" t="s">
        <v>192</v>
      </c>
      <c r="G648" s="925">
        <v>1</v>
      </c>
      <c r="H648" s="607"/>
      <c r="I648" s="623" t="str">
        <f>IF(AND(E647=M650,F648=_Ja),"X","")</f>
        <v>X</v>
      </c>
      <c r="J648" s="2176" t="str">
        <f>IF(OR(F648=$Q$31,F648=$Q$32),"","Bitte Ja oder Nein wählen!")</f>
        <v/>
      </c>
      <c r="K648" s="2176"/>
      <c r="L648" s="2177"/>
      <c r="M648" s="2014" t="str">
        <f>M$444</f>
        <v>2. Regie mit Ø-Zuschlag wie K3 Zeile 8</v>
      </c>
      <c r="N648" s="1999">
        <f t="shared" ref="N648:Q648" ca="1" si="64">N$444</f>
        <v>2.9000000000000001E-2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22" t="s">
        <v>934</v>
      </c>
      <c r="C649" s="2123"/>
      <c r="D649" s="2124"/>
      <c r="E649" s="542">
        <f ca="1">IF(OR(ISBLANK(B649),F648=_Nein),"",IFERROR(VLOOKUP(B649,Stammdaten!A$39:C$48,3,FALSE),KALKULATION!$M$283))</f>
        <v>0.5</v>
      </c>
      <c r="F649" s="1101"/>
      <c r="G649" s="544"/>
      <c r="H649" s="608"/>
      <c r="I649" s="623"/>
      <c r="J649" s="2178" t="str">
        <f ca="1">IF(F648&lt;&gt;$Q$31,"",IF(AND(E649=KALKULATION!$M$283,F648=$Q$31),"Auswahl erneut vornehmen (ungültiger Verweis)!",IF(OR(AND(F648=$Q$31,B649=""),AND(F648=$Q$32,B649&lt;&gt;"")),"Eingabe unvollständig (ergänzen,  löschen od Nein wählen)!","")))</f>
        <v/>
      </c>
      <c r="K649" s="2178"/>
      <c r="L649" s="2179"/>
      <c r="M649" s="2014" t="str">
        <f>M$445</f>
        <v>3. Regie mit Std-Zuschlag wie K3</v>
      </c>
      <c r="N649" s="1999">
        <f t="shared" ref="N649:Q649" ca="1" si="65">N$445</f>
        <v>0.57750000000000001</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297" t="s">
        <v>135</v>
      </c>
      <c r="B650" s="2298"/>
      <c r="C650" s="2298"/>
      <c r="D650" s="2298"/>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33" t="s">
        <v>560</v>
      </c>
      <c r="B651" s="2234"/>
      <c r="C651" s="2234"/>
      <c r="D651" s="2234"/>
      <c r="E651" s="2235"/>
      <c r="F651" s="351">
        <v>4</v>
      </c>
      <c r="G651" s="546">
        <f ca="1">IF(F651=1,1,IF(F651=2,((' K3 Regie4'!O$23+' K3 Regie4'!O$24)/' K3 Regie4'!O$23),IF(F651&gt;2,((' K3 Regie4'!O$23+' K3 Regie4'!O$24+' K3 Regie4'!O$25)/' K3 Regie4'!O$23),"")))</f>
        <v>1.1479999999999999</v>
      </c>
      <c r="H651" s="608">
        <f ca="1">IFERROR(IF(AND(F648=$Q$31,F651&gt;0),(E649*E650*G651),""),"??")</f>
        <v>0.57399999999999995</v>
      </c>
      <c r="I651" s="623"/>
      <c r="J651" s="1090" t="str">
        <f>IF(F648&lt;&gt;$Q$31,"",IF(AND(ISBLANK(F651),F648=$Q$31),"Kennzeichen setzen!",""))</f>
        <v/>
      </c>
      <c r="K651" s="1090"/>
      <c r="L651" s="365"/>
      <c r="M651" s="2069" t="s">
        <v>866</v>
      </c>
      <c r="R651" s="1965"/>
    </row>
    <row r="652" spans="1:18" ht="17.850000000000001" customHeight="1" x14ac:dyDescent="0.25">
      <c r="A652" s="2321" t="s">
        <v>565</v>
      </c>
      <c r="B652" s="2322"/>
      <c r="C652" s="2322"/>
      <c r="D652" s="2322"/>
      <c r="E652" s="553" t="s">
        <v>378</v>
      </c>
      <c r="F652" s="524" t="s">
        <v>193</v>
      </c>
      <c r="G652" s="543"/>
      <c r="H652" s="607"/>
      <c r="I652" s="623" t="str">
        <f>IF(AND(E647=M650,F652=_Ja),"X","")</f>
        <v/>
      </c>
      <c r="J652" s="2176"/>
      <c r="K652" s="2176"/>
      <c r="L652" s="2177"/>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22"/>
      <c r="C653" s="2123"/>
      <c r="D653" s="2124"/>
      <c r="E653" s="549" t="str">
        <f>IF(OR(ISBLANK(B653),F652=_Nein),"",IFERROR(VLOOKUP(B653,Stammdaten!A$50:C$54,3,FALSE),KALKULATION!$M$283))</f>
        <v/>
      </c>
      <c r="F653" s="1101"/>
      <c r="G653" s="544"/>
      <c r="H653" s="608"/>
      <c r="I653" s="623"/>
      <c r="J653" s="2178" t="str">
        <f>IF(F652&lt;&gt;$Q$31,"",IF(AND(E653=KALKULATION!$M$283,F652=$Q$31),"Auswahl erneut vornehmen (ungültiger Verweis)!",IF(OR(AND(F652=$Q$31,B653=""),AND(F652=$Q$32,B653&lt;&gt;"")),"Eingabe unvollständig (ergänzen,  löschen od Nein wählen)!","")))</f>
        <v/>
      </c>
      <c r="K653" s="2178"/>
      <c r="L653" s="2179"/>
      <c r="M653" s="1342" t="s">
        <v>863</v>
      </c>
      <c r="N653" s="2071" t="str">
        <f>IF(AND(E647=M650,F652=_Ja),B653,"")</f>
        <v/>
      </c>
      <c r="O653" s="2072"/>
      <c r="P653" s="1999" t="str">
        <f>IF(N653="","",E653)</f>
        <v/>
      </c>
      <c r="Q653" s="1951"/>
      <c r="R653" s="2073"/>
    </row>
    <row r="654" spans="1:18" ht="17.850000000000001" customHeight="1" x14ac:dyDescent="0.25">
      <c r="A654" s="2241" t="s">
        <v>198</v>
      </c>
      <c r="B654" s="2242"/>
      <c r="C654" s="2242"/>
      <c r="D654" s="2242"/>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33" t="str">
        <f>A651</f>
        <v xml:space="preserve">  Basis für die Aufzahlung in % (siehe Pkt C0; KZ = 1, 2, 3 od. 4):  ↓</v>
      </c>
      <c r="B655" s="2234"/>
      <c r="C655" s="2234"/>
      <c r="D655" s="2234"/>
      <c r="E655" s="2235"/>
      <c r="F655" s="351">
        <v>1</v>
      </c>
      <c r="G655" s="546">
        <f>IF(F655=1,1,IF(F655=2,((' K3 Regie4'!O$23+' K3 Regie4'!O$24)/' K3 Regie4'!O$23),IF(F655&gt;2,((' K3 Regie4'!O$23+' K3 Regie4'!O$24+' K3 Regie4'!O$25)/' K3 Regie4'!O$23),"")))</f>
        <v>1</v>
      </c>
      <c r="H655" s="608" t="str">
        <f>IFERROR(IF(F652=$Q$31,(E653*E654*G655),""),"??")</f>
        <v/>
      </c>
      <c r="I655" s="623"/>
      <c r="J655" s="2176" t="str">
        <f>IF(F652&lt;&gt;$Q$31,"",IF(AND(ISBLANK(F655),F652=$Q$31),"Kennzeichen setzen!",""))</f>
        <v/>
      </c>
      <c r="K655" s="2176"/>
      <c r="L655" s="360"/>
      <c r="M655" s="1342" t="s">
        <v>868</v>
      </c>
      <c r="N655" s="1342">
        <f>IF(AND(N653&lt;&gt;"",N654&lt;&gt;""),2,IF(N653&amp;N654="",0,1))</f>
        <v>0</v>
      </c>
      <c r="R655" s="1965"/>
    </row>
    <row r="656" spans="1:18" ht="17.850000000000001" customHeight="1" x14ac:dyDescent="0.25">
      <c r="A656" s="2321" t="s">
        <v>566</v>
      </c>
      <c r="B656" s="2322"/>
      <c r="C656" s="2322"/>
      <c r="D656" s="2322"/>
      <c r="E656" s="553" t="s">
        <v>378</v>
      </c>
      <c r="F656" s="524" t="s">
        <v>193</v>
      </c>
      <c r="G656" s="547"/>
      <c r="H656" s="610"/>
      <c r="I656" s="623" t="str">
        <f>IF(AND(E647=M650,F656=_Ja),"X","")</f>
        <v/>
      </c>
      <c r="J656" s="2176"/>
      <c r="K656" s="2176"/>
      <c r="L656" s="2177"/>
      <c r="M656" s="1967"/>
      <c r="N656" s="2075" t="str">
        <f>IF(N655=2," "&amp;N653&amp;" "&amp;", "&amp;N654,IF(N655=1," "&amp;N653&amp;N654,""))</f>
        <v/>
      </c>
      <c r="O656" s="2075"/>
      <c r="P656" s="1967"/>
      <c r="Q656" s="1967"/>
      <c r="R656" s="1974"/>
    </row>
    <row r="657" spans="1:16" ht="17.850000000000001" customHeight="1" x14ac:dyDescent="0.25">
      <c r="A657" s="552" t="s">
        <v>379</v>
      </c>
      <c r="B657" s="2123"/>
      <c r="C657" s="2123"/>
      <c r="D657" s="2123"/>
      <c r="E657" s="550" t="str">
        <f>IF(OR(ISBLANK(B657),F656=_Nein),"",IFERROR(VLOOKUP(B657,Stammdaten!A$57:C$61,2,FALSE),KALKULATION!$M$283))</f>
        <v/>
      </c>
      <c r="F657" s="551" t="s">
        <v>197</v>
      </c>
      <c r="G657" s="548">
        <f ca="1">' K3 Regie4'!$O$21</f>
        <v>19</v>
      </c>
      <c r="H657" s="611" t="str">
        <f>IFERROR(IF(F656=$Q$31,E657/G657,""),"??")</f>
        <v/>
      </c>
      <c r="I657" s="623"/>
      <c r="J657" s="271" t="str">
        <f>IF(AND(F656=$Q$31,B657=""),"Eingabe unvollständig (ergänzen od Nein wählen)!","")</f>
        <v/>
      </c>
      <c r="L657" s="216"/>
    </row>
    <row r="658" spans="1:16" ht="17.850000000000001" customHeight="1" x14ac:dyDescent="0.25">
      <c r="A658" s="2221" t="s">
        <v>391</v>
      </c>
      <c r="B658" s="2222"/>
      <c r="C658" s="2222"/>
      <c r="D658" s="2222"/>
      <c r="E658" s="373"/>
      <c r="F658" s="377" t="str">
        <f>IF(F652=$Q$31,B653,IF(F656=$Q$31,B657,""))</f>
        <v/>
      </c>
      <c r="G658" s="377" t="str">
        <f>IF(F652=$Q$31,TEXT(H655,"0%"),IF(F656=$Q$31,TEXT(G657,"0,00€"),""))</f>
        <v/>
      </c>
      <c r="H658" s="612">
        <f ca="1">IF(E647=M650,SUM(H648:H657),H647)</f>
        <v>0.57399999999999995</v>
      </c>
      <c r="I658" s="624"/>
      <c r="L658" s="216"/>
    </row>
    <row r="659" spans="1:16" ht="17.850000000000001" customHeight="1" x14ac:dyDescent="0.25">
      <c r="A659" s="2199" t="str">
        <f>A$455</f>
        <v>Standardmäßig sind die Werte aus der Mittelpersonal-preiskalkulation (Blatt K3_PP) übernommen; sie sind überschreibbar.</v>
      </c>
      <c r="B659" s="2200"/>
      <c r="C659" s="2200"/>
      <c r="D659" s="2201"/>
      <c r="E659" s="2196" t="str">
        <f>E$455</f>
        <v xml:space="preserve">Standard-werte sind
</v>
      </c>
      <c r="F659" s="2196"/>
      <c r="G659" s="2196" t="str">
        <f>G$455</f>
        <v>Optional überschrei-ben mit:</v>
      </c>
      <c r="H659" s="2125" t="str">
        <f>H$455</f>
        <v>Übertrag in K3 Regie</v>
      </c>
      <c r="I659" s="624"/>
      <c r="L659" s="216"/>
    </row>
    <row r="660" spans="1:16" ht="17.850000000000001" customHeight="1" x14ac:dyDescent="0.25">
      <c r="A660" s="2202"/>
      <c r="B660" s="2203"/>
      <c r="C660" s="2203"/>
      <c r="D660" s="2204"/>
      <c r="E660" s="2197"/>
      <c r="F660" s="2197"/>
      <c r="G660" s="2197"/>
      <c r="H660" s="2126"/>
      <c r="I660" s="624"/>
      <c r="L660" s="216"/>
    </row>
    <row r="661" spans="1:16" ht="17.850000000000001" customHeight="1" thickBot="1" x14ac:dyDescent="0.3">
      <c r="A661" s="2205"/>
      <c r="B661" s="2206"/>
      <c r="C661" s="2206"/>
      <c r="D661" s="2207"/>
      <c r="E661" s="2198"/>
      <c r="F661" s="2198"/>
      <c r="G661" s="2198"/>
      <c r="H661" s="2127"/>
      <c r="I661" s="624"/>
      <c r="L661" s="216"/>
    </row>
    <row r="662" spans="1:16" ht="17.850000000000001" customHeight="1" thickTop="1" x14ac:dyDescent="0.25">
      <c r="A662" s="2134" t="s">
        <v>386</v>
      </c>
      <c r="B662" s="2135"/>
      <c r="C662" s="2135"/>
      <c r="D662" s="2136"/>
      <c r="E662" s="51">
        <f ca="1">$H$228</f>
        <v>2.8</v>
      </c>
      <c r="F662" s="1887">
        <f>H631/G631</f>
        <v>0</v>
      </c>
      <c r="G662" s="364"/>
      <c r="H662" s="361">
        <f ca="1">IF(ISBLANK(G662),E662*(1+F662),G662)</f>
        <v>2.8</v>
      </c>
      <c r="I662" s="623" t="str">
        <f>IF(ISBLANK(G662),"","X")</f>
        <v/>
      </c>
      <c r="L662" s="216"/>
    </row>
    <row r="663" spans="1:16" ht="17.850000000000001" customHeight="1" x14ac:dyDescent="0.25">
      <c r="A663" s="2134" t="s">
        <v>387</v>
      </c>
      <c r="B663" s="2135"/>
      <c r="C663" s="2135"/>
      <c r="D663" s="2136"/>
      <c r="E663" s="48">
        <f ca="1">IF(E642=M643,$G$227,$G$229)</f>
        <v>1.1000000000000001</v>
      </c>
      <c r="F663" s="1888">
        <f>H631/G631</f>
        <v>0</v>
      </c>
      <c r="G663" s="341"/>
      <c r="H663" s="362">
        <f ca="1">IF(ISBLANK(G663),E663*(1+F663),G663)</f>
        <v>1.1000000000000001</v>
      </c>
      <c r="I663" s="623" t="str">
        <f>IF(ISBLANK(G663),"","X")</f>
        <v/>
      </c>
      <c r="L663" s="216"/>
    </row>
    <row r="664" spans="1:16" ht="17.850000000000001" customHeight="1" x14ac:dyDescent="0.25">
      <c r="A664" s="2134" t="s">
        <v>388</v>
      </c>
      <c r="B664" s="2135"/>
      <c r="C664" s="2135"/>
      <c r="D664" s="2136"/>
      <c r="E664" s="157">
        <f ca="1">$H$236</f>
        <v>0.28000000000000003</v>
      </c>
      <c r="F664" s="156"/>
      <c r="G664" s="337"/>
      <c r="H664" s="363">
        <f ca="1">IF(ISBLANK(G664),E664,G664)</f>
        <v>0.28000000000000003</v>
      </c>
      <c r="I664" s="623" t="str">
        <f ca="1">IF(OR(G664&lt;&gt;0,E664&lt;&gt;H664),"X","")</f>
        <v/>
      </c>
      <c r="J664" s="2293" t="str">
        <f>IF(G664="","","Hinweis: DPNK lassen sich genau bestimmen/nachrechnen!")</f>
        <v/>
      </c>
      <c r="K664" s="2293"/>
      <c r="L664" s="2294"/>
    </row>
    <row r="665" spans="1:16" ht="17.850000000000001" customHeight="1" x14ac:dyDescent="0.25">
      <c r="A665" s="2134" t="s">
        <v>389</v>
      </c>
      <c r="B665" s="2135"/>
      <c r="C665" s="2135"/>
      <c r="D665" s="2136"/>
      <c r="E665" s="157">
        <f ca="1">$H$265</f>
        <v>0.72</v>
      </c>
      <c r="F665" s="156"/>
      <c r="G665" s="337"/>
      <c r="H665" s="363">
        <f ca="1">IF(ISBLANK(G665),E665,G665)</f>
        <v>0.72</v>
      </c>
      <c r="I665" s="623" t="str">
        <f ca="1">IF(OR(G665&lt;&gt;0,E665&lt;&gt;H665),"X","")</f>
        <v/>
      </c>
      <c r="L665" s="216"/>
    </row>
    <row r="666" spans="1:16" ht="17.850000000000001" customHeight="1" x14ac:dyDescent="0.25">
      <c r="A666" s="2134" t="s">
        <v>390</v>
      </c>
      <c r="B666" s="2135"/>
      <c r="C666" s="2135"/>
      <c r="D666" s="2136"/>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4" t="s">
        <v>594</v>
      </c>
      <c r="B667" s="2136"/>
      <c r="C667" s="199">
        <f>$E$306</f>
        <v>0.06</v>
      </c>
      <c r="D667" s="48">
        <f ca="1">$F$307</f>
        <v>3.46</v>
      </c>
      <c r="E667" s="338"/>
      <c r="F667" s="364"/>
      <c r="G667" s="363">
        <f>IF(ISBLANK(E667),C667,E667)</f>
        <v>0.06</v>
      </c>
      <c r="H667" s="361">
        <f ca="1">IF(ISBLANK(F667),D667,F667)</f>
        <v>3.46</v>
      </c>
      <c r="I667" s="623" t="str">
        <f>IF(OR(F667&lt;&gt;0,E667&lt;&gt;0),"X","")</f>
        <v/>
      </c>
      <c r="L667" s="216"/>
    </row>
    <row r="668" spans="1:16" ht="17.850000000000001" customHeight="1" x14ac:dyDescent="0.25">
      <c r="A668" s="2142" t="str">
        <f ca="1">"R5)"&amp;IF($G$327=0," Keine Umlagen unter Pkt H1 bzw H2 angelgt!"," Umlagen (K3 Spalte A)")</f>
        <v>R5) Keine Umlagen unter Pkt H1 bzw H2 angelgt!</v>
      </c>
      <c r="B668" s="2143"/>
      <c r="C668" s="2143"/>
      <c r="D668" s="2143"/>
      <c r="E668" s="2143"/>
      <c r="F668" s="2143"/>
      <c r="G668" s="2143"/>
      <c r="H668" s="2143"/>
      <c r="I668" s="621"/>
      <c r="L668" s="216"/>
    </row>
    <row r="669" spans="1:16" ht="17.850000000000001" customHeight="1" thickBot="1" x14ac:dyDescent="0.3">
      <c r="A669" s="2314" t="s">
        <v>562</v>
      </c>
      <c r="B669" s="2315"/>
      <c r="C669" s="2315"/>
      <c r="D669" s="2315"/>
      <c r="E669" s="523" t="str">
        <f ca="1">IF(SUM(F670:G672)&lt;&gt;$H$327,"!","")</f>
        <v/>
      </c>
      <c r="F669" s="715" t="s">
        <v>69</v>
      </c>
      <c r="G669" s="747" t="s">
        <v>673</v>
      </c>
      <c r="H669" s="1008">
        <f ca="1">' K3 Regie4'!O33</f>
        <v>72.209999999999994</v>
      </c>
      <c r="I669" s="621"/>
      <c r="J669" s="2319" t="str">
        <f ca="1">IF(E669="!","Hinweis: Es sind nicht alle oder andere Umlagen wie oben (Pkt H) für K3 ausgewählt! Berechnung erfolgt mit den hier ausgewählten Umlagen.","")</f>
        <v/>
      </c>
      <c r="K669" s="2319"/>
      <c r="L669" s="2320"/>
    </row>
    <row r="670" spans="1:16" ht="17.850000000000001" customHeight="1" thickTop="1" x14ac:dyDescent="0.25">
      <c r="A670" s="2370"/>
      <c r="B670" s="2370"/>
      <c r="C670" s="2370"/>
      <c r="D670" s="2370"/>
      <c r="E670" s="2370"/>
      <c r="F670" s="85" t="str">
        <f>IF(A670="","",IFERROR(VLOOKUP(A670,A$329:E$333,2,FALSE),KALKULATION!$M$283))</f>
        <v/>
      </c>
      <c r="G670" s="158" t="str">
        <f>IF(A670="","",IFERROR(VLOOKUP(A670,A$329:E$333,3,FALSE),""))</f>
        <v/>
      </c>
      <c r="H670" s="85" t="str">
        <f>IF(OR(G670="",G670=0),"",G670*H$669)</f>
        <v/>
      </c>
      <c r="I670" s="621"/>
      <c r="J670" s="2319"/>
      <c r="K670" s="2319"/>
      <c r="L670" s="2320"/>
    </row>
    <row r="671" spans="1:16" ht="17.850000000000001" customHeight="1" x14ac:dyDescent="0.25">
      <c r="A671" s="2265"/>
      <c r="B671" s="2265"/>
      <c r="C671" s="2265"/>
      <c r="D671" s="2265"/>
      <c r="E671" s="2265"/>
      <c r="F671" s="85" t="str">
        <f>IF(A671="","",IFERROR(VLOOKUP(A671,A$329:E$333,2,FALSE),KALKULATION!$M$283))</f>
        <v/>
      </c>
      <c r="G671" s="158" t="str">
        <f t="shared" ref="G671:G672" si="67">IF(A671="","",IFERROR(VLOOKUP(A671,A$329:E$333,3,FALSE),""))</f>
        <v/>
      </c>
      <c r="H671" s="85" t="str">
        <f t="shared" ref="H671" si="68">IF(OR(G671="",G671=0),"",G671*H$669)</f>
        <v/>
      </c>
      <c r="I671" s="621"/>
      <c r="J671" s="2319"/>
      <c r="K671" s="2319"/>
      <c r="L671" s="2320"/>
      <c r="M671" s="2076" t="s">
        <v>643</v>
      </c>
      <c r="N671" s="2076" t="str">
        <f>$A$413&amp;" gesamt"</f>
        <v>Regielohnpreis gesamt</v>
      </c>
      <c r="O671" s="2076"/>
      <c r="P671" s="2077"/>
    </row>
    <row r="672" spans="1:16" ht="17.850000000000001" customHeight="1" x14ac:dyDescent="0.25">
      <c r="A672" s="2265"/>
      <c r="B672" s="2265"/>
      <c r="C672" s="2265"/>
      <c r="D672" s="2265"/>
      <c r="E672" s="2265"/>
      <c r="F672" s="84" t="str">
        <f>IF(A672="","",IFERROR(VLOOKUP(A672,A$329:E$333,2,FALSE),KALKULATION!$M$283))</f>
        <v/>
      </c>
      <c r="G672" s="50" t="str">
        <f t="shared" si="67"/>
        <v/>
      </c>
      <c r="H672" s="84" t="str">
        <f>IF(OR(G672="",G672=0),"",G672*H$669)</f>
        <v/>
      </c>
      <c r="I672" s="621"/>
      <c r="L672" s="216"/>
      <c r="M672" s="2076" t="s">
        <v>414</v>
      </c>
      <c r="N672" s="2076" t="str">
        <f>IF(A625="","",A625)</f>
        <v>Facharbeiter (&gt; 2Verwendungsjahr)</v>
      </c>
      <c r="O672" s="2078"/>
      <c r="P672" s="2079"/>
    </row>
    <row r="673" spans="1:21" ht="17.850000000000001" customHeight="1" x14ac:dyDescent="0.25">
      <c r="A673" s="2180" t="str">
        <f>IF(SUM(F670:H672)=0,"R5.b) GZ auf UMLAGEN - keine Umlagen ausgewählt (oder in Pkt H1 angelegt)","R5.b) GZ auf Umlagen")</f>
        <v>R5.b) GZ auf UMLAGEN - keine Umlagen ausgewählt (oder in Pkt H1 angelegt)</v>
      </c>
      <c r="B673" s="2181"/>
      <c r="C673" s="2181"/>
      <c r="D673" s="2181"/>
      <c r="E673" s="2181"/>
      <c r="F673" s="2182"/>
      <c r="G673" s="2182"/>
      <c r="H673" s="2181"/>
      <c r="I673" s="621"/>
      <c r="L673" s="216"/>
      <c r="M673" s="2080" t="s">
        <v>723</v>
      </c>
      <c r="N673" s="2080" t="str">
        <f>IF(C682="","",C682)</f>
        <v/>
      </c>
      <c r="O673" s="2076"/>
      <c r="P673" s="2077"/>
    </row>
    <row r="674" spans="1:21" ht="17.850000000000001" customHeight="1" x14ac:dyDescent="0.25">
      <c r="A674" s="2221" t="s">
        <v>561</v>
      </c>
      <c r="B674" s="2222"/>
      <c r="C674" s="2222"/>
      <c r="D674" s="2137"/>
      <c r="E674" s="2138"/>
      <c r="F674" s="2139"/>
      <c r="G674" s="196" t="str">
        <f>IF(D674="","",IFERROR(VLOOKUP(D674,'K2 GZ'!I$25:M$32,5,FALSE),KALKULATION!$M$283))</f>
        <v/>
      </c>
      <c r="H674" s="1009" t="str">
        <f ca="1">IF($G$327=0,"",IF(G674=KALKULATION!$M$283,"",IF(SUM(F670:H672)=0,"",IF(D674="",$G$346,G674))))</f>
        <v/>
      </c>
      <c r="I674" s="623" t="str">
        <f>IF(AND(D674&lt;&gt;"",SUM(F670:H672)&lt;&gt;0),"X","")</f>
        <v/>
      </c>
      <c r="J674" s="2178" t="str">
        <f ca="1">IF(G674=KALKULATION!$M$283,"Auswahl erneut vornehmen (ungült. Verweis)/Text löschen!",IF(AND(H674="",SUM(F670:G672)&lt;&gt;0),"GZ fehlt oder gleich 0!)",""))</f>
        <v/>
      </c>
      <c r="K674" s="2178"/>
      <c r="L674" s="2179"/>
      <c r="M674" s="2080" t="s">
        <v>724</v>
      </c>
      <c r="N674" s="2080" t="str">
        <f>IF(N673=""," für ["&amp;N672&amp;"]"," für ["&amp;N673&amp;"]")</f>
        <v xml:space="preserve"> für [Facharbeiter (&gt; 2Verwendungsjahr)]</v>
      </c>
      <c r="O674" s="2080"/>
      <c r="P674" s="2080" t="str">
        <f>IF(N673="",""," für ["&amp;N673&amp;" | "&amp;N672&amp;"]")</f>
        <v/>
      </c>
    </row>
    <row r="675" spans="1:21" ht="17.850000000000001" customHeight="1" x14ac:dyDescent="0.25">
      <c r="A675" s="2330"/>
      <c r="B675" s="2331"/>
      <c r="C675" s="2331"/>
      <c r="D675" s="2331"/>
      <c r="E675" s="2331"/>
      <c r="F675" s="2331"/>
      <c r="G675" s="2331"/>
      <c r="H675" s="2331"/>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180" t="str">
        <f>A$472</f>
        <v>R6) GZ auf PERSONALKOSTEN (K3 Spalte B)</v>
      </c>
      <c r="B676" s="2181"/>
      <c r="C676" s="2181"/>
      <c r="D676" s="2181"/>
      <c r="E676" s="2181"/>
      <c r="F676" s="2181"/>
      <c r="G676" s="2181"/>
      <c r="H676" s="2181"/>
      <c r="I676" s="619"/>
      <c r="L676" s="216"/>
      <c r="M676" s="2083" t="s">
        <v>642</v>
      </c>
      <c r="N676" s="2084" t="str">
        <f>IF(N656="",""," in ["&amp;N656&amp;"]")</f>
        <v/>
      </c>
      <c r="O676" s="2083"/>
      <c r="P676" s="2085"/>
    </row>
    <row r="677" spans="1:21" ht="17.850000000000001" customHeight="1" x14ac:dyDescent="0.25">
      <c r="A677" s="392" t="s">
        <v>561</v>
      </c>
      <c r="B677" s="373"/>
      <c r="C677" s="1089"/>
      <c r="D677" s="2137"/>
      <c r="E677" s="2138"/>
      <c r="F677" s="2139"/>
      <c r="G677" s="199" t="str">
        <f>IF(D677="","",IFERROR(VLOOKUP(D677,'K2 GZ'!I$25:M$32,5,FALSE),KALKULATION!$M$283))</f>
        <v/>
      </c>
      <c r="H677" s="1009">
        <f>IF(G677=KALKULATION!$M$283,"",IF(D677="",$G$345,G677))</f>
        <v>0.28999999999999998</v>
      </c>
      <c r="I677" s="623" t="str">
        <f>IF(D677&lt;&gt;"","X","")</f>
        <v/>
      </c>
      <c r="J677" s="2178" t="str">
        <f>IF(G677=KALKULATION!$M$283,"Auswahl erneut vornehmen (ungültiger Verweis)!",IF(H677=KALKULATION!$M$283,"GZ aus K2-Blatt wählen!",""))</f>
        <v/>
      </c>
      <c r="K677" s="2178"/>
      <c r="L677" s="2179"/>
      <c r="M677" s="2080"/>
      <c r="N677" s="2086"/>
      <c r="O677" s="2080"/>
      <c r="P677" s="2082"/>
    </row>
    <row r="678" spans="1:21" ht="20.100000000000001" customHeight="1" x14ac:dyDescent="0.25">
      <c r="A678" s="1193" t="s">
        <v>393</v>
      </c>
      <c r="B678" s="836"/>
      <c r="C678" s="2189" t="str">
        <f>D640</f>
        <v>Facharbeiter (&gt; 2Verwendungsjahr)</v>
      </c>
      <c r="D678" s="2189"/>
      <c r="E678" s="2189"/>
      <c r="F678" s="618" t="s">
        <v>259</v>
      </c>
      <c r="G678" s="837">
        <f ca="1">H678/D625-1</f>
        <v>4.5039999999999996</v>
      </c>
      <c r="H678" s="838">
        <f ca="1">IFERROR(' K3 Regie4'!N$45,"??")</f>
        <v>103.2</v>
      </c>
      <c r="I678" s="619"/>
      <c r="J678" s="47"/>
      <c r="K678" s="47"/>
      <c r="L678" s="594"/>
      <c r="M678" s="2078"/>
      <c r="N678" s="2087"/>
      <c r="O678" s="2078"/>
      <c r="P678" s="2079"/>
      <c r="Q678" s="2092"/>
      <c r="R678" s="2092"/>
      <c r="S678" s="2092"/>
      <c r="T678" s="2092"/>
      <c r="U678" s="2093"/>
    </row>
    <row r="679" spans="1:21" ht="17.850000000000001" customHeight="1" x14ac:dyDescent="0.25">
      <c r="A679" s="2149" t="s">
        <v>726</v>
      </c>
      <c r="B679" s="2277"/>
      <c r="C679" s="2190" t="str">
        <f ca="1">IFERROR(VLOOKUP(A681,M680:N686,2,FALSE),KALKULATION!$M$283)</f>
        <v>Regielohnpreis gesamt für [Facharbeiter (&gt; 2Verwendungsjahr)] als [Überstunde 50% (50%)]</v>
      </c>
      <c r="D679" s="2191"/>
      <c r="E679" s="2191"/>
      <c r="F679" s="2191"/>
      <c r="G679" s="2191"/>
      <c r="H679" s="2191"/>
      <c r="I679" s="725"/>
      <c r="J679" s="2326" t="str">
        <f ca="1">IF(OR(H677&lt;Report!$G$13,KALKULATION!H677&gt;Report!$F$13,AND(SUM(KALKULATION!F670:H672)&lt;&gt;0,OR(H674&lt;Report!$G$13,KALKULATION!H674&gt;Report!$F$13))),"Hinweis: GZ in R5.b oder R6 liegt außerhalb der empfohlenen Grenzwerte gem Blatt REPORT!","")</f>
        <v/>
      </c>
      <c r="K679" s="2326"/>
      <c r="L679" s="2327"/>
      <c r="M679" s="2088" t="s">
        <v>679</v>
      </c>
      <c r="N679" s="2088"/>
      <c r="Q679" s="2016"/>
      <c r="R679" s="2016"/>
      <c r="S679" s="2016"/>
      <c r="T679" s="2016"/>
    </row>
    <row r="680" spans="1:21" ht="17.850000000000001" customHeight="1" x14ac:dyDescent="0.25">
      <c r="A680" s="2153"/>
      <c r="B680" s="2278"/>
      <c r="C680" s="2192"/>
      <c r="D680" s="2193"/>
      <c r="E680" s="2193"/>
      <c r="F680" s="2193"/>
      <c r="G680" s="2193"/>
      <c r="H680" s="2193"/>
      <c r="I680" s="725"/>
      <c r="J680" s="2328"/>
      <c r="K680" s="2328"/>
      <c r="L680" s="2329"/>
      <c r="M680" s="2088" t="s">
        <v>717</v>
      </c>
      <c r="N680" s="2088" t="str">
        <f>N671</f>
        <v>Regielohnpreis gesamt</v>
      </c>
      <c r="Q680" s="2016"/>
      <c r="R680" s="2016"/>
      <c r="S680" s="2016"/>
      <c r="T680" s="2016"/>
    </row>
    <row r="681" spans="1:21" ht="17.850000000000001" customHeight="1" x14ac:dyDescent="0.25">
      <c r="A681" s="2270" t="s">
        <v>721</v>
      </c>
      <c r="B681" s="2271"/>
      <c r="C681" s="2194"/>
      <c r="D681" s="2195"/>
      <c r="E681" s="2195"/>
      <c r="F681" s="2195"/>
      <c r="G681" s="2195"/>
      <c r="H681" s="2195"/>
      <c r="I681" s="725"/>
      <c r="L681" s="216"/>
      <c r="M681" s="2088" t="s">
        <v>718</v>
      </c>
      <c r="N681" s="2088" t="str">
        <f>N671&amp;N674</f>
        <v>Regielohnpreis gesamt für [Facharbeiter (&gt; 2Verwendungsjahr)]</v>
      </c>
      <c r="Q681" s="2016"/>
      <c r="R681" s="2016"/>
      <c r="S681" s="2016"/>
      <c r="T681" s="2016"/>
    </row>
    <row r="682" spans="1:21" ht="17.850000000000001" customHeight="1" x14ac:dyDescent="0.25">
      <c r="A682" s="2140" t="str">
        <f>A$478</f>
        <v>Bezeichnung zusätzlich:</v>
      </c>
      <c r="B682" s="2141"/>
      <c r="C682" s="2137"/>
      <c r="D682" s="2138"/>
      <c r="E682" s="2138"/>
      <c r="F682" s="2138"/>
      <c r="G682" s="2138"/>
      <c r="H682" s="2138"/>
      <c r="I682" s="725"/>
      <c r="L682" s="216"/>
      <c r="M682" s="2088" t="s">
        <v>719</v>
      </c>
      <c r="N682" s="2088" t="str">
        <f>N671&amp;P674</f>
        <v>Regielohnpreis gesamt</v>
      </c>
      <c r="Q682" s="2016"/>
      <c r="R682" s="2016"/>
      <c r="S682" s="2016"/>
      <c r="T682" s="2016"/>
    </row>
    <row r="683" spans="1:21" ht="17.850000000000001" customHeight="1" x14ac:dyDescent="0.25">
      <c r="A683" s="2376" t="str">
        <f>A$479</f>
        <v>Individuelle Bezeichnung für Wahl in R7.a:</v>
      </c>
      <c r="B683" s="2377"/>
      <c r="C683" s="2309"/>
      <c r="D683" s="2276"/>
      <c r="E683" s="2276"/>
      <c r="F683" s="2276"/>
      <c r="G683" s="2276"/>
      <c r="H683" s="2276"/>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378"/>
      <c r="B684" s="2379"/>
      <c r="C684" s="2380"/>
      <c r="D684" s="2381"/>
      <c r="E684" s="2381"/>
      <c r="F684" s="2381"/>
      <c r="G684" s="2381"/>
      <c r="H684" s="2381"/>
      <c r="I684" s="725"/>
      <c r="L684" s="216"/>
      <c r="M684" s="2088" t="s">
        <v>721</v>
      </c>
      <c r="N684" s="2088" t="str">
        <f ca="1">N681&amp;N675&amp;N676</f>
        <v>Regielohnpreis gesamt für [Facharbeiter (&gt; 2Verwendungsjahr)] als [Überstunde 50% (50%)]</v>
      </c>
      <c r="Q684" s="2016"/>
      <c r="R684" s="2016"/>
      <c r="S684" s="2016"/>
      <c r="T684" s="2016"/>
    </row>
    <row r="685" spans="1:21" ht="17.850000000000001" customHeight="1" x14ac:dyDescent="0.25">
      <c r="A685" s="2415"/>
      <c r="B685" s="2416"/>
      <c r="C685" s="2416"/>
      <c r="D685" s="2416"/>
      <c r="E685" s="2416"/>
      <c r="F685" s="2416"/>
      <c r="G685" s="2416"/>
      <c r="H685" s="2416"/>
      <c r="I685" s="2416"/>
      <c r="L685" s="216"/>
      <c r="M685" s="2088" t="s">
        <v>722</v>
      </c>
      <c r="N685" s="2088" t="str">
        <f ca="1">N682&amp;N675&amp;N676</f>
        <v>Regielohnpreis gesamt als [Überstunde 50% (50%)]</v>
      </c>
      <c r="Q685" s="2016"/>
      <c r="R685" s="2016"/>
      <c r="S685" s="2016"/>
      <c r="T685" s="2016"/>
    </row>
    <row r="686" spans="1:21" ht="17.850000000000001" customHeight="1" x14ac:dyDescent="0.25">
      <c r="A686" s="2117" t="s">
        <v>672</v>
      </c>
      <c r="B686" s="2121"/>
      <c r="C686" s="2121"/>
      <c r="D686" s="2121"/>
      <c r="E686" s="2121"/>
      <c r="F686" s="2121"/>
      <c r="G686" s="2121"/>
      <c r="H686" s="2121"/>
      <c r="I686" s="2121"/>
      <c r="J686" s="45"/>
      <c r="L686" s="216"/>
      <c r="M686" s="2088" t="s">
        <v>716</v>
      </c>
      <c r="N686" s="2088" t="str">
        <f>IF(C683="","",C683)</f>
        <v/>
      </c>
      <c r="Q686" s="2016"/>
      <c r="R686" s="2016"/>
      <c r="S686" s="2016"/>
      <c r="T686" s="2016"/>
    </row>
    <row r="687" spans="1:21" ht="17.850000000000001" customHeight="1" x14ac:dyDescent="0.25">
      <c r="A687" s="2117"/>
      <c r="B687" s="2121"/>
      <c r="C687" s="2121"/>
      <c r="D687" s="2121"/>
      <c r="E687" s="2121"/>
      <c r="F687" s="2121"/>
      <c r="G687" s="2121"/>
      <c r="H687" s="2121"/>
      <c r="I687" s="2121"/>
      <c r="J687" s="46"/>
      <c r="K687" s="47"/>
      <c r="L687" s="594"/>
      <c r="M687" s="2016"/>
      <c r="N687" s="2016"/>
      <c r="O687" s="2016"/>
      <c r="P687" s="2016"/>
      <c r="Q687" s="2016"/>
      <c r="R687" s="2016"/>
      <c r="S687" s="2016"/>
      <c r="T687" s="2016"/>
    </row>
    <row r="688" spans="1:21" ht="17.850000000000001" customHeight="1" x14ac:dyDescent="0.25">
      <c r="A688" s="2240"/>
      <c r="B688" s="2240"/>
      <c r="C688" s="2240"/>
      <c r="D688" s="2240"/>
      <c r="E688" s="2240"/>
      <c r="F688" s="2240"/>
      <c r="G688" s="2240"/>
      <c r="H688" s="2240"/>
      <c r="I688" s="2240"/>
      <c r="L688" s="216"/>
      <c r="M688" s="2016"/>
      <c r="N688" s="2016"/>
      <c r="O688" s="2016"/>
      <c r="P688" s="2016"/>
    </row>
    <row r="689" spans="1:13" ht="25.15" customHeight="1" x14ac:dyDescent="0.25">
      <c r="A689" s="2391" t="str">
        <f>IF(A695="","Regie 5 -  [keine Beschäftigungsgruppe ausgewählt]",IF(D695=KALKULATION!$M$283," Regie 5 - [nicht vorhandene Beschäftigungsgruppe]",M690&amp;M691))</f>
        <v>Regie 5 -  [keine Beschäftigungsgruppe ausgewählt]</v>
      </c>
      <c r="B689" s="2392"/>
      <c r="C689" s="2392"/>
      <c r="D689" s="2392"/>
      <c r="E689" s="2392"/>
      <c r="F689" s="2392"/>
      <c r="G689" s="2392"/>
      <c r="H689" s="2392"/>
      <c r="I689" s="2392"/>
      <c r="J689" s="2238" t="str">
        <f>IF(AND(A696&amp;A697&amp;A698&amp;A699&lt;&gt;"",A695=""),"Die erste Eintragung muss in der 1. Zeile von R1 erfolgen!","")</f>
        <v/>
      </c>
      <c r="K689" s="2238"/>
      <c r="L689" s="2239"/>
    </row>
    <row r="690" spans="1:13" ht="17.850000000000001" customHeight="1" x14ac:dyDescent="0.25">
      <c r="A690" s="2117" t="s">
        <v>533</v>
      </c>
      <c r="B690" s="2417"/>
      <c r="C690" s="2418"/>
      <c r="D690" s="2384" t="s">
        <v>938</v>
      </c>
      <c r="E690" s="2385"/>
      <c r="F690" s="2385"/>
      <c r="G690" s="2385"/>
      <c r="H690" s="2385"/>
      <c r="I690" s="613"/>
      <c r="J690" s="2167" t="str">
        <f>IF(AND(COUNTA(A695:C699)=1,E695&lt;&gt;1),"Hinweis: Wenn nur eine Beschäftigungsgruppe angelegt wird, sollte die Anzahl 1,00 sein (wie Regie 1 bis Regie 4). Gfg korrigieren oder weitere Beschäftigte zur Bildung einer Partie hinzufügen","")</f>
        <v/>
      </c>
      <c r="K690" s="2167"/>
      <c r="L690" s="2168"/>
      <c r="M690" s="2094"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405"/>
      <c r="B691" s="2406"/>
      <c r="C691" s="2407"/>
      <c r="D691" s="2386"/>
      <c r="E691" s="2387"/>
      <c r="F691" s="2387"/>
      <c r="G691" s="2387"/>
      <c r="H691" s="2387"/>
      <c r="I691" s="613"/>
      <c r="J691" s="2167"/>
      <c r="K691" s="2167"/>
      <c r="L691" s="2168"/>
      <c r="M691" s="2094" t="str">
        <f>IF(AND(COUNTA(A695:C699)&gt;1,A695&lt;&gt;""),O746&amp;" 5 - 'Regiepartie' mit Ergebnis "&amp;IF(H693="Ø"," Ø-Preis/Person",IF(H693="∑"," Gesamtpreis der Partie"," (??) KZ in R0.b wählen!")),"")</f>
        <v/>
      </c>
    </row>
    <row r="692" spans="1:13" ht="17.850000000000001" customHeight="1" x14ac:dyDescent="0.25">
      <c r="A692" s="2134" t="s">
        <v>712</v>
      </c>
      <c r="B692" s="2135"/>
      <c r="C692" s="2136"/>
      <c r="D692" s="2368"/>
      <c r="E692" s="2369"/>
      <c r="F692" s="2369"/>
      <c r="G692" s="2369"/>
      <c r="H692" s="2369"/>
      <c r="I692" s="613"/>
      <c r="J692" s="2167"/>
      <c r="K692" s="2167"/>
      <c r="L692" s="2168"/>
    </row>
    <row r="693" spans="1:13" ht="17.850000000000001" customHeight="1" x14ac:dyDescent="0.25">
      <c r="A693" s="2134" t="s">
        <v>701</v>
      </c>
      <c r="B693" s="2135"/>
      <c r="C693" s="2135"/>
      <c r="D693" s="2135"/>
      <c r="E693" s="2135"/>
      <c r="F693" s="2135"/>
      <c r="G693" s="2135"/>
      <c r="H693" s="1212" t="s">
        <v>381</v>
      </c>
      <c r="I693" s="613"/>
      <c r="J693" s="1121" t="str">
        <f>IF(H693="","KZ für Berechnung der ges. Partie (∑) od. des Ø/Person?","")</f>
        <v/>
      </c>
      <c r="L693" s="216"/>
    </row>
    <row r="694" spans="1:13" ht="17.850000000000001" customHeight="1" thickBot="1" x14ac:dyDescent="0.3">
      <c r="A694" s="2266" t="s">
        <v>395</v>
      </c>
      <c r="B694" s="2266"/>
      <c r="C694" s="2266"/>
      <c r="D694" s="2266"/>
      <c r="E694" s="715" t="s">
        <v>18</v>
      </c>
      <c r="F694" s="715"/>
      <c r="G694" s="1011" t="s">
        <v>72</v>
      </c>
      <c r="H694" s="1120" t="s">
        <v>73</v>
      </c>
      <c r="I694" s="613"/>
      <c r="L694" s="216"/>
    </row>
    <row r="695" spans="1:13" ht="17.850000000000001" customHeight="1" thickTop="1" x14ac:dyDescent="0.25">
      <c r="A695" s="2370"/>
      <c r="B695" s="2370"/>
      <c r="C695" s="2370"/>
      <c r="D695" s="51">
        <f ca="1">IFERROR(VLOOKUP(A695,Stammdaten!A$7:D$33,4,FALSE),KALKULATION!$M$283)</f>
        <v>0</v>
      </c>
      <c r="E695" s="327"/>
      <c r="F695" s="1225" t="str">
        <f>IFERROR(E695/E$700,"")</f>
        <v/>
      </c>
      <c r="G695" s="136" t="str">
        <f ca="1">IFERROR(VLOOKUP(A695,Stammdaten!A$7:F$33,4,FALSE)*F695,"")</f>
        <v/>
      </c>
      <c r="H695" s="1221" t="str">
        <f ca="1">IFERROR(VLOOKUP(A695,Stammdaten!A$7:F$33,6,FALSE)*F695,"")</f>
        <v/>
      </c>
      <c r="I695" s="613"/>
      <c r="J695" s="2178" t="str">
        <f ca="1">IF(OR(COUNTA(A695,E695)=2,COUNTA(A695,E695)=0),IF(D695=KALKULATION!$M$283,"Auswahl erneut vornehmen (ungültiger Verweis)!",""),"Eingabe unvollständig (ergänzen oder löschen)!")</f>
        <v/>
      </c>
      <c r="K695" s="2178"/>
      <c r="L695" s="2179"/>
    </row>
    <row r="696" spans="1:13" ht="17.850000000000001" customHeight="1" x14ac:dyDescent="0.25">
      <c r="A696" s="2265"/>
      <c r="B696" s="2265"/>
      <c r="C696" s="2265"/>
      <c r="D696" s="48">
        <f ca="1">IFERROR(VLOOKUP(A696,Stammdaten!A$7:D$33,4,FALSE),KALKULATION!$M$283)</f>
        <v>0</v>
      </c>
      <c r="E696" s="380"/>
      <c r="F696" s="1226" t="str">
        <f>IFERROR(E696/E$700,"")</f>
        <v/>
      </c>
      <c r="G696" s="54" t="str">
        <f ca="1">IFERROR(VLOOKUP(A696,Stammdaten!A$7:F$33,4,FALSE)*F696,"")</f>
        <v/>
      </c>
      <c r="H696" s="1222" t="str">
        <f ca="1">IFERROR(VLOOKUP(A696,Stammdaten!A$7:F$33,6,FALSE)*F696,"")</f>
        <v/>
      </c>
      <c r="I696" s="613"/>
      <c r="J696" s="2178" t="str">
        <f ca="1">IF(OR(COUNTA(A696,E696)=2,COUNTA(A696,E696)=0),IF(D696=KALKULATION!$M$283,"Auswahl erneut vornehmen (ungültiger Verweis)!",""),"Eingabe unvollständig (ergänzen oder löschen)!")</f>
        <v/>
      </c>
      <c r="K696" s="2178"/>
      <c r="L696" s="2179"/>
    </row>
    <row r="697" spans="1:13" ht="17.850000000000001" customHeight="1" x14ac:dyDescent="0.25">
      <c r="A697" s="2137"/>
      <c r="B697" s="2138"/>
      <c r="C697" s="2139"/>
      <c r="D697" s="48">
        <f ca="1">IFERROR(VLOOKUP(A697,Stammdaten!A$7:D$33,4,FALSE),KALKULATION!$M$283)</f>
        <v>0</v>
      </c>
      <c r="E697" s="380"/>
      <c r="F697" s="1226" t="str">
        <f>IFERROR(E697/E$700,"")</f>
        <v/>
      </c>
      <c r="G697" s="54" t="str">
        <f ca="1">IFERROR(VLOOKUP(A697,Stammdaten!A$7:F$33,4,FALSE)*F697,"")</f>
        <v/>
      </c>
      <c r="H697" s="1222" t="str">
        <f ca="1">IFERROR(VLOOKUP(A697,Stammdaten!A$7:F$33,6,FALSE)*F697,"")</f>
        <v/>
      </c>
      <c r="I697" s="613"/>
      <c r="J697" s="2178" t="str">
        <f ca="1">IF(OR(COUNTA(A697,E697)=2,COUNTA(A697,E697)=0),IF(D697=KALKULATION!$M$283,"Auswahl erneut vornehmen (ungültiger Verweis)!",""),"Eingabe unvollständig (ergänzen oder löschen)!")</f>
        <v/>
      </c>
      <c r="K697" s="2178"/>
      <c r="L697" s="2179"/>
    </row>
    <row r="698" spans="1:13" ht="17.850000000000001" customHeight="1" x14ac:dyDescent="0.25">
      <c r="A698" s="2265"/>
      <c r="B698" s="2265"/>
      <c r="C698" s="2265"/>
      <c r="D698" s="48">
        <f ca="1">IFERROR(VLOOKUP(A698,Stammdaten!A$7:D$33,4,FALSE),KALKULATION!$M$283)</f>
        <v>0</v>
      </c>
      <c r="E698" s="380"/>
      <c r="F698" s="1226" t="str">
        <f>IFERROR(E698/E$700,"")</f>
        <v/>
      </c>
      <c r="G698" s="54" t="str">
        <f ca="1">IFERROR(VLOOKUP(A698,Stammdaten!A$7:F$33,4,FALSE)*F698,"")</f>
        <v/>
      </c>
      <c r="H698" s="1222" t="str">
        <f ca="1">IFERROR(VLOOKUP(A698,Stammdaten!A$7:F$33,6,FALSE)*F698,"")</f>
        <v/>
      </c>
      <c r="I698" s="613"/>
      <c r="J698" s="2178" t="str">
        <f ca="1">IF(OR(COUNTA(A698,E698)=2,COUNTA(A698,E698)=0),IF(D698=KALKULATION!$M$283,"Auswahl erneut vornehmen (ungültiger Verweis)!",""),"Eingabe unvollständig (ergänzen oder löschen)!")</f>
        <v/>
      </c>
      <c r="K698" s="2178"/>
      <c r="L698" s="2179"/>
    </row>
    <row r="699" spans="1:13" ht="17.850000000000001" customHeight="1" thickBot="1" x14ac:dyDescent="0.3">
      <c r="A699" s="2295"/>
      <c r="B699" s="2295"/>
      <c r="C699" s="2295"/>
      <c r="D699" s="60">
        <f ca="1">IFERROR(VLOOKUP(A699,Stammdaten!A$7:D$33,4,FALSE),KALKULATION!$M$283)</f>
        <v>0</v>
      </c>
      <c r="E699" s="328"/>
      <c r="F699" s="1227" t="str">
        <f>IFERROR(E699/E$700,"")</f>
        <v/>
      </c>
      <c r="G699" s="213" t="str">
        <f ca="1">IFERROR(VLOOKUP(A699,Stammdaten!A$7:F$33,4,FALSE)*F699,"")</f>
        <v/>
      </c>
      <c r="H699" s="1223" t="str">
        <f ca="1">IFERROR(VLOOKUP(A699,Stammdaten!A$7:F$33,6,FALSE)*F699,"")</f>
        <v/>
      </c>
      <c r="I699" s="613"/>
      <c r="J699" s="2178" t="str">
        <f ca="1">IF(OR(COUNTA(A699,E699)=2,COUNTA(A699,E699)=0),IF(D699=KALKULATION!$M$283,"Auswahl erneut vornehmen (ungültiger Verweis)!",""),"Eingabe unvollständig (ergänzen oder löschen)!")</f>
        <v/>
      </c>
      <c r="K699" s="2178"/>
      <c r="L699" s="2179"/>
    </row>
    <row r="700" spans="1:13" ht="17.850000000000001" customHeight="1" x14ac:dyDescent="0.25">
      <c r="A700" s="2221" t="s">
        <v>92</v>
      </c>
      <c r="B700" s="2222"/>
      <c r="C700" s="2222"/>
      <c r="D700" s="2306"/>
      <c r="E700" s="49">
        <f>SUM(E695:E699)</f>
        <v>0</v>
      </c>
      <c r="F700" s="382">
        <f>SUM(F695:F699)</f>
        <v>0</v>
      </c>
      <c r="G700" s="51">
        <f ca="1">IF(AND(_OK?="OK!",_OK_KV?="OK_KV!"),SUM(G695:G699),ROUNDUP(SUM(G695:G699),0))</f>
        <v>0</v>
      </c>
      <c r="H700" s="84">
        <f ca="1">SUM(H695:H699)</f>
        <v>0</v>
      </c>
      <c r="I700" s="614" t="str">
        <f ca="1">IF(OR(_OK?&lt;&gt;"OK!",_OK_KV?&lt;&gt;"OK_KV!"),"X","")</f>
        <v>X</v>
      </c>
      <c r="J700" s="2319" t="str">
        <f>IF(E700&lt;1,M701,IF(H693="∑",IF(INT(E700)&lt;&gt;E700,"Hinweis: Partien bestehen aus ganzen 'Köpfen'! Ev. Eingaben ändern oder KZ auf Ø stellen.",""),""))</f>
        <v>Anzahl darf nicht unter 1,00 liegen!!</v>
      </c>
      <c r="K700" s="2319"/>
      <c r="L700" s="2320"/>
    </row>
    <row r="701" spans="1:13" ht="17.850000000000001" customHeight="1" x14ac:dyDescent="0.25">
      <c r="A701" s="2142" t="s">
        <v>894</v>
      </c>
      <c r="B701" s="2143"/>
      <c r="C701" s="2143"/>
      <c r="D701" s="2143"/>
      <c r="E701" s="2143"/>
      <c r="F701" s="2143"/>
      <c r="G701" s="2143"/>
      <c r="H701" s="2143"/>
      <c r="I701" s="613"/>
      <c r="J701" s="2319"/>
      <c r="K701" s="2319"/>
      <c r="L701" s="2320"/>
      <c r="M701" s="1342" t="s">
        <v>715</v>
      </c>
    </row>
    <row r="702" spans="1:13" ht="17.850000000000001" customHeight="1" thickBot="1" x14ac:dyDescent="0.3">
      <c r="A702" s="2395"/>
      <c r="B702" s="2396"/>
      <c r="C702" s="2397"/>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78" t="str">
        <f ca="1">IF(OR(COUNTA(A702,E702)=2,COUNTA(A702,E702)=0),IF(D702=KALKULATION!$M$283,"Auswahl erneut vornehmen (ungültiger Verweis)!",""),"Eingabe unvollständig (ergänzen oder löschen)!")</f>
        <v/>
      </c>
      <c r="K702" s="2178"/>
      <c r="L702" s="217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78" t="str">
        <f>IF(E703&gt;=E700,"Unzulässige Umlage (R2 größer/gleich R1)!!!",IF(AND(E703&lt;&gt;0,G700=0),"Beschäftigungsgruppe in R1 wählen!",""))</f>
        <v>Unzulässige Umlage (R2 größer/gleich R1)!!!</v>
      </c>
      <c r="K703" s="2178"/>
      <c r="L703" s="2179"/>
    </row>
    <row r="704" spans="1:13" ht="17.850000000000001" customHeight="1" x14ac:dyDescent="0.25">
      <c r="A704" s="2134" t="s">
        <v>842</v>
      </c>
      <c r="B704" s="2135"/>
      <c r="C704" s="2135"/>
      <c r="D704" s="2135"/>
      <c r="E704" s="2135"/>
      <c r="F704" s="2135"/>
      <c r="G704" s="2135"/>
      <c r="H704" s="572">
        <v>0</v>
      </c>
      <c r="I704" s="616"/>
      <c r="L704" s="216"/>
    </row>
    <row r="705" spans="1:18" ht="17.850000000000001" customHeight="1" x14ac:dyDescent="0.25">
      <c r="A705" s="2287"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288"/>
      <c r="C705" s="2288"/>
      <c r="D705" s="2288"/>
      <c r="E705" s="2288"/>
      <c r="F705" s="2288"/>
      <c r="G705" s="367">
        <f>IF(H704=1,E700,E700-E703)</f>
        <v>0</v>
      </c>
      <c r="H705" s="367">
        <f>E703</f>
        <v>0</v>
      </c>
      <c r="I705" s="613"/>
      <c r="J705" s="2176" t="str">
        <f>IF(AND(ISBLANK(H704),E703&lt;&gt;0),"Kennzeichen eingeben! Es sind unprod. Zeiten kalkuliert.","")</f>
        <v/>
      </c>
      <c r="K705" s="2176"/>
      <c r="L705" s="2177"/>
    </row>
    <row r="706" spans="1:18" ht="17.850000000000001" customHeight="1" x14ac:dyDescent="0.25">
      <c r="A706" s="2284"/>
      <c r="B706" s="2285"/>
      <c r="C706" s="2285"/>
      <c r="D706" s="2285"/>
      <c r="E706" s="2285"/>
      <c r="F706" s="2285"/>
      <c r="G706" s="2285"/>
      <c r="H706" s="2285"/>
      <c r="I706" s="613"/>
      <c r="J706" s="2280" t="str">
        <f>IFERROR(IF(H705/G705&gt;Report!$F$7,"Hinweis: Unproduktiver Anteil erscheint hoch!",""),"Der unprod. Anteil löst eine Division mit 0 aus!")</f>
        <v>Der unprod. Anteil löst eine Division mit 0 aus!</v>
      </c>
      <c r="K706" s="2280"/>
      <c r="L706" s="2281"/>
    </row>
    <row r="707" spans="1:18" ht="17.850000000000001" customHeight="1" thickBot="1" x14ac:dyDescent="0.3">
      <c r="A707" s="2144" t="s">
        <v>382</v>
      </c>
      <c r="B707" s="2145"/>
      <c r="C707" s="2146"/>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0</v>
      </c>
      <c r="D708" s="706">
        <f ca="1">G700*C708</f>
        <v>0</v>
      </c>
      <c r="E708" s="707">
        <f ca="1">H700*C708</f>
        <v>0</v>
      </c>
      <c r="F708" s="708" t="s">
        <v>204</v>
      </c>
      <c r="G708" s="685">
        <f ca="1">D708</f>
        <v>0</v>
      </c>
      <c r="H708" s="686">
        <f ca="1">IF(D711=_Ja,"",D710)</f>
        <v>0</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0</v>
      </c>
      <c r="I709" s="613"/>
      <c r="L709" s="216"/>
    </row>
    <row r="710" spans="1:18" ht="17.850000000000001" customHeight="1" x14ac:dyDescent="0.25">
      <c r="A710" s="695"/>
      <c r="B710" s="696"/>
      <c r="C710" s="697" t="s">
        <v>56</v>
      </c>
      <c r="D710" s="698">
        <f ca="1">SUM(D708:D709)</f>
        <v>0</v>
      </c>
      <c r="E710" s="699">
        <f ca="1">SUM(E708:E709)</f>
        <v>0</v>
      </c>
      <c r="F710" s="710" t="s">
        <v>86</v>
      </c>
      <c r="G710" s="711" t="e">
        <f ca="1">G709/G708</f>
        <v>#DIV/0!</v>
      </c>
      <c r="H710" s="712" t="e">
        <f ca="1">IF(D711=_Ja,$H$73,H709/H708)</f>
        <v>#DIV/0!</v>
      </c>
      <c r="I710" s="614" t="str">
        <f>IF(D711=_Ja,"X","")</f>
        <v/>
      </c>
      <c r="L710" s="216"/>
    </row>
    <row r="711" spans="1:18" ht="17.850000000000001" customHeight="1" thickBot="1" x14ac:dyDescent="0.3">
      <c r="A711" s="2756" t="str">
        <f ca="1">"Ø AKV Pkt B ist "&amp;TEXT($H$73,"0,00%")&amp;". Beibehalten?"</f>
        <v>Ø AKV Pkt B ist 14,50%. Beibehalten?</v>
      </c>
      <c r="B711" s="2757"/>
      <c r="C711" s="2758"/>
      <c r="D711" s="826" t="s">
        <v>193</v>
      </c>
      <c r="E711" s="2208" t="s">
        <v>383</v>
      </c>
      <c r="F711" s="2209"/>
      <c r="G711" s="378"/>
      <c r="H711" s="379"/>
      <c r="I711" s="614" t="str">
        <f>IF(OR(G711&lt;&gt;0,H711&lt;&gt;0),"X","")</f>
        <v/>
      </c>
      <c r="L711" s="216"/>
    </row>
    <row r="712" spans="1:18" ht="25.15" customHeight="1" x14ac:dyDescent="0.25">
      <c r="A712" s="2217"/>
      <c r="B712" s="2218"/>
      <c r="C712" s="2218"/>
      <c r="D712" s="2218"/>
      <c r="E712" s="2187" t="s">
        <v>556</v>
      </c>
      <c r="F712" s="2188"/>
      <c r="G712" s="86" t="e">
        <f ca="1">SUM(G710,G711)</f>
        <v>#DIV/0!</v>
      </c>
      <c r="H712" s="154" t="e">
        <f ca="1">SUM(H710,H711)</f>
        <v>#DIV/0!</v>
      </c>
      <c r="I712" s="613"/>
      <c r="L712" s="216"/>
    </row>
    <row r="713" spans="1:18" ht="17.850000000000001" customHeight="1" x14ac:dyDescent="0.25">
      <c r="A713" s="2210"/>
      <c r="B713" s="2211"/>
      <c r="C713" s="2211"/>
      <c r="D713" s="2211"/>
      <c r="E713" s="2210"/>
      <c r="F713" s="2220"/>
      <c r="G713" s="368" t="s">
        <v>121</v>
      </c>
      <c r="H713" s="369" t="s">
        <v>122</v>
      </c>
      <c r="I713" s="613"/>
      <c r="L713" s="216"/>
    </row>
    <row r="714" spans="1:18" ht="17.850000000000001" customHeight="1" x14ac:dyDescent="0.25">
      <c r="A714" s="1194" t="s">
        <v>384</v>
      </c>
      <c r="B714" s="832"/>
      <c r="C714" s="832"/>
      <c r="D714" s="2828" t="str">
        <f>IF(H693="∑","Regiepartie gesamt "&amp;TEXT(E700,"0")&amp;" Personen","Ø-Preis pro Person")</f>
        <v>Ø-Preis pro Person</v>
      </c>
      <c r="E714" s="2828"/>
      <c r="F714" s="2828"/>
      <c r="G714" s="835"/>
      <c r="H714" s="833">
        <f ca="1">' K3 Regie5'!N45</f>
        <v>0</v>
      </c>
      <c r="I714" s="832"/>
      <c r="L714" s="216"/>
    </row>
    <row r="715" spans="1:18" ht="17.850000000000001" customHeight="1" x14ac:dyDescent="0.25">
      <c r="A715" s="2289" t="s">
        <v>632</v>
      </c>
      <c r="B715" s="2290"/>
      <c r="C715" s="2290"/>
      <c r="D715" s="2290"/>
      <c r="E715" s="2290"/>
      <c r="F715" s="2290"/>
      <c r="G715" s="2290"/>
      <c r="H715" s="2290"/>
      <c r="I715" s="613"/>
      <c r="J715" s="2227" t="str">
        <f>IF(OR(I716="X",I721="X"),M$301,"")</f>
        <v/>
      </c>
      <c r="K715" s="2227"/>
      <c r="L715" s="2228"/>
    </row>
    <row r="716" spans="1:18" ht="17.850000000000001" customHeight="1" x14ac:dyDescent="0.25">
      <c r="A716" s="2134" t="s">
        <v>704</v>
      </c>
      <c r="B716" s="2135"/>
      <c r="C716" s="2136"/>
      <c r="D716" s="865" t="s">
        <v>771</v>
      </c>
      <c r="E716" s="2137" t="s">
        <v>902</v>
      </c>
      <c r="F716" s="2138"/>
      <c r="G716" s="2139"/>
      <c r="H716" s="1010">
        <f>IFERROR(VLOOKUP(E716,M716:N718,2,FALSE),"")</f>
        <v>0</v>
      </c>
      <c r="I716" s="614" t="str">
        <f>IF(E716&lt;&gt;M716,"X","")</f>
        <v/>
      </c>
      <c r="J716" s="2227"/>
      <c r="K716" s="2227"/>
      <c r="L716" s="222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0.01</v>
      </c>
    </row>
    <row r="718" spans="1:18" ht="30" customHeight="1" thickTop="1" x14ac:dyDescent="0.25">
      <c r="A718" s="2185"/>
      <c r="B718" s="2186"/>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27" t="str">
        <f>VLOOKUP(E721,M721:Q724,5,FALSE)</f>
        <v>Hinweis zu R4.b - 1.) Wenn der Regiepreis keine Arbeitszeitzuschläge enthalten soll (Regelung gem ÖN B 2110) ist diese Einstellung (1.) zutreffend.</v>
      </c>
      <c r="K718" s="2227"/>
      <c r="L718" s="2228"/>
      <c r="M718" s="2014" t="str">
        <f t="shared" si="69"/>
        <v>3. Eigene Kalkulation für den Regiepreis</v>
      </c>
      <c r="N718" s="1950" t="str">
        <f t="shared" si="69"/>
        <v>berechnen:</v>
      </c>
    </row>
    <row r="719" spans="1:18" ht="17.850000000000001" customHeight="1" x14ac:dyDescent="0.25">
      <c r="A719" s="866"/>
      <c r="B719" s="867"/>
      <c r="C719" s="867"/>
      <c r="D719" s="874" t="s">
        <v>705</v>
      </c>
      <c r="E719" s="873" t="e">
        <f ca="1">' K3 Regie5'!O$21</f>
        <v>#DIV/0!</v>
      </c>
      <c r="F719" s="870">
        <f ca="1">IFERROR(F718/E719,0)</f>
        <v>0</v>
      </c>
      <c r="G719" s="868" t="str">
        <f ca="1">IF(G718=0,"",$G$131)</f>
        <v/>
      </c>
      <c r="H719" s="1007">
        <f ca="1">IFERROR(H718*G719,0)</f>
        <v>0</v>
      </c>
      <c r="I719" s="613"/>
      <c r="J719" s="2227"/>
      <c r="K719" s="2227"/>
      <c r="L719" s="2228"/>
    </row>
    <row r="720" spans="1:18" ht="17.850000000000001" customHeight="1" x14ac:dyDescent="0.25">
      <c r="A720" s="392" t="s">
        <v>768</v>
      </c>
      <c r="B720" s="67"/>
      <c r="C720" s="346"/>
      <c r="D720" s="346"/>
      <c r="E720" s="346"/>
      <c r="F720" s="498"/>
      <c r="G720" s="346"/>
      <c r="H720" s="92">
        <f>IFERROR(IF(E716=M718,SUM(F719,H719),H716),"")</f>
        <v>0</v>
      </c>
      <c r="I720" s="613"/>
      <c r="J720" s="2227"/>
      <c r="K720" s="2227"/>
      <c r="L720" s="222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142" t="s">
        <v>767</v>
      </c>
      <c r="B721" s="2143"/>
      <c r="C721" s="2143"/>
      <c r="D721" s="928" t="s">
        <v>770</v>
      </c>
      <c r="E721" s="2137" t="s">
        <v>882</v>
      </c>
      <c r="F721" s="2138"/>
      <c r="G721" s="2138"/>
      <c r="H721" s="1010">
        <f>VLOOKUP(E721,M721:N724,2,FALSE)</f>
        <v>0</v>
      </c>
      <c r="I721" s="614" t="str">
        <f>IF(E721&lt;&gt;M721,"X","")</f>
        <v/>
      </c>
      <c r="J721" s="2227"/>
      <c r="K721" s="2227"/>
      <c r="L721" s="222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321" t="s">
        <v>563</v>
      </c>
      <c r="B722" s="2322"/>
      <c r="C722" s="2322"/>
      <c r="D722" s="2322"/>
      <c r="E722" s="553" t="s">
        <v>378</v>
      </c>
      <c r="F722" s="524" t="s">
        <v>192</v>
      </c>
      <c r="G722" s="926">
        <v>1</v>
      </c>
      <c r="H722" s="607"/>
      <c r="I722" s="614" t="str">
        <f>IF(AND(E721=M724,F722=_Ja),"X","")</f>
        <v/>
      </c>
      <c r="J722" s="2176" t="str">
        <f>IF(OR(F722=$Q$31,F722=$Q$32),"","Bitte Ja oder Nein wählen!")</f>
        <v/>
      </c>
      <c r="K722" s="2176"/>
      <c r="L722" s="2177"/>
      <c r="M722" s="2014" t="str">
        <f>M$444</f>
        <v>2. Regie mit Ø-Zuschlag wie K3 Zeile 8</v>
      </c>
      <c r="N722" s="1999">
        <f t="shared" ref="N722:Q722" ca="1" si="72">N$444</f>
        <v>2.9000000000000001E-2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22"/>
      <c r="C723" s="2123"/>
      <c r="D723" s="2124"/>
      <c r="E723" s="542" t="str">
        <f>IF(OR(ISBLANK(B723),F722=_Nein),"",IFERROR(VLOOKUP(B723,Stammdaten!A$39:C$48,3,FALSE),KALKULATION!$M$283))</f>
        <v/>
      </c>
      <c r="F723" s="1101"/>
      <c r="G723" s="544"/>
      <c r="H723" s="608"/>
      <c r="I723" s="614"/>
      <c r="J723" s="2178" t="str">
        <f>IF(F722&lt;&gt;$Q$31,"",IF(AND(E723=KALKULATION!$M$283,F722=$Q$31),"Auswahl erneut vornehmen (ungültiger Verweis)!",IF(OR(AND(F722=$Q$31,B723=""),AND(F722=$Q$32,B723&lt;&gt;"")),"Eingabe unvollständig (ergänzen,  löschen od Nein wählen)!","")))</f>
        <v>Eingabe unvollständig (ergänzen,  löschen od Nein wählen)!</v>
      </c>
      <c r="K723" s="2178"/>
      <c r="L723" s="2179"/>
      <c r="M723" s="2014" t="str">
        <f>M$445</f>
        <v>3. Regie mit Std-Zuschlag wie K3</v>
      </c>
      <c r="N723" s="1999">
        <f t="shared" ref="N723:Q723" ca="1" si="73">N$445</f>
        <v>0.57750000000000001</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297" t="s">
        <v>135</v>
      </c>
      <c r="B724" s="2298"/>
      <c r="C724" s="2298"/>
      <c r="D724" s="2298"/>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33" t="s">
        <v>560</v>
      </c>
      <c r="B725" s="2234"/>
      <c r="C725" s="2234"/>
      <c r="D725" s="2234"/>
      <c r="E725" s="2235"/>
      <c r="F725" s="351">
        <v>4</v>
      </c>
      <c r="G725" s="546" t="e">
        <f ca="1">IF(F725=1,1,IF(F725=2,((' K3 Regie5'!O$23+' K3 Regie5'!O$24)/' K3 Regie5'!O$23),IF(F725&gt;2,((' K3 Regie5'!O$23+' K3 Regie5'!O$24+' K3 Regie5'!O$25)/' K3 Regie5'!O$23),"")))</f>
        <v>#DIV/0!</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321" t="s">
        <v>565</v>
      </c>
      <c r="B726" s="2322"/>
      <c r="C726" s="2322"/>
      <c r="D726" s="2322"/>
      <c r="E726" s="553" t="s">
        <v>378</v>
      </c>
      <c r="F726" s="524" t="s">
        <v>192</v>
      </c>
      <c r="G726" s="543"/>
      <c r="H726" s="607"/>
      <c r="I726" s="614" t="str">
        <f>IF(AND(E721=M724,F726=_Ja),"X","")</f>
        <v/>
      </c>
      <c r="J726" s="2176"/>
      <c r="K726" s="2176"/>
      <c r="L726" s="2177"/>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22"/>
      <c r="C727" s="2123"/>
      <c r="D727" s="2124"/>
      <c r="E727" s="549" t="str">
        <f>IF(OR(ISBLANK(B727),F726=_Nein),"",IFERROR(VLOOKUP(B727,Stammdaten!A$50:C$54,3,FALSE),KALKULATION!$M$283))</f>
        <v/>
      </c>
      <c r="F727" s="1101"/>
      <c r="G727" s="544"/>
      <c r="H727" s="608"/>
      <c r="I727" s="614"/>
      <c r="J727" s="2178" t="str">
        <f>IF(F726&lt;&gt;$Q$31,"",IF(AND(E727=KALKULATION!$M$283,F726=$Q$31),"Auswahl erneut vornehmen (ungültiger Verweis)!",IF(OR(AND(F726=$Q$31,B727=""),AND(F726=$Q$32,B727&lt;&gt;"")),"Eingabe unvollständig (ergänzen,  löschen od Nein wählen)!","")))</f>
        <v>Eingabe unvollständig (ergänzen,  löschen od Nein wählen)!</v>
      </c>
      <c r="K727" s="2178"/>
      <c r="L727" s="2179"/>
      <c r="M727" s="1342" t="s">
        <v>863</v>
      </c>
      <c r="N727" s="2071" t="str">
        <f>IF(AND(E721=M724,F726=_Ja),B727,"")</f>
        <v/>
      </c>
      <c r="O727" s="2072"/>
      <c r="P727" s="1999" t="str">
        <f>IF(N727="","",E727)</f>
        <v/>
      </c>
      <c r="Q727" s="1951"/>
      <c r="R727" s="2073"/>
    </row>
    <row r="728" spans="1:18" ht="17.850000000000001" customHeight="1" x14ac:dyDescent="0.25">
      <c r="A728" s="2241" t="s">
        <v>198</v>
      </c>
      <c r="B728" s="2242"/>
      <c r="C728" s="2242"/>
      <c r="D728" s="2242"/>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33" t="str">
        <f>A725</f>
        <v xml:space="preserve">  Basis für die Aufzahlung in % (siehe Pkt C0; KZ = 1, 2, 3 od. 4):  ↓</v>
      </c>
      <c r="B729" s="2234"/>
      <c r="C729" s="2234"/>
      <c r="D729" s="2234"/>
      <c r="E729" s="2235"/>
      <c r="F729" s="351">
        <v>4</v>
      </c>
      <c r="G729" s="546" t="e">
        <f ca="1">IF(F729=1,1,IF(F729=2,((' K3 Regie5'!O$23+' K3 Regie5'!O$24)/' K3 Regie5'!O$23),IF(F729&gt;2,((' K3 Regie5'!O$23+' K3 Regie5'!O$24+' K3 Regie5'!O$25)/' K3 Regie5'!O$23),"")))</f>
        <v>#DIV/0!</v>
      </c>
      <c r="H729" s="608" t="str">
        <f ca="1">IFERROR(IF(F726=$Q$31,(E727*E728*G729),""),"??")</f>
        <v>??</v>
      </c>
      <c r="I729" s="614"/>
      <c r="J729" s="2176" t="str">
        <f>IF(F726&lt;&gt;$Q$31,"",IF(AND(ISBLANK(F729),F726=$Q$31),"Kennzeichen setzen!",""))</f>
        <v/>
      </c>
      <c r="K729" s="2176"/>
      <c r="L729" s="360"/>
      <c r="M729" s="1342" t="s">
        <v>868</v>
      </c>
      <c r="N729" s="1342">
        <f>IF(AND(N727&lt;&gt;"",N728&lt;&gt;""),2,IF(N727&amp;N728="",0,1))</f>
        <v>0</v>
      </c>
      <c r="R729" s="1965"/>
    </row>
    <row r="730" spans="1:18" ht="17.850000000000001" customHeight="1" x14ac:dyDescent="0.25">
      <c r="A730" s="2321" t="s">
        <v>566</v>
      </c>
      <c r="B730" s="2322"/>
      <c r="C730" s="2322"/>
      <c r="D730" s="2322"/>
      <c r="E730" s="553" t="s">
        <v>378</v>
      </c>
      <c r="F730" s="524" t="s">
        <v>192</v>
      </c>
      <c r="G730" s="547"/>
      <c r="H730" s="610"/>
      <c r="I730" s="614" t="str">
        <f>IF(AND(E721=M724,F730=_Ja),"X","")</f>
        <v/>
      </c>
      <c r="J730" s="2176"/>
      <c r="K730" s="2176"/>
      <c r="L730" s="2177"/>
      <c r="M730" s="1967"/>
      <c r="N730" s="2075" t="str">
        <f>IF(N729=2," "&amp;N727&amp;" "&amp;", "&amp;N728,IF(N729=1," "&amp;N727&amp;N728,""))</f>
        <v/>
      </c>
      <c r="O730" s="2075"/>
      <c r="P730" s="1967"/>
      <c r="Q730" s="1967"/>
      <c r="R730" s="1974"/>
    </row>
    <row r="731" spans="1:18" ht="17.850000000000001" customHeight="1" x14ac:dyDescent="0.25">
      <c r="A731" s="552" t="s">
        <v>379</v>
      </c>
      <c r="B731" s="2123"/>
      <c r="C731" s="2123"/>
      <c r="D731" s="2123"/>
      <c r="E731" s="550" t="str">
        <f>IF(OR(ISBLANK(B731),F730=_Nein),"",IFERROR(VLOOKUP(B731,Stammdaten!A$57:C$61,2,FALSE),KALKULATION!$M$283))</f>
        <v/>
      </c>
      <c r="F731" s="551" t="s">
        <v>197</v>
      </c>
      <c r="G731" s="548" t="e">
        <f ca="1">' K3 Regie5'!$O$21</f>
        <v>#DIV/0!</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1" t="s">
        <v>391</v>
      </c>
      <c r="B732" s="2222"/>
      <c r="C732" s="2222"/>
      <c r="D732" s="222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818" t="s">
        <v>385</v>
      </c>
      <c r="B733" s="2819"/>
      <c r="C733" s="2819"/>
      <c r="D733" s="2820"/>
      <c r="E733" s="2196" t="s">
        <v>640</v>
      </c>
      <c r="F733" s="2196"/>
      <c r="G733" s="2196" t="str">
        <f>G$455</f>
        <v>Optional überschrei-ben mit:</v>
      </c>
      <c r="H733" s="2125" t="str">
        <f>H$455</f>
        <v>Übertrag in K3 Regie</v>
      </c>
      <c r="I733" s="615"/>
      <c r="L733" s="216"/>
    </row>
    <row r="734" spans="1:18" ht="17.850000000000001" customHeight="1" x14ac:dyDescent="0.25">
      <c r="A734" s="2821"/>
      <c r="B734" s="2822"/>
      <c r="C734" s="2822"/>
      <c r="D734" s="2823"/>
      <c r="E734" s="2197"/>
      <c r="F734" s="2197"/>
      <c r="G734" s="2197"/>
      <c r="H734" s="2126"/>
      <c r="I734" s="615"/>
      <c r="L734" s="216"/>
    </row>
    <row r="735" spans="1:18" ht="17.850000000000001" customHeight="1" thickBot="1" x14ac:dyDescent="0.3">
      <c r="A735" s="2824"/>
      <c r="B735" s="2825"/>
      <c r="C735" s="2825"/>
      <c r="D735" s="2826"/>
      <c r="E735" s="2198"/>
      <c r="F735" s="2198"/>
      <c r="G735" s="2198"/>
      <c r="H735" s="2127"/>
      <c r="I735" s="615"/>
      <c r="L735" s="216"/>
    </row>
    <row r="736" spans="1:18" ht="17.850000000000001" customHeight="1" thickTop="1" x14ac:dyDescent="0.25">
      <c r="A736" s="2221" t="s">
        <v>386</v>
      </c>
      <c r="B736" s="2222"/>
      <c r="C736" s="2222"/>
      <c r="D736" s="2306"/>
      <c r="E736" s="51">
        <f ca="1">$H$228</f>
        <v>2.8</v>
      </c>
      <c r="F736" s="1887" t="e">
        <f>H705/G705</f>
        <v>#DIV/0!</v>
      </c>
      <c r="G736" s="364"/>
      <c r="H736" s="361" t="e">
        <f ca="1">IF(ISBLANK(G736),E736*(1+F736),G736)</f>
        <v>#DIV/0!</v>
      </c>
      <c r="I736" s="614" t="str">
        <f>IF(ISBLANK(G736),"","X")</f>
        <v/>
      </c>
      <c r="L736" s="216"/>
    </row>
    <row r="737" spans="1:17" ht="17.850000000000001" customHeight="1" x14ac:dyDescent="0.25">
      <c r="A737" s="2134" t="s">
        <v>387</v>
      </c>
      <c r="B737" s="2135"/>
      <c r="C737" s="2135"/>
      <c r="D737" s="2136"/>
      <c r="E737" s="48">
        <f ca="1">IF(E716=M717,$G$227,$G$229)</f>
        <v>1.1000000000000001</v>
      </c>
      <c r="F737" s="1888" t="e">
        <f>H705/G705</f>
        <v>#DIV/0!</v>
      </c>
      <c r="G737" s="341"/>
      <c r="H737" s="362" t="e">
        <f ca="1">IF(ISBLANK(G737),E737*(1+F737),G737)</f>
        <v>#DIV/0!</v>
      </c>
      <c r="I737" s="614" t="str">
        <f>IF(ISBLANK(G737),"","X")</f>
        <v/>
      </c>
      <c r="L737" s="216"/>
    </row>
    <row r="738" spans="1:17" ht="17.850000000000001" customHeight="1" x14ac:dyDescent="0.25">
      <c r="A738" s="2134" t="s">
        <v>388</v>
      </c>
      <c r="B738" s="2135"/>
      <c r="C738" s="2135"/>
      <c r="D738" s="2136"/>
      <c r="E738" s="157">
        <f ca="1">$H$236</f>
        <v>0.28000000000000003</v>
      </c>
      <c r="F738" s="156"/>
      <c r="G738" s="337"/>
      <c r="H738" s="363">
        <f ca="1">IF(ISBLANK(G738),E738,G738)</f>
        <v>0.28000000000000003</v>
      </c>
      <c r="I738" s="614" t="str">
        <f ca="1">IF(OR(G738&lt;&gt;0,E738&lt;&gt;H738),"X","")</f>
        <v/>
      </c>
      <c r="J738" s="2293" t="str">
        <f>IF(G738="","","Hinweis: DPNK lassen sich genau bestimmen/nachrechnen!")</f>
        <v/>
      </c>
      <c r="K738" s="2293"/>
      <c r="L738" s="2294"/>
    </row>
    <row r="739" spans="1:17" ht="17.850000000000001" customHeight="1" x14ac:dyDescent="0.25">
      <c r="A739" s="2134" t="s">
        <v>389</v>
      </c>
      <c r="B739" s="2135"/>
      <c r="C739" s="2135"/>
      <c r="D739" s="2136"/>
      <c r="E739" s="157">
        <f ca="1">$H$265</f>
        <v>0.72</v>
      </c>
      <c r="F739" s="156"/>
      <c r="G739" s="337"/>
      <c r="H739" s="363">
        <f ca="1">IF(ISBLANK(G739),E739,G739)</f>
        <v>0.72</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4" t="s">
        <v>594</v>
      </c>
      <c r="B741" s="2136"/>
      <c r="C741" s="199">
        <f>$E$306</f>
        <v>0.06</v>
      </c>
      <c r="D741" s="48">
        <f ca="1">$F$307</f>
        <v>3.46</v>
      </c>
      <c r="E741" s="338"/>
      <c r="F741" s="364"/>
      <c r="G741" s="363">
        <f>IF(ISBLANK(E741),C741,E741)</f>
        <v>0.06</v>
      </c>
      <c r="H741" s="361">
        <f ca="1">IF(ISBLANK(F741),D741,F741)</f>
        <v>3.46</v>
      </c>
      <c r="I741" s="614" t="str">
        <f>IF(OR(F741&lt;&gt;0,E741&lt;&gt;0),"X","")</f>
        <v/>
      </c>
      <c r="L741" s="216"/>
    </row>
    <row r="742" spans="1:17" ht="17.850000000000001" customHeight="1" x14ac:dyDescent="0.25">
      <c r="A742" s="2142" t="str">
        <f ca="1">"R5)"&amp;IF($G$327=0," Keine Umlagen unter Pkt H1 bzw H2 angelgt!"," Umlagen (K3 Spalte A)")</f>
        <v>R5) Keine Umlagen unter Pkt H1 bzw H2 angelgt!</v>
      </c>
      <c r="B742" s="2143"/>
      <c r="C742" s="2143"/>
      <c r="D742" s="2143"/>
      <c r="E742" s="2143"/>
      <c r="F742" s="2143"/>
      <c r="G742" s="2143"/>
      <c r="H742" s="2143"/>
      <c r="I742" s="615"/>
      <c r="L742" s="216"/>
    </row>
    <row r="743" spans="1:17" ht="17.850000000000001" customHeight="1" thickBot="1" x14ac:dyDescent="0.3">
      <c r="A743" s="2314" t="s">
        <v>562</v>
      </c>
      <c r="B743" s="2315"/>
      <c r="C743" s="2315"/>
      <c r="D743" s="2315"/>
      <c r="E743" s="523" t="str">
        <f ca="1">IF(SUM(F744:G746)&lt;&gt;$H$327,"!","")</f>
        <v/>
      </c>
      <c r="F743" s="715" t="s">
        <v>69</v>
      </c>
      <c r="G743" s="747" t="s">
        <v>673</v>
      </c>
      <c r="H743" s="1008" t="e">
        <f ca="1">' K3 Regie5'!O33</f>
        <v>#DIV/0!</v>
      </c>
      <c r="I743" s="615"/>
      <c r="J743" s="2319" t="str">
        <f ca="1">IF(E743="!","Hinweis: Es sind nicht alle oder andere Umlagen wie oben (Pkt H) für K3 ausgewählt! Berechnung erfolgt mit den hier ausgewählten Umlagen.","")</f>
        <v/>
      </c>
      <c r="K743" s="2319"/>
      <c r="L743" s="2320"/>
    </row>
    <row r="744" spans="1:17" ht="17.850000000000001" customHeight="1" thickTop="1" x14ac:dyDescent="0.25">
      <c r="A744" s="2370"/>
      <c r="B744" s="2370"/>
      <c r="C744" s="2370"/>
      <c r="D744" s="2370"/>
      <c r="E744" s="2370"/>
      <c r="F744" s="85" t="str">
        <f>IF(A744="","",IFERROR(VLOOKUP(A744,A$329:E$333,2,FALSE),KALKULATION!$M$283))</f>
        <v/>
      </c>
      <c r="G744" s="158" t="str">
        <f>IF(A744="","",IFERROR(VLOOKUP(A744,A$329:E$333,3,FALSE),""))</f>
        <v/>
      </c>
      <c r="H744" s="85" t="str">
        <f>IF(OR(G744="",G744=0),"",G744*H$743)</f>
        <v/>
      </c>
      <c r="I744" s="615"/>
      <c r="J744" s="2319"/>
      <c r="K744" s="2319"/>
      <c r="L744" s="2320"/>
    </row>
    <row r="745" spans="1:17" ht="17.850000000000001" customHeight="1" x14ac:dyDescent="0.25">
      <c r="A745" s="2265"/>
      <c r="B745" s="2265"/>
      <c r="C745" s="2265"/>
      <c r="D745" s="2265"/>
      <c r="E745" s="2265"/>
      <c r="F745" s="85" t="str">
        <f>IF(A745="","",IFERROR(VLOOKUP(A745,A$329:E$333,2,FALSE),KALKULATION!$M$283))</f>
        <v/>
      </c>
      <c r="G745" s="158" t="str">
        <f t="shared" ref="G745:G746" si="75">IF(A745="","",IFERROR(VLOOKUP(A745,A$329:E$333,3,FALSE),""))</f>
        <v/>
      </c>
      <c r="H745" s="85" t="str">
        <f t="shared" ref="H745:H746" si="76">IF(OR(G745="",G745=0),"",G745*H$743)</f>
        <v/>
      </c>
      <c r="I745" s="615"/>
      <c r="J745" s="2319"/>
      <c r="K745" s="2319"/>
      <c r="L745" s="2320"/>
    </row>
    <row r="746" spans="1:17" ht="17.850000000000001" customHeight="1" x14ac:dyDescent="0.25">
      <c r="A746" s="2265"/>
      <c r="B746" s="2265"/>
      <c r="C746" s="2265"/>
      <c r="D746" s="2265"/>
      <c r="E746" s="2265"/>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180" t="str">
        <f>IF(SUM(F744:H746)=0,"R5.b) GZ auf UMLAGEN - keine Umlagen ausgewählt (oder in Pkt H1 angelegt)","R5.b) GZ auf Umlagen")</f>
        <v>R5.b) GZ auf UMLAGEN - keine Umlagen ausgewählt (oder in Pkt H1 angelegt)</v>
      </c>
      <c r="B747" s="2181"/>
      <c r="C747" s="2181"/>
      <c r="D747" s="2181"/>
      <c r="E747" s="2181"/>
      <c r="F747" s="2182"/>
      <c r="G747" s="2182"/>
      <c r="H747" s="2181"/>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1" t="s">
        <v>561</v>
      </c>
      <c r="B748" s="2222"/>
      <c r="C748" s="2222"/>
      <c r="D748" s="2137"/>
      <c r="E748" s="2138"/>
      <c r="F748" s="2139"/>
      <c r="G748" s="196" t="str">
        <f>IF(D748="","",IFERROR(VLOOKUP(D748,'K2 GZ'!I$25:M$32,5,FALSE),KALKULATION!$M$283))</f>
        <v/>
      </c>
      <c r="H748" s="1009" t="str">
        <f ca="1">IF($G$327=0,"",IF(G748=KALKULATION!$M$283,"",IF(SUM(F744:H746)=0,"",IF(D748="",$G$346,G748))))</f>
        <v/>
      </c>
      <c r="I748" s="614" t="str">
        <f>IF(AND(D748&lt;&gt;"",SUM(F744:H746)&lt;&gt;0),"X","")</f>
        <v/>
      </c>
      <c r="J748" s="2178" t="str">
        <f ca="1">IF(G748=KALKULATION!$M$283,"Auswahl erneut vornehmen (ungült. Verweis)/Text löschen!",IF(AND(H748="",SUM(F744:G746)&lt;&gt;0),"GZ fehlt oder gleich 0!)",""))</f>
        <v/>
      </c>
      <c r="K748" s="2178"/>
      <c r="L748" s="2179"/>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93"/>
      <c r="B749" s="2394"/>
      <c r="C749" s="2394"/>
      <c r="D749" s="2394"/>
      <c r="E749" s="2394"/>
      <c r="F749" s="2394"/>
      <c r="G749" s="2394"/>
      <c r="H749" s="2394"/>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180" t="str">
        <f>A$472</f>
        <v>R6) GZ auf PERSONALKOSTEN (K3 Spalte B)</v>
      </c>
      <c r="B750" s="2181"/>
      <c r="C750" s="2181"/>
      <c r="D750" s="2313"/>
      <c r="E750" s="2313"/>
      <c r="F750" s="2313"/>
      <c r="G750" s="2313"/>
      <c r="H750" s="2313"/>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459" t="s">
        <v>561</v>
      </c>
      <c r="B751" s="2460"/>
      <c r="C751" s="2460"/>
      <c r="D751" s="2309"/>
      <c r="E751" s="2276"/>
      <c r="F751" s="2686"/>
      <c r="G751" s="834" t="str">
        <f>IF(D751="","",IFERROR(VLOOKUP(D751,'K2 GZ'!I$25:M$32,5,FALSE),KALKULATION!$M$283))</f>
        <v/>
      </c>
      <c r="H751" s="1138">
        <f>IF(G751=KALKULATION!$M$283,"",IF(D751="",$G$345,G751))</f>
        <v>0.28999999999999998</v>
      </c>
      <c r="I751" s="614" t="str">
        <f>IF(D751&lt;&gt;"","X","")</f>
        <v/>
      </c>
      <c r="J751" s="2178" t="str">
        <f>IF(G751=KALKULATION!$M$283,"Auswahl erneut vornehmen (ungültiger Verweis)!",IF(H751=KALKULATION!$M$283,"GZ aus K2-Blatt wählen!",""))</f>
        <v/>
      </c>
      <c r="K751" s="2178"/>
      <c r="L751" s="2179"/>
      <c r="M751" s="2083" t="s">
        <v>642</v>
      </c>
      <c r="N751" s="2084" t="str">
        <f>IF(N730="",""," in ["&amp;N730&amp;"]")</f>
        <v/>
      </c>
      <c r="O751" s="2083"/>
      <c r="P751" s="2085"/>
    </row>
    <row r="752" spans="1:17" ht="20.100000000000001" customHeight="1" x14ac:dyDescent="0.25">
      <c r="A752" s="1194" t="s">
        <v>384</v>
      </c>
      <c r="B752" s="832"/>
      <c r="C752" s="832"/>
      <c r="D752" s="2828" t="str">
        <f>D714</f>
        <v>Ø-Preis pro Person</v>
      </c>
      <c r="E752" s="2828"/>
      <c r="F752" s="2828"/>
      <c r="G752" s="832"/>
      <c r="H752" s="833">
        <f ca="1">' K3 Regie5'!N45</f>
        <v>0</v>
      </c>
      <c r="I752" s="617"/>
      <c r="J752" s="383"/>
      <c r="K752" s="383"/>
      <c r="L752" s="384"/>
      <c r="M752" s="2080"/>
      <c r="N752" s="2086"/>
      <c r="O752" s="2080"/>
      <c r="P752" s="2082"/>
    </row>
    <row r="753" spans="1:16" ht="17.850000000000001" customHeight="1" x14ac:dyDescent="0.25">
      <c r="A753" s="2116" t="s">
        <v>713</v>
      </c>
      <c r="B753" s="2267"/>
      <c r="C753" s="2193" t="str">
        <f>IFERROR(VLOOKUP(A755,M756:N763,2,FALSE),KALKULATION!$M$283)</f>
        <v>Regielohnpreis gesamt als Ø-Preis pro Person und Stunde</v>
      </c>
      <c r="D753" s="2193"/>
      <c r="E753" s="2193"/>
      <c r="F753" s="2193"/>
      <c r="G753" s="2193"/>
      <c r="H753" s="2193"/>
      <c r="I753" s="724"/>
      <c r="J753" s="2326" t="str">
        <f ca="1">IF(OR(H751&lt;Report!$G$13,KALKULATION!H751&gt;Report!$F$13,AND(SUM(KALKULATION!F744:H746)&lt;&gt;0,OR(H748&lt;Report!$G$13,KALKULATION!H748&gt;Report!$F$13))),"Hinweis: GZ in R5.b oder R6 liegt außerhalb der empfohlenen Grenzwerte gem Blatt REPORT!","")</f>
        <v/>
      </c>
      <c r="K753" s="2326"/>
      <c r="L753" s="2327"/>
      <c r="M753" s="2078"/>
      <c r="N753" s="2087"/>
      <c r="O753" s="2078"/>
      <c r="P753" s="2079"/>
    </row>
    <row r="754" spans="1:16" ht="17.850000000000001" customHeight="1" x14ac:dyDescent="0.25">
      <c r="A754" s="2117"/>
      <c r="B754" s="2310"/>
      <c r="C754" s="2193"/>
      <c r="D754" s="2193"/>
      <c r="E754" s="2193"/>
      <c r="F754" s="2193"/>
      <c r="G754" s="2193"/>
      <c r="H754" s="2193"/>
      <c r="I754" s="724"/>
      <c r="J754" s="2328"/>
      <c r="K754" s="2328"/>
      <c r="L754" s="2329"/>
      <c r="M754" s="2101" t="s">
        <v>709</v>
      </c>
      <c r="N754" s="2101" t="str">
        <f ca="1">N750&amp;N751</f>
        <v/>
      </c>
      <c r="P754" s="2102"/>
    </row>
    <row r="755" spans="1:16" ht="17.850000000000001" customHeight="1" x14ac:dyDescent="0.25">
      <c r="A755" s="2857" t="s">
        <v>718</v>
      </c>
      <c r="B755" s="2858"/>
      <c r="C755" s="2195"/>
      <c r="D755" s="2195"/>
      <c r="E755" s="2195"/>
      <c r="F755" s="2195"/>
      <c r="G755" s="2195"/>
      <c r="H755" s="2195"/>
      <c r="I755" s="724"/>
      <c r="L755" s="216"/>
      <c r="M755" s="1958" t="s">
        <v>710</v>
      </c>
      <c r="N755" s="1984"/>
    </row>
    <row r="756" spans="1:16" ht="17.850000000000001" customHeight="1" x14ac:dyDescent="0.25">
      <c r="A756" s="2116" t="s">
        <v>711</v>
      </c>
      <c r="B756" s="2272"/>
      <c r="C756" s="2385" t="s">
        <v>981</v>
      </c>
      <c r="D756" s="2385"/>
      <c r="E756" s="2385"/>
      <c r="F756" s="2385"/>
      <c r="G756" s="2385"/>
      <c r="H756" s="2385"/>
      <c r="I756" s="724"/>
      <c r="L756" s="216"/>
      <c r="M756" s="1946" t="s">
        <v>717</v>
      </c>
      <c r="N756" s="2103" t="str">
        <f>O746&amp;Q748</f>
        <v>Regielohnpreis gesamt als Ø-Preis pro Person und Stunde</v>
      </c>
    </row>
    <row r="757" spans="1:16" ht="17.850000000000001" customHeight="1" x14ac:dyDescent="0.25">
      <c r="A757" s="2117"/>
      <c r="B757" s="2299"/>
      <c r="C757" s="2571"/>
      <c r="D757" s="2571"/>
      <c r="E757" s="2571"/>
      <c r="F757" s="2571"/>
      <c r="G757" s="2571"/>
      <c r="H757" s="2571"/>
      <c r="I757" s="724"/>
      <c r="L757" s="216"/>
      <c r="M757" s="1946" t="s">
        <v>718</v>
      </c>
      <c r="N757" s="2103" t="str">
        <f>O746&amp;O749</f>
        <v>Regielohnpreis gesamt als Ø-Preis pro Person und Stunde</v>
      </c>
    </row>
    <row r="758" spans="1:16" ht="17.850000000000001" customHeight="1" x14ac:dyDescent="0.25">
      <c r="A758" s="2117"/>
      <c r="B758" s="2299"/>
      <c r="C758" s="2571"/>
      <c r="D758" s="2571"/>
      <c r="E758" s="2571"/>
      <c r="F758" s="2571"/>
      <c r="G758" s="2571"/>
      <c r="H758" s="2571"/>
      <c r="I758" s="724"/>
      <c r="L758" s="216"/>
      <c r="M758" s="1946" t="s">
        <v>719</v>
      </c>
      <c r="N758" s="2103" t="str">
        <f>O746&amp;O747&amp;Q748</f>
        <v>Regielohnpreis gesamt [? Keine Bezeichnung vorhanden ? als Ø-Preis pro Person und Stunde</v>
      </c>
    </row>
    <row r="759" spans="1:16" ht="17.850000000000001" customHeight="1" x14ac:dyDescent="0.25">
      <c r="A759" s="2841"/>
      <c r="B759" s="2842"/>
      <c r="C759" s="2842"/>
      <c r="D759" s="2842"/>
      <c r="E759" s="2842"/>
      <c r="F759" s="2842"/>
      <c r="G759" s="2842"/>
      <c r="H759" s="2842"/>
      <c r="I759" s="2842"/>
      <c r="L759" s="216"/>
      <c r="M759" s="1946" t="s">
        <v>720</v>
      </c>
      <c r="N759" s="2104" t="str">
        <f>O746&amp;O747&amp;O749</f>
        <v>Regielohnpreis gesamt [? Keine Bezeichnung vorhanden ? als Ø-Preis pro Person und Stunde</v>
      </c>
    </row>
    <row r="760" spans="1:16" ht="17.850000000000001" customHeight="1" x14ac:dyDescent="0.25">
      <c r="A760" s="2117" t="s">
        <v>672</v>
      </c>
      <c r="B760" s="2121"/>
      <c r="C760" s="2121"/>
      <c r="D760" s="2121"/>
      <c r="E760" s="2121"/>
      <c r="F760" s="2121"/>
      <c r="G760" s="2121"/>
      <c r="H760" s="2121"/>
      <c r="I760" s="2121"/>
      <c r="J760" s="45"/>
      <c r="L760" s="216"/>
      <c r="M760" s="1946" t="s">
        <v>721</v>
      </c>
      <c r="N760" s="2105" t="str">
        <f ca="1">O746&amp;Q748&amp;N754</f>
        <v>Regielohnpreis gesamt als Ø-Preis pro Person und Stunde</v>
      </c>
    </row>
    <row r="761" spans="1:16" ht="17.850000000000001" customHeight="1" x14ac:dyDescent="0.25">
      <c r="A761" s="2117"/>
      <c r="B761" s="2121"/>
      <c r="C761" s="2121"/>
      <c r="D761" s="2121"/>
      <c r="E761" s="2121"/>
      <c r="F761" s="2121"/>
      <c r="G761" s="2121"/>
      <c r="H761" s="2121"/>
      <c r="I761" s="2121"/>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835"/>
      <c r="B762" s="2835"/>
      <c r="C762" s="2835"/>
      <c r="D762" s="2835"/>
      <c r="E762" s="2835"/>
      <c r="F762" s="2835"/>
      <c r="G762" s="2835"/>
      <c r="H762" s="2835"/>
      <c r="I762" s="2835"/>
      <c r="L762" s="216"/>
      <c r="M762" s="1946" t="s">
        <v>887</v>
      </c>
      <c r="N762" s="2104" t="str">
        <f ca="1">O746&amp;O747&amp;O749&amp;N754</f>
        <v>Regielohnpreis gesamt [? Keine Bezeichnung vorhanden ? als Ø-Preis pro Person und Stunde</v>
      </c>
    </row>
    <row r="763" spans="1:16" ht="25.15" customHeight="1" x14ac:dyDescent="0.25">
      <c r="A763" s="2838" t="str">
        <f>IF(A769="","Regie 6 -  [keine Beschäftigungsgruppe ausgewählt]",IF(D769=KALKULATION!$M$283," Regie 6 - [nicht vorhandene Beschäftigungsgruppe]",M764&amp;M765))</f>
        <v>Regie 6 -  [keine Beschäftigungsgruppe ausgewählt]</v>
      </c>
      <c r="B763" s="2839"/>
      <c r="C763" s="2839"/>
      <c r="D763" s="2839"/>
      <c r="E763" s="2839"/>
      <c r="F763" s="2839"/>
      <c r="G763" s="2839"/>
      <c r="H763" s="2839"/>
      <c r="I763" s="2839"/>
      <c r="J763" s="2238" t="str">
        <f>IF(AND(A770&amp;A771&amp;A772&amp;A773&lt;&gt;"",A769=""),"Die erste Eintragung muss in der 1. Zeile von R1 erfolgen!","")</f>
        <v/>
      </c>
      <c r="K763" s="2238"/>
      <c r="L763" s="2239"/>
      <c r="M763" s="1946" t="s">
        <v>716</v>
      </c>
      <c r="N763" s="2104" t="str">
        <f>C756</f>
        <v># Ihre individuelle Bezeichnung für die Auswahl in R7.a können Sie in R7.b eintragen.</v>
      </c>
    </row>
    <row r="764" spans="1:16" ht="17.850000000000001" customHeight="1" x14ac:dyDescent="0.25">
      <c r="A764" s="2117" t="s">
        <v>533</v>
      </c>
      <c r="B764" s="2417"/>
      <c r="C764" s="2418"/>
      <c r="D764" s="2840" t="s">
        <v>939</v>
      </c>
      <c r="E764" s="2571"/>
      <c r="F764" s="2571"/>
      <c r="G764" s="2571"/>
      <c r="H764" s="2571"/>
      <c r="I764" s="991"/>
      <c r="J764" s="2167" t="str">
        <f>IF(AND(COUNTA(A769:C773)=1,E769&lt;&gt;1),"Hinweis: Wenn nur eine Beschäftigungsgruppe angelegt wird, sollte die Anzahl 1,00 sein (wie Regie 1 bis Regie 4). Gfg korrigieren oder weitere Beschäftigte zur Bildung einer Partie hinzufügen","")</f>
        <v/>
      </c>
      <c r="K764" s="2167"/>
      <c r="L764" s="2167"/>
      <c r="M764" s="2094"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405"/>
      <c r="B765" s="2406"/>
      <c r="C765" s="2407"/>
      <c r="D765" s="2386"/>
      <c r="E765" s="2387"/>
      <c r="F765" s="2387"/>
      <c r="G765" s="2387"/>
      <c r="H765" s="2387"/>
      <c r="I765" s="817"/>
      <c r="J765" s="2167"/>
      <c r="K765" s="2167"/>
      <c r="L765" s="2167"/>
      <c r="M765" s="2106" t="str">
        <f>IF(AND(COUNTA(A769:C773)&gt;1,A769&lt;&gt;""),O820&amp;" 6 - 'Regiepartie' mit Ergebnis "&amp;IF(H767="Ø"," Ø-Preis/Person",IF(H767="∑"," Gesamtpreis der Partie"," (??) KZ in R0.b wählen!")),"")</f>
        <v/>
      </c>
    </row>
    <row r="766" spans="1:16" ht="17.850000000000001" customHeight="1" x14ac:dyDescent="0.25">
      <c r="A766" s="2134" t="s">
        <v>645</v>
      </c>
      <c r="B766" s="2135"/>
      <c r="C766" s="2136"/>
      <c r="D766" s="2368"/>
      <c r="E766" s="2369"/>
      <c r="F766" s="2369"/>
      <c r="G766" s="2369"/>
      <c r="H766" s="2369"/>
      <c r="I766" s="817"/>
      <c r="J766" s="2167"/>
      <c r="K766" s="2167"/>
      <c r="L766" s="2167"/>
    </row>
    <row r="767" spans="1:16" ht="17.850000000000001" customHeight="1" x14ac:dyDescent="0.25">
      <c r="A767" s="2134" t="s">
        <v>396</v>
      </c>
      <c r="B767" s="2135"/>
      <c r="C767" s="2135"/>
      <c r="D767" s="2135"/>
      <c r="E767" s="2135"/>
      <c r="F767" s="2135"/>
      <c r="G767" s="2135"/>
      <c r="H767" s="1212" t="s">
        <v>392</v>
      </c>
      <c r="I767" s="817"/>
      <c r="J767" s="1121" t="str">
        <f>IF(H767="","KZ für Berechnung der ges. Partie (∑) od. des Ø/Person?","")</f>
        <v/>
      </c>
    </row>
    <row r="768" spans="1:16" ht="17.850000000000001" customHeight="1" thickBot="1" x14ac:dyDescent="0.3">
      <c r="A768" s="2266" t="s">
        <v>395</v>
      </c>
      <c r="B768" s="2266"/>
      <c r="C768" s="2266"/>
      <c r="D768" s="2266"/>
      <c r="E768" s="715" t="s">
        <v>18</v>
      </c>
      <c r="F768" s="715"/>
      <c r="G768" s="1011" t="s">
        <v>72</v>
      </c>
      <c r="H768" s="1120" t="s">
        <v>73</v>
      </c>
      <c r="I768" s="817"/>
    </row>
    <row r="769" spans="1:13" ht="17.850000000000001" customHeight="1" thickTop="1" x14ac:dyDescent="0.25">
      <c r="A769" s="2370"/>
      <c r="B769" s="2370"/>
      <c r="C769" s="2370"/>
      <c r="D769" s="51">
        <f ca="1">IFERROR(VLOOKUP(A769,Stammdaten!A$7:D$33,4,FALSE),KALKULATION!$M$283)</f>
        <v>0</v>
      </c>
      <c r="E769" s="327"/>
      <c r="F769" s="1225" t="str">
        <f>IF(A769="","",IFERROR(E769/E$774,""))</f>
        <v/>
      </c>
      <c r="G769" s="136" t="str">
        <f ca="1">IFERROR(VLOOKUP(A769,Stammdaten!A$7:F$33,4,FALSE)*F769,"")</f>
        <v/>
      </c>
      <c r="H769" s="1221" t="str">
        <f ca="1">IFERROR(VLOOKUP(A769,Stammdaten!A$7:F$33,6,FALSE)*F769,"")</f>
        <v/>
      </c>
      <c r="I769" s="817"/>
      <c r="J769" s="2178" t="str">
        <f ca="1">IF(OR(COUNTA(A769,E769)=2,COUNTA(A769,E769)=0),IF(D769=KALKULATION!$M$283,"Auswahl erneut vornehmen (ungültiger Verweis)!",""),"Eingabe unvollständig (ergänzen oder löschen)!")</f>
        <v/>
      </c>
      <c r="K769" s="2178"/>
      <c r="L769" s="2179"/>
    </row>
    <row r="770" spans="1:13" ht="17.850000000000001" customHeight="1" x14ac:dyDescent="0.25">
      <c r="A770" s="2265"/>
      <c r="B770" s="2265"/>
      <c r="C770" s="2265"/>
      <c r="D770" s="48">
        <f ca="1">IFERROR(VLOOKUP(A770,Stammdaten!A$7:D$33,4,FALSE),KALKULATION!$M$283)</f>
        <v>0</v>
      </c>
      <c r="E770" s="380"/>
      <c r="F770" s="1226" t="str">
        <f t="shared" ref="F770:F773" si="77">IFERROR(E770/E$774,"")</f>
        <v/>
      </c>
      <c r="G770" s="54" t="str">
        <f ca="1">IFERROR(VLOOKUP(A770,Stammdaten!A$7:F$33,4,FALSE)*F770,"")</f>
        <v/>
      </c>
      <c r="H770" s="1222" t="str">
        <f ca="1">IFERROR(VLOOKUP(A770,Stammdaten!A$7:F$33,6,FALSE)*F770,"")</f>
        <v/>
      </c>
      <c r="I770" s="817"/>
      <c r="J770" s="2178" t="str">
        <f ca="1">IF(OR(COUNTA(A770,E770)=2,COUNTA(A770,E770)=0),IF(D770=KALKULATION!$M$283,"Auswahl erneut vornehmen (ungültiger Verweis)!",""),"Eingabe unvollständig (ergänzen oder löschen)!")</f>
        <v/>
      </c>
      <c r="K770" s="2178"/>
      <c r="L770" s="2179"/>
    </row>
    <row r="771" spans="1:13" ht="17.850000000000001" customHeight="1" x14ac:dyDescent="0.25">
      <c r="A771" s="2137"/>
      <c r="B771" s="2138"/>
      <c r="C771" s="2139"/>
      <c r="D771" s="48">
        <f ca="1">IFERROR(VLOOKUP(A771,Stammdaten!A$7:D$33,4,FALSE),KALKULATION!$M$283)</f>
        <v>0</v>
      </c>
      <c r="E771" s="380"/>
      <c r="F771" s="1226" t="str">
        <f t="shared" si="77"/>
        <v/>
      </c>
      <c r="G771" s="54" t="str">
        <f ca="1">IFERROR(VLOOKUP(A771,Stammdaten!A$7:F$33,4,FALSE)*F771,"")</f>
        <v/>
      </c>
      <c r="H771" s="1222" t="str">
        <f ca="1">IFERROR(VLOOKUP(A771,Stammdaten!A$7:F$33,6,FALSE)*F771,"")</f>
        <v/>
      </c>
      <c r="I771" s="817"/>
      <c r="J771" s="2178" t="str">
        <f ca="1">IF(OR(COUNTA(A771,E771)=2,COUNTA(A771,E771)=0),IF(D771=KALKULATION!$M$283,"Auswahl erneut vornehmen (ungültiger Verweis)!",""),"Eingabe unvollständig (ergänzen oder löschen)!")</f>
        <v/>
      </c>
      <c r="K771" s="2178"/>
      <c r="L771" s="2179"/>
    </row>
    <row r="772" spans="1:13" ht="17.850000000000001" customHeight="1" x14ac:dyDescent="0.25">
      <c r="A772" s="2265"/>
      <c r="B772" s="2265"/>
      <c r="C772" s="2265"/>
      <c r="D772" s="48">
        <f ca="1">IFERROR(VLOOKUP(A772,Stammdaten!A$7:D$33,4,FALSE),KALKULATION!$M$283)</f>
        <v>0</v>
      </c>
      <c r="E772" s="380"/>
      <c r="F772" s="1226" t="str">
        <f t="shared" si="77"/>
        <v/>
      </c>
      <c r="G772" s="54" t="str">
        <f ca="1">IFERROR(VLOOKUP(A772,Stammdaten!A$7:F$33,4,FALSE)*F772,"")</f>
        <v/>
      </c>
      <c r="H772" s="1222" t="str">
        <f ca="1">IFERROR(VLOOKUP(A772,Stammdaten!A$7:F$33,6,FALSE)*F772,"")</f>
        <v/>
      </c>
      <c r="I772" s="817"/>
      <c r="J772" s="2178" t="str">
        <f ca="1">IF(OR(COUNTA(A772,E772)=2,COUNTA(A772,E772)=0),IF(D772=KALKULATION!$M$283,"Auswahl erneut vornehmen (ungültiger Verweis)!",""),"Eingabe unvollständig (ergänzen oder löschen)!")</f>
        <v/>
      </c>
      <c r="K772" s="2178"/>
      <c r="L772" s="2179"/>
    </row>
    <row r="773" spans="1:13" ht="17.850000000000001" customHeight="1" thickBot="1" x14ac:dyDescent="0.3">
      <c r="A773" s="2295"/>
      <c r="B773" s="2295"/>
      <c r="C773" s="2295"/>
      <c r="D773" s="60">
        <f ca="1">IFERROR(VLOOKUP(A773,Stammdaten!A$7:D$33,4,FALSE),KALKULATION!$M$283)</f>
        <v>0</v>
      </c>
      <c r="E773" s="328"/>
      <c r="F773" s="1227" t="str">
        <f t="shared" si="77"/>
        <v/>
      </c>
      <c r="G773" s="213" t="str">
        <f ca="1">IFERROR(VLOOKUP(A773,Stammdaten!A$7:F$33,4,FALSE)*F773,"")</f>
        <v/>
      </c>
      <c r="H773" s="1223" t="str">
        <f ca="1">IFERROR(VLOOKUP(A773,Stammdaten!A$7:F$33,6,FALSE)*F773,"")</f>
        <v/>
      </c>
      <c r="I773" s="817"/>
      <c r="J773" s="2178" t="str">
        <f ca="1">IF(OR(COUNTA(A773,E773)=2,COUNTA(A773,E773)=0),IF(D773=KALKULATION!$M$283,"Auswahl erneut vornehmen (ungültiger Verweis)!",""),"Eingabe unvollständig (ergänzen oder löschen)!")</f>
        <v/>
      </c>
      <c r="K773" s="2178"/>
      <c r="L773" s="2179"/>
    </row>
    <row r="774" spans="1:13" ht="17.850000000000001" customHeight="1" x14ac:dyDescent="0.25">
      <c r="A774" s="2221" t="s">
        <v>92</v>
      </c>
      <c r="B774" s="2222"/>
      <c r="C774" s="2222"/>
      <c r="D774" s="2306"/>
      <c r="E774" s="49">
        <f>SUM(E769:E773)</f>
        <v>0</v>
      </c>
      <c r="F774" s="382">
        <f>SUM(F769:F773)</f>
        <v>0</v>
      </c>
      <c r="G774" s="51">
        <f ca="1">IF(AND(_OK?="OK!",_OK_KV?="OK_KV!"),SUM(G769:G773),ROUNDUP(SUM(G769:G773),0))</f>
        <v>0</v>
      </c>
      <c r="H774" s="84">
        <f ca="1">SUM(H769:H773)</f>
        <v>0</v>
      </c>
      <c r="I774" s="818" t="str">
        <f ca="1">IF(OR(_OK?&lt;&gt;"OK!",_OK_KV?&lt;&gt;"OK_KV!"),"X","")</f>
        <v>X</v>
      </c>
      <c r="J774" s="2319" t="str">
        <f>IF(E774&lt;1,M775,IF(H767="∑",IF(INT(E774)&lt;&gt;E774,"Hinweis: Partien bestehen aus ganzen 'Köpfen'! Ev. Eingaben ändern oder KZ auf Ø stellen.",""),""))</f>
        <v>Anzahl darf nicht unter 1,00 liegen!!</v>
      </c>
      <c r="K774" s="2319"/>
      <c r="L774" s="2320"/>
    </row>
    <row r="775" spans="1:13" ht="17.850000000000001" customHeight="1" x14ac:dyDescent="0.25">
      <c r="A775" s="2142" t="s">
        <v>894</v>
      </c>
      <c r="B775" s="2143"/>
      <c r="C775" s="2143"/>
      <c r="D775" s="2143"/>
      <c r="E775" s="2143"/>
      <c r="F775" s="2143"/>
      <c r="G775" s="2143"/>
      <c r="H775" s="2143"/>
      <c r="I775" s="817"/>
      <c r="J775" s="2319"/>
      <c r="K775" s="2319"/>
      <c r="L775" s="2320"/>
      <c r="M775" s="1342" t="str">
        <f>M701</f>
        <v>Anzahl darf nicht unter 1,00 liegen!!</v>
      </c>
    </row>
    <row r="776" spans="1:13" ht="17.850000000000001" customHeight="1" thickBot="1" x14ac:dyDescent="0.3">
      <c r="A776" s="2395"/>
      <c r="B776" s="2396"/>
      <c r="C776" s="2397"/>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78" t="str">
        <f ca="1">IF(OR(COUNTA(A776,E776)=2,COUNTA(A776,E776)=0),IF(D776=KALKULATION!$M$283,"Auswahl erneut vornehmen (ungültiger Verweis)!",""),"Eingabe unvollständig (ergänzen oder löschen)!")</f>
        <v/>
      </c>
      <c r="K776" s="2178"/>
      <c r="L776" s="217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78" t="str">
        <f>IF(E777&gt;=E774,"Unzulässige Umlage (R2 größer/gleich R1)!!!",IF(AND(E777&lt;&gt;0,G774=0),"Beschäftigungsgruppe in R1 wählen!",""))</f>
        <v>Unzulässige Umlage (R2 größer/gleich R1)!!!</v>
      </c>
      <c r="K777" s="2178"/>
      <c r="L777" s="2179"/>
    </row>
    <row r="778" spans="1:13" ht="17.850000000000001" customHeight="1" x14ac:dyDescent="0.25">
      <c r="A778" s="2134" t="s">
        <v>841</v>
      </c>
      <c r="B778" s="2135"/>
      <c r="C778" s="2135"/>
      <c r="D778" s="2135"/>
      <c r="E778" s="2135"/>
      <c r="F778" s="2135"/>
      <c r="G778" s="2135"/>
      <c r="H778" s="572">
        <v>0</v>
      </c>
      <c r="I778" s="820"/>
      <c r="L778" s="216"/>
    </row>
    <row r="779" spans="1:13" ht="17.850000000000001" customHeight="1" x14ac:dyDescent="0.25">
      <c r="A779" s="2287"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288"/>
      <c r="C779" s="2288"/>
      <c r="D779" s="2288"/>
      <c r="E779" s="2288"/>
      <c r="F779" s="2288"/>
      <c r="G779" s="367">
        <f>IF(H778=1,E774,E774-E777)</f>
        <v>0</v>
      </c>
      <c r="H779" s="367">
        <f>E777</f>
        <v>0</v>
      </c>
      <c r="I779" s="817"/>
      <c r="J779" s="2176" t="str">
        <f>IF(AND(ISBLANK(H778),E777&lt;&gt;0),"Kennzeichen eingeben! Es sind unprod. Zeiten kalkuliert.","")</f>
        <v/>
      </c>
      <c r="K779" s="2176"/>
      <c r="L779" s="2177"/>
    </row>
    <row r="780" spans="1:13" ht="17.850000000000001" customHeight="1" x14ac:dyDescent="0.25">
      <c r="A780" s="2829"/>
      <c r="B780" s="2830"/>
      <c r="C780" s="2830"/>
      <c r="D780" s="2830"/>
      <c r="E780" s="2830"/>
      <c r="F780" s="2830"/>
      <c r="G780" s="2830"/>
      <c r="H780" s="2830"/>
      <c r="I780" s="817"/>
      <c r="J780" s="2280" t="str">
        <f>IFERROR(IF(H779/G779&gt;Report!$F$7,"Hinweis: Unproduktiver Anteil erscheint hoch!",""),"Der unprod. Anteil löst eine Division mit 0 aus!")</f>
        <v>Der unprod. Anteil löst eine Division mit 0 aus!</v>
      </c>
      <c r="K780" s="2280"/>
      <c r="L780" s="2281"/>
    </row>
    <row r="781" spans="1:13" ht="17.850000000000001" customHeight="1" thickBot="1" x14ac:dyDescent="0.3">
      <c r="A781" s="2144" t="s">
        <v>382</v>
      </c>
      <c r="B781" s="2145"/>
      <c r="C781" s="2146"/>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0</v>
      </c>
      <c r="D782" s="706">
        <f ca="1">G774*C782</f>
        <v>0</v>
      </c>
      <c r="E782" s="707">
        <f ca="1">H774*C782</f>
        <v>0</v>
      </c>
      <c r="F782" s="708" t="s">
        <v>204</v>
      </c>
      <c r="G782" s="685">
        <f ca="1">D782</f>
        <v>0</v>
      </c>
      <c r="H782" s="686">
        <f ca="1">IF(D785=_Ja,"",D784)</f>
        <v>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0</v>
      </c>
      <c r="I783" s="817"/>
      <c r="L783" s="216"/>
    </row>
    <row r="784" spans="1:13" ht="17.850000000000001" customHeight="1" x14ac:dyDescent="0.25">
      <c r="A784" s="695"/>
      <c r="B784" s="696"/>
      <c r="C784" s="697" t="s">
        <v>56</v>
      </c>
      <c r="D784" s="698">
        <f ca="1">SUM(D782:D783)</f>
        <v>0</v>
      </c>
      <c r="E784" s="699">
        <f ca="1">SUM(E782:E783)</f>
        <v>0</v>
      </c>
      <c r="F784" s="710" t="s">
        <v>86</v>
      </c>
      <c r="G784" s="711" t="e">
        <f ca="1">G783/G782</f>
        <v>#DIV/0!</v>
      </c>
      <c r="H784" s="712" t="e">
        <f ca="1">IF(D785=_Ja,$H$73,H783/H782)</f>
        <v>#DIV/0!</v>
      </c>
      <c r="I784" s="818" t="str">
        <f>IF(D785=_Ja,"X","")</f>
        <v/>
      </c>
      <c r="L784" s="216"/>
    </row>
    <row r="785" spans="1:18" ht="17.850000000000001" customHeight="1" thickBot="1" x14ac:dyDescent="0.3">
      <c r="A785" s="2756" t="str">
        <f ca="1">"Ø AKV Pkt B ist "&amp;TEXT($H$73,"0,00%")&amp;". Beibehalten?"</f>
        <v>Ø AKV Pkt B ist 14,50%. Beibehalten?</v>
      </c>
      <c r="B785" s="2757"/>
      <c r="C785" s="2758"/>
      <c r="D785" s="826" t="s">
        <v>193</v>
      </c>
      <c r="E785" s="2208" t="s">
        <v>383</v>
      </c>
      <c r="F785" s="2209"/>
      <c r="G785" s="378"/>
      <c r="H785" s="379"/>
      <c r="I785" s="818" t="str">
        <f>IF(OR(G785&lt;&gt;0,H785&lt;&gt;0),"X","")</f>
        <v/>
      </c>
      <c r="L785" s="216"/>
    </row>
    <row r="786" spans="1:18" ht="17.850000000000001" customHeight="1" x14ac:dyDescent="0.25">
      <c r="A786" s="2217"/>
      <c r="B786" s="2218"/>
      <c r="C786" s="2218"/>
      <c r="D786" s="2218"/>
      <c r="E786" s="2187" t="s">
        <v>556</v>
      </c>
      <c r="F786" s="2188"/>
      <c r="G786" s="86" t="e">
        <f ca="1">SUM(G784,G785)</f>
        <v>#DIV/0!</v>
      </c>
      <c r="H786" s="154" t="e">
        <f ca="1">SUM(H784,H785)</f>
        <v>#DIV/0!</v>
      </c>
      <c r="I786" s="817"/>
      <c r="L786" s="216"/>
    </row>
    <row r="787" spans="1:18" ht="17.850000000000001" customHeight="1" x14ac:dyDescent="0.25">
      <c r="A787" s="2210"/>
      <c r="B787" s="2211"/>
      <c r="C787" s="2211"/>
      <c r="D787" s="2211"/>
      <c r="E787" s="2210"/>
      <c r="F787" s="2220"/>
      <c r="G787" s="368" t="s">
        <v>121</v>
      </c>
      <c r="H787" s="369" t="s">
        <v>122</v>
      </c>
      <c r="I787" s="817"/>
      <c r="L787" s="216"/>
    </row>
    <row r="788" spans="1:18" ht="17.850000000000001" customHeight="1" x14ac:dyDescent="0.25">
      <c r="A788" s="1195" t="s">
        <v>384</v>
      </c>
      <c r="B788" s="830"/>
      <c r="C788" s="830"/>
      <c r="D788" s="2827" t="str">
        <f>IF(H767="∑","Regiepartie gesamt "&amp;TEXT(E774,"0")&amp;" Personen","Ø-Preis pro Person")</f>
        <v>Regiepartie gesamt 0 Personen</v>
      </c>
      <c r="E788" s="2827"/>
      <c r="F788" s="2827"/>
      <c r="G788" s="831"/>
      <c r="H788" s="829">
        <f ca="1">' K3 Regie6'!N45</f>
        <v>0</v>
      </c>
      <c r="I788" s="830"/>
      <c r="L788" s="216"/>
    </row>
    <row r="789" spans="1:18" ht="17.850000000000001" customHeight="1" x14ac:dyDescent="0.25">
      <c r="A789" s="2289" t="s">
        <v>632</v>
      </c>
      <c r="B789" s="2290"/>
      <c r="C789" s="2290"/>
      <c r="D789" s="2290"/>
      <c r="E789" s="2290"/>
      <c r="F789" s="2290"/>
      <c r="G789" s="2290"/>
      <c r="H789" s="2290"/>
      <c r="I789" s="817"/>
      <c r="J789" s="2227" t="str">
        <f>IF(OR(I790="X",I795="X"),M$301,"")</f>
        <v>Hinweis: IdR enthalten Regiepreise keinen Ansatz für Zulagen (R4.a) und Mehrarbeitszuschläge (R4.b). Vertrag beachten!</v>
      </c>
      <c r="K789" s="2227"/>
      <c r="L789" s="2228"/>
    </row>
    <row r="790" spans="1:18" ht="17.850000000000001" customHeight="1" x14ac:dyDescent="0.25">
      <c r="A790" s="2134" t="s">
        <v>704</v>
      </c>
      <c r="B790" s="2135"/>
      <c r="C790" s="2136"/>
      <c r="D790" s="865" t="s">
        <v>702</v>
      </c>
      <c r="E790" s="2137" t="s">
        <v>902</v>
      </c>
      <c r="F790" s="2138"/>
      <c r="G790" s="2139"/>
      <c r="H790" s="1010">
        <f>IFERROR(VLOOKUP(E790,M790:N792,2,FALSE),M369)</f>
        <v>0</v>
      </c>
      <c r="I790" s="818" t="str">
        <f>IF(E790&lt;&gt;M790,"X","")</f>
        <v/>
      </c>
      <c r="J790" s="2227"/>
      <c r="K790" s="2227"/>
      <c r="L790" s="222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0.01</v>
      </c>
    </row>
    <row r="792" spans="1:18" ht="30" customHeight="1" thickTop="1" x14ac:dyDescent="0.25">
      <c r="A792" s="2185"/>
      <c r="B792" s="2186"/>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27" t="str">
        <f>VLOOKUP(E795,M795:Q798,5,FALSE)</f>
        <v>Hinweis zu R4.b - 4.) Wenn ein Regiepreis unter kalkulatorischer Beachtung zeitlicher Rahmenbedingungen zu nennen ist, ist diese Auswahl zutreffend. Mehrarbeitszuschläge und Verr.std.zuschläge lassen sich individuell getrennt erfassen.</v>
      </c>
      <c r="K792" s="2227"/>
      <c r="L792" s="2228"/>
      <c r="M792" s="2014" t="str">
        <f t="shared" si="78"/>
        <v>3. Eigene Kalkulation für den Regiepreis</v>
      </c>
      <c r="N792" s="1950" t="str">
        <f t="shared" si="78"/>
        <v>berechnen:</v>
      </c>
    </row>
    <row r="793" spans="1:18" ht="17.850000000000001" customHeight="1" x14ac:dyDescent="0.25">
      <c r="A793" s="866"/>
      <c r="B793" s="867"/>
      <c r="C793" s="867"/>
      <c r="D793" s="874" t="s">
        <v>705</v>
      </c>
      <c r="E793" s="873" t="e">
        <f ca="1">' K3 Regie6'!O$21</f>
        <v>#DIV/0!</v>
      </c>
      <c r="F793" s="870">
        <f ca="1">IFERROR(F792/E793,0)</f>
        <v>0</v>
      </c>
      <c r="G793" s="868" t="str">
        <f ca="1">IF(G792=0,"",$G$131)</f>
        <v/>
      </c>
      <c r="H793" s="1007">
        <f ca="1">IFERROR(H792*G793,0)</f>
        <v>0</v>
      </c>
      <c r="I793" s="817"/>
      <c r="J793" s="2227"/>
      <c r="K793" s="2227"/>
      <c r="L793" s="2228"/>
    </row>
    <row r="794" spans="1:18" ht="17.850000000000001" customHeight="1" x14ac:dyDescent="0.25">
      <c r="A794" s="392" t="s">
        <v>768</v>
      </c>
      <c r="B794" s="67"/>
      <c r="C794" s="346"/>
      <c r="D794" s="346"/>
      <c r="E794" s="346"/>
      <c r="F794" s="498"/>
      <c r="G794" s="346"/>
      <c r="H794" s="92">
        <f>IF(E790=M792,SUM(F793,H793),H790)</f>
        <v>0</v>
      </c>
      <c r="I794" s="817"/>
      <c r="J794" s="2227"/>
      <c r="K794" s="2227"/>
      <c r="L794" s="222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142" t="s">
        <v>564</v>
      </c>
      <c r="B795" s="2143"/>
      <c r="C795" s="2143"/>
      <c r="D795" s="928" t="s">
        <v>769</v>
      </c>
      <c r="E795" s="2137" t="s">
        <v>878</v>
      </c>
      <c r="F795" s="2138"/>
      <c r="G795" s="2138"/>
      <c r="H795" s="1010" t="str">
        <f>VLOOKUP(E795,M795:N798,2,FALSE)</f>
        <v>berechnen:</v>
      </c>
      <c r="I795" s="818" t="str">
        <f>IF(E795&lt;&gt;M795,"X","")</f>
        <v>X</v>
      </c>
      <c r="J795" s="2227"/>
      <c r="K795" s="2227"/>
      <c r="L795" s="222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321" t="s">
        <v>563</v>
      </c>
      <c r="B796" s="2322"/>
      <c r="C796" s="2322"/>
      <c r="D796" s="2322"/>
      <c r="E796" s="553" t="s">
        <v>378</v>
      </c>
      <c r="F796" s="524" t="s">
        <v>192</v>
      </c>
      <c r="G796" s="925">
        <v>1</v>
      </c>
      <c r="H796" s="607"/>
      <c r="I796" s="818" t="str">
        <f>IF(AND(E795=M797,F796=_Ja),"X","")</f>
        <v/>
      </c>
      <c r="J796" s="2176" t="str">
        <f>IF(OR(F796=$Q$31,F796=$Q$32),"","Bitte Ja oder Nein wählen!")</f>
        <v/>
      </c>
      <c r="K796" s="2176"/>
      <c r="L796" s="2177"/>
      <c r="M796" s="2014" t="str">
        <f>M$444</f>
        <v>2. Regie mit Ø-Zuschlag wie K3 Zeile 8</v>
      </c>
      <c r="N796" s="1999">
        <f t="shared" ref="N796:Q796" ca="1" si="81">N$444</f>
        <v>2.9000000000000001E-2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22"/>
      <c r="C797" s="2123"/>
      <c r="D797" s="2124"/>
      <c r="E797" s="542" t="str">
        <f>IF(OR(ISBLANK(B797),F796=_Nein),"",IFERROR(VLOOKUP(B797,Stammdaten!A$39:C$48,3,FALSE),KALKULATION!$M$283))</f>
        <v/>
      </c>
      <c r="F797" s="1101"/>
      <c r="G797" s="544"/>
      <c r="H797" s="608"/>
      <c r="I797" s="818"/>
      <c r="J797" s="2178" t="str">
        <f>IF(F796&lt;&gt;$Q$31,"",IF(AND(E797=KALKULATION!$M$283,F796=$Q$31),"Auswahl erneut vornehmen (ungültiger Verweis)!",IF(OR(AND(F796=$Q$31,B797=""),AND(F796=$Q$32,B797&lt;&gt;"")),"Eingabe unvollständig (ergänzen,  löschen od Nein wählen)!","")))</f>
        <v>Eingabe unvollständig (ergänzen,  löschen od Nein wählen)!</v>
      </c>
      <c r="K797" s="2178"/>
      <c r="L797" s="2179"/>
      <c r="M797" s="2014" t="str">
        <f>M$445</f>
        <v>3. Regie mit Std-Zuschlag wie K3</v>
      </c>
      <c r="N797" s="1999">
        <f t="shared" ref="N797:Q797" ca="1" si="82">N$445</f>
        <v>0.57750000000000001</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297" t="s">
        <v>135</v>
      </c>
      <c r="B798" s="2298"/>
      <c r="C798" s="2298"/>
      <c r="D798" s="2298"/>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33" t="s">
        <v>560</v>
      </c>
      <c r="B799" s="2234"/>
      <c r="C799" s="2234"/>
      <c r="D799" s="2234"/>
      <c r="E799" s="2235"/>
      <c r="F799" s="351">
        <v>4</v>
      </c>
      <c r="G799" s="546" t="e">
        <f ca="1">IF(F799=1,1,IF(F799=2,((' K3 Regie6'!O$23+' K3 Regie6'!O$24)/' K3 Regie6'!O$23),IF(F799&gt;2,((' K3 Regie6'!O$23+' K3 Regie6'!O$24+' K3 Regie6'!O$25)/' K3 Regie6'!O$23),"")))</f>
        <v>#DIV/0!</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321" t="s">
        <v>565</v>
      </c>
      <c r="B800" s="2322"/>
      <c r="C800" s="2322"/>
      <c r="D800" s="2322"/>
      <c r="E800" s="553" t="s">
        <v>378</v>
      </c>
      <c r="F800" s="524" t="s">
        <v>192</v>
      </c>
      <c r="G800" s="543"/>
      <c r="H800" s="607"/>
      <c r="I800" s="818" t="str">
        <f>IF(AND(E795=M797,F800=_Ja),"X","")</f>
        <v/>
      </c>
      <c r="J800" s="2176"/>
      <c r="K800" s="2176"/>
      <c r="L800" s="2177"/>
      <c r="M800" s="1342" t="s">
        <v>859</v>
      </c>
      <c r="N800" s="2070">
        <f>IF(E795=M796,P796,IF(E795=M797,P797,IF(AND(E795=M798,F796=_Ja),B797,P795)))</f>
        <v>0</v>
      </c>
      <c r="O800" s="2065"/>
      <c r="P800" s="1999" t="str">
        <f>IF(AND(E795=M798,F796=_Ja),TEXT(E797,"0%"),IF(N800=P796,TEXT(N796,"0,00%"),IF(N800=P797,TEXT($P$113,"0%"),"")))</f>
        <v/>
      </c>
      <c r="R800" s="1965"/>
    </row>
    <row r="801" spans="1:18" ht="17.850000000000001" customHeight="1" x14ac:dyDescent="0.25">
      <c r="A801" s="540" t="s">
        <v>379</v>
      </c>
      <c r="B801" s="2122"/>
      <c r="C801" s="2123"/>
      <c r="D801" s="2124"/>
      <c r="E801" s="549" t="str">
        <f>IF(OR(ISBLANK(B801),F800=_Nein),"",IFERROR(VLOOKUP(B801,Stammdaten!A$50:C$54,3,FALSE),KALKULATION!$M$283))</f>
        <v/>
      </c>
      <c r="F801" s="1101"/>
      <c r="G801" s="544"/>
      <c r="H801" s="608"/>
      <c r="I801" s="818"/>
      <c r="J801" s="2178" t="str">
        <f>IF(F800&lt;&gt;$Q$31,"",IF(AND(E801=KALKULATION!$M$283,F800=$Q$31),"Auswahl erneut vornehmen (ungültiger Verweis)!",IF(OR(AND(F800=$Q$31,B801=""),AND(F800=$Q$32,B801&lt;&gt;"")),"Eingabe unvollständig (ergänzen,  löschen od Nein wählen)!","")))</f>
        <v>Eingabe unvollständig (ergänzen,  löschen od Nein wählen)!</v>
      </c>
      <c r="K801" s="2178"/>
      <c r="L801" s="2179"/>
      <c r="M801" s="1342" t="s">
        <v>863</v>
      </c>
      <c r="N801" s="2071">
        <f>IF(AND(E795=M798,F800=_Ja),B801,"")</f>
        <v>0</v>
      </c>
      <c r="O801" s="2072"/>
      <c r="P801" s="1999" t="str">
        <f>IF(N801="","",E801)</f>
        <v/>
      </c>
      <c r="Q801" s="1951"/>
      <c r="R801" s="2073"/>
    </row>
    <row r="802" spans="1:18" ht="17.850000000000001" customHeight="1" x14ac:dyDescent="0.25">
      <c r="A802" s="2241" t="s">
        <v>198</v>
      </c>
      <c r="B802" s="2242"/>
      <c r="C802" s="2242"/>
      <c r="D802" s="2242"/>
      <c r="E802" s="541">
        <f ca="1">IFERROR(IF(VLOOKUP(B801,Stammdaten!A$50:C$54,2,FALSE)=0,1,(VLOOKUP(B801,Stammdaten!A$50:C$54,2,FALSE))),"")</f>
        <v>1</v>
      </c>
      <c r="F802" s="1101"/>
      <c r="G802" s="545"/>
      <c r="H802" s="609"/>
      <c r="I802" s="818"/>
      <c r="L802" s="216"/>
      <c r="M802" s="1342" t="s">
        <v>864</v>
      </c>
      <c r="N802" s="2071">
        <f>IF(AND(E795=M798,F804=_Ja),B805,"")</f>
        <v>0</v>
      </c>
      <c r="O802" s="2014"/>
      <c r="P802" s="2074" t="str">
        <f>IF(N802="","",E805)</f>
        <v/>
      </c>
      <c r="Q802" s="1951"/>
      <c r="R802" s="2073"/>
    </row>
    <row r="803" spans="1:18" ht="17.850000000000001" customHeight="1" x14ac:dyDescent="0.25">
      <c r="A803" s="2233" t="str">
        <f>A799</f>
        <v xml:space="preserve">  Basis für die Aufzahlung in % (siehe Pkt C0; KZ = 1, 2, 3 od. 4):  ↓</v>
      </c>
      <c r="B803" s="2234"/>
      <c r="C803" s="2234"/>
      <c r="D803" s="2234"/>
      <c r="E803" s="2235"/>
      <c r="F803" s="351">
        <v>4</v>
      </c>
      <c r="G803" s="546" t="e">
        <f ca="1">IF(F803=1,1,IF(F803=2,((' K3 Regie6'!O$23+' K3 Regie6'!O$24)/' K3 Regie6'!O$23),IF(F803&gt;2,((' K3 Regie6'!O$23+' K3 Regie6'!O$24+' K3 Regie6'!O$25)/' K3 Regie6'!O$23),"")))</f>
        <v>#DIV/0!</v>
      </c>
      <c r="H803" s="608" t="str">
        <f ca="1">IFERROR(IF(F800=$Q$31,(E801*E802*G803),""),"??")</f>
        <v>??</v>
      </c>
      <c r="I803" s="818"/>
      <c r="J803" s="2176" t="str">
        <f>IF(F800&lt;&gt;$Q$31,"",IF(AND(ISBLANK(F803),F800=$Q$31),"Kennzeichen setzen!",""))</f>
        <v/>
      </c>
      <c r="K803" s="2176"/>
      <c r="L803" s="360"/>
      <c r="M803" s="1342" t="s">
        <v>868</v>
      </c>
      <c r="N803" s="1342">
        <f>IF(AND(N801&lt;&gt;"",N802&lt;&gt;""),2,IF(N801&amp;N802="",0,1))</f>
        <v>2</v>
      </c>
      <c r="R803" s="1965"/>
    </row>
    <row r="804" spans="1:18" ht="17.850000000000001" customHeight="1" x14ac:dyDescent="0.25">
      <c r="A804" s="2321" t="s">
        <v>566</v>
      </c>
      <c r="B804" s="2322"/>
      <c r="C804" s="2322"/>
      <c r="D804" s="2322"/>
      <c r="E804" s="553" t="s">
        <v>378</v>
      </c>
      <c r="F804" s="524" t="s">
        <v>192</v>
      </c>
      <c r="G804" s="547"/>
      <c r="H804" s="610"/>
      <c r="I804" s="818" t="str">
        <f>IF(AND(E795=M797,F804=_Ja),"X","")</f>
        <v/>
      </c>
      <c r="J804" s="2176"/>
      <c r="K804" s="2176"/>
      <c r="L804" s="2177"/>
      <c r="M804" s="1967"/>
      <c r="N804" s="2075" t="str">
        <f>IF(N803=2," "&amp;N801&amp;" "&amp;", "&amp;N802,IF(N803=1," "&amp;N801&amp;N802,""))</f>
        <v xml:space="preserve"> 0 , 0</v>
      </c>
      <c r="O804" s="2075"/>
      <c r="P804" s="1967"/>
      <c r="Q804" s="1967"/>
      <c r="R804" s="1974"/>
    </row>
    <row r="805" spans="1:18" ht="17.850000000000001" customHeight="1" x14ac:dyDescent="0.25">
      <c r="A805" s="552" t="s">
        <v>379</v>
      </c>
      <c r="B805" s="2123"/>
      <c r="C805" s="2123"/>
      <c r="D805" s="2123"/>
      <c r="E805" s="550" t="str">
        <f>IF(OR(ISBLANK(B805),F804=_Nein),"",IFERROR(VLOOKUP(B805,Stammdaten!A$57:C$61,2,FALSE),KALKULATION!$M$283))</f>
        <v/>
      </c>
      <c r="F805" s="551" t="s">
        <v>197</v>
      </c>
      <c r="G805" s="548" t="e">
        <f ca="1">' K3 Regie6'!$O$21</f>
        <v>#DIV/0!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1" t="s">
        <v>391</v>
      </c>
      <c r="B806" s="2222"/>
      <c r="C806" s="2222"/>
      <c r="D806" s="2222"/>
      <c r="E806" s="373"/>
      <c r="F806" s="377">
        <f>IF(F800=$Q$31,B801,IF(F804=$Q$31,B805,""))</f>
        <v>0</v>
      </c>
      <c r="G806" s="377" t="str">
        <f ca="1">IF(F800=$Q$31,TEXT(H803,"0%"),IF(F804=$Q$31,TEXT(G805,"0,00€"),""))</f>
        <v>??</v>
      </c>
      <c r="H806" s="612">
        <f ca="1">IF(E795=M798,SUM(H796:H805),H795)</f>
        <v>0</v>
      </c>
      <c r="I806" s="819"/>
      <c r="L806" s="216"/>
    </row>
    <row r="807" spans="1:18" ht="17.850000000000001" customHeight="1" x14ac:dyDescent="0.25">
      <c r="A807" s="2818" t="s">
        <v>385</v>
      </c>
      <c r="B807" s="2819"/>
      <c r="C807" s="2819"/>
      <c r="D807" s="2820"/>
      <c r="E807" s="2196" t="s">
        <v>640</v>
      </c>
      <c r="F807" s="2196"/>
      <c r="G807" s="2196" t="str">
        <f>G$455</f>
        <v>Optional überschrei-ben mit:</v>
      </c>
      <c r="H807" s="2125" t="str">
        <f>H$455</f>
        <v>Übertrag in K3 Regie</v>
      </c>
      <c r="I807" s="819"/>
      <c r="L807" s="216"/>
    </row>
    <row r="808" spans="1:18" ht="17.850000000000001" customHeight="1" x14ac:dyDescent="0.25">
      <c r="A808" s="2821"/>
      <c r="B808" s="2822"/>
      <c r="C808" s="2822"/>
      <c r="D808" s="2823"/>
      <c r="E808" s="2197"/>
      <c r="F808" s="2197"/>
      <c r="G808" s="2197"/>
      <c r="H808" s="2126"/>
      <c r="I808" s="819"/>
      <c r="L808" s="216"/>
    </row>
    <row r="809" spans="1:18" ht="17.850000000000001" customHeight="1" thickBot="1" x14ac:dyDescent="0.3">
      <c r="A809" s="2824"/>
      <c r="B809" s="2825"/>
      <c r="C809" s="2825"/>
      <c r="D809" s="2826"/>
      <c r="E809" s="2198"/>
      <c r="F809" s="2198"/>
      <c r="G809" s="2198"/>
      <c r="H809" s="2127"/>
      <c r="I809" s="819"/>
      <c r="L809" s="216"/>
    </row>
    <row r="810" spans="1:18" ht="17.850000000000001" customHeight="1" thickTop="1" x14ac:dyDescent="0.25">
      <c r="A810" s="2221" t="s">
        <v>386</v>
      </c>
      <c r="B810" s="2222"/>
      <c r="C810" s="2222"/>
      <c r="D810" s="2306"/>
      <c r="E810" s="51">
        <f ca="1">$H$228</f>
        <v>2.8</v>
      </c>
      <c r="F810" s="1887" t="e">
        <f>H779/G779</f>
        <v>#DIV/0!</v>
      </c>
      <c r="G810" s="364"/>
      <c r="H810" s="361" t="e">
        <f ca="1">IF(ISBLANK(G810),E810*(1+F810),G810)</f>
        <v>#DIV/0!</v>
      </c>
      <c r="I810" s="818" t="str">
        <f>IF(ISBLANK(G810),"","X")</f>
        <v/>
      </c>
      <c r="L810" s="216"/>
    </row>
    <row r="811" spans="1:18" ht="17.850000000000001" customHeight="1" x14ac:dyDescent="0.25">
      <c r="A811" s="2134" t="s">
        <v>387</v>
      </c>
      <c r="B811" s="2135"/>
      <c r="C811" s="2135"/>
      <c r="D811" s="2136"/>
      <c r="E811" s="48">
        <f ca="1">IF(E790=M791,$G$227,$G$229)</f>
        <v>1.1000000000000001</v>
      </c>
      <c r="F811" s="1888" t="e">
        <f>H779/G779</f>
        <v>#DIV/0!</v>
      </c>
      <c r="G811" s="341"/>
      <c r="H811" s="362" t="e">
        <f ca="1">IF(ISBLANK(G811),E811*(1+F811),G811)</f>
        <v>#DIV/0!</v>
      </c>
      <c r="I811" s="818" t="str">
        <f>IF(ISBLANK(G811),"","X")</f>
        <v/>
      </c>
      <c r="L811" s="216"/>
    </row>
    <row r="812" spans="1:18" ht="17.850000000000001" customHeight="1" x14ac:dyDescent="0.25">
      <c r="A812" s="2134" t="s">
        <v>388</v>
      </c>
      <c r="B812" s="2135"/>
      <c r="C812" s="2135"/>
      <c r="D812" s="2136"/>
      <c r="E812" s="157">
        <f ca="1">$H$236</f>
        <v>0.28000000000000003</v>
      </c>
      <c r="F812" s="156"/>
      <c r="G812" s="337"/>
      <c r="H812" s="363">
        <f ca="1">IF(ISBLANK(G812),E812,G812)</f>
        <v>0.28000000000000003</v>
      </c>
      <c r="I812" s="818" t="str">
        <f ca="1">IF(OR(G812&lt;&gt;0,E812&lt;&gt;H812),"X","")</f>
        <v/>
      </c>
      <c r="J812" s="2293" t="str">
        <f>IF(G812="","","Hinweis: DPNK lassen sich genau bestimmen/nachrechnen!")</f>
        <v/>
      </c>
      <c r="K812" s="2293"/>
      <c r="L812" s="2294"/>
    </row>
    <row r="813" spans="1:18" ht="17.850000000000001" customHeight="1" x14ac:dyDescent="0.25">
      <c r="A813" s="2134" t="s">
        <v>389</v>
      </c>
      <c r="B813" s="2135"/>
      <c r="C813" s="2135"/>
      <c r="D813" s="2136"/>
      <c r="E813" s="157">
        <f ca="1">$H$265</f>
        <v>0.72</v>
      </c>
      <c r="F813" s="156"/>
      <c r="G813" s="337"/>
      <c r="H813" s="363">
        <f ca="1">IF(ISBLANK(G813),E813,G813)</f>
        <v>0.72</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4" t="s">
        <v>594</v>
      </c>
      <c r="B815" s="2136"/>
      <c r="C815" s="199">
        <f>$E$306</f>
        <v>0.06</v>
      </c>
      <c r="D815" s="48">
        <f ca="1">$F$307</f>
        <v>3.46</v>
      </c>
      <c r="E815" s="338"/>
      <c r="F815" s="364"/>
      <c r="G815" s="363">
        <f>IF(ISBLANK(E815),C815,E815)</f>
        <v>0.06</v>
      </c>
      <c r="H815" s="361">
        <f ca="1">IF(ISBLANK(F815),D815,F815)</f>
        <v>3.46</v>
      </c>
      <c r="I815" s="818" t="str">
        <f>IF(OR(F815&lt;&gt;0,E815&lt;&gt;0),"X","")</f>
        <v/>
      </c>
      <c r="L815" s="216"/>
    </row>
    <row r="816" spans="1:18" ht="17.850000000000001" customHeight="1" x14ac:dyDescent="0.25">
      <c r="A816" s="2142" t="str">
        <f ca="1">"R5)"&amp;IF($G$327=0," Keine Umlagen unter Pkt H1 bzw H2 angelgt!"," Umlagen (K3 Spalte A)")</f>
        <v>R5) Keine Umlagen unter Pkt H1 bzw H2 angelgt!</v>
      </c>
      <c r="B816" s="2143"/>
      <c r="C816" s="2143"/>
      <c r="D816" s="2143"/>
      <c r="E816" s="2143"/>
      <c r="F816" s="2143"/>
      <c r="G816" s="2143"/>
      <c r="H816" s="2143"/>
      <c r="I816" s="819"/>
      <c r="L816" s="216"/>
    </row>
    <row r="817" spans="1:17" ht="17.850000000000001" customHeight="1" thickBot="1" x14ac:dyDescent="0.3">
      <c r="A817" s="2314" t="s">
        <v>562</v>
      </c>
      <c r="B817" s="2315"/>
      <c r="C817" s="2315"/>
      <c r="D817" s="2315"/>
      <c r="E817" s="523" t="str">
        <f ca="1">IF(SUM(F818:G820)&lt;&gt;$H$327,"!","")</f>
        <v/>
      </c>
      <c r="F817" s="715" t="s">
        <v>69</v>
      </c>
      <c r="G817" s="747" t="s">
        <v>673</v>
      </c>
      <c r="H817" s="1008">
        <f>' K3 Regie5'!O133</f>
        <v>0</v>
      </c>
      <c r="I817" s="819"/>
      <c r="J817" s="2319" t="str">
        <f ca="1">IF(E817="!","Hinweis: Es sind nicht alle oder andere Umlagen wie oben (Pkt H) für K3 ausgewählt! Berechnung erfolgt mit den hier ausgewählten Umlagen.","")</f>
        <v/>
      </c>
      <c r="K817" s="2319"/>
      <c r="L817" s="2320"/>
    </row>
    <row r="818" spans="1:17" ht="17.850000000000001" customHeight="1" thickTop="1" x14ac:dyDescent="0.25">
      <c r="A818" s="2370"/>
      <c r="B818" s="2370"/>
      <c r="C818" s="2370"/>
      <c r="D818" s="2370"/>
      <c r="E818" s="2370"/>
      <c r="F818" s="85" t="str">
        <f>IF(A818="","",IFERROR(VLOOKUP(A818,A$329:E$333,2,FALSE),KALKULATION!$M$283))</f>
        <v/>
      </c>
      <c r="G818" s="158" t="str">
        <f>IF(A818="","",IFERROR(VLOOKUP(A818,A$329:E$333,3,FALSE),""))</f>
        <v/>
      </c>
      <c r="H818" s="85" t="str">
        <f>IF(OR(G818="",G818=0),"",G818*H$743)</f>
        <v/>
      </c>
      <c r="I818" s="819"/>
      <c r="J818" s="2319"/>
      <c r="K818" s="2319"/>
      <c r="L818" s="2320"/>
    </row>
    <row r="819" spans="1:17" ht="17.850000000000001" customHeight="1" x14ac:dyDescent="0.25">
      <c r="A819" s="2265"/>
      <c r="B819" s="2265"/>
      <c r="C819" s="2265"/>
      <c r="D819" s="2265"/>
      <c r="E819" s="2265"/>
      <c r="F819" s="85" t="str">
        <f>IF(A819="","",IFERROR(VLOOKUP(A819,A$329:E$333,2,FALSE),KALKULATION!$M$283))</f>
        <v/>
      </c>
      <c r="G819" s="158" t="str">
        <f t="shared" ref="G819:G820" si="84">IF(A819="","",IFERROR(VLOOKUP(A819,A$329:E$333,3,FALSE),""))</f>
        <v/>
      </c>
      <c r="H819" s="85" t="str">
        <f t="shared" ref="H819:H820" si="85">IF(OR(G819="",G819=0),"",G819*H$743)</f>
        <v/>
      </c>
      <c r="I819" s="819"/>
      <c r="J819" s="2319"/>
      <c r="K819" s="2319"/>
      <c r="L819" s="2320"/>
    </row>
    <row r="820" spans="1:17" ht="17.850000000000001" customHeight="1" x14ac:dyDescent="0.25">
      <c r="A820" s="2265"/>
      <c r="B820" s="2265"/>
      <c r="C820" s="2265"/>
      <c r="D820" s="2265"/>
      <c r="E820" s="2265"/>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180" t="str">
        <f>IF(SUM(F818:H820)=0,"R5.b) GZ auf UMLAGEN - keine Umlagen ausgewählt (oder in Pkt H1 angelegt)","R5.b) GZ auf Umlagen")</f>
        <v>R5.b) GZ auf UMLAGEN - keine Umlagen ausgewählt (oder in Pkt H1 angelegt)</v>
      </c>
      <c r="B821" s="2181"/>
      <c r="C821" s="2181"/>
      <c r="D821" s="2181"/>
      <c r="E821" s="2181"/>
      <c r="F821" s="2182"/>
      <c r="G821" s="2182"/>
      <c r="H821" s="2181"/>
      <c r="I821" s="819"/>
      <c r="L821" s="216"/>
      <c r="M821" s="2097" t="s">
        <v>644</v>
      </c>
      <c r="N821" s="2097"/>
      <c r="O821" s="2097" t="str">
        <f>IF(D766="","[-? Keine Bezeichnung vorhanden ?-"," ["&amp;D766&amp;"]")</f>
        <v>[-? Keine Bezeichnung vorhanden ?-</v>
      </c>
      <c r="P821" s="2098"/>
    </row>
    <row r="822" spans="1:17" ht="17.850000000000001" customHeight="1" x14ac:dyDescent="0.25">
      <c r="A822" s="2221" t="s">
        <v>561</v>
      </c>
      <c r="B822" s="2222"/>
      <c r="C822" s="2222"/>
      <c r="D822" s="2137"/>
      <c r="E822" s="2138"/>
      <c r="F822" s="2139"/>
      <c r="G822" s="196" t="str">
        <f>IF(D822="","",IFERROR(VLOOKUP(D822,'K2 GZ'!I$25:M$32,5,FALSE),KALKULATION!$M$283))</f>
        <v/>
      </c>
      <c r="H822" s="1009" t="str">
        <f ca="1">IF($G$327=0,"",IF(G822=KALKULATION!$M$283,"",IF(SUM(F818:H820)=0,"",IF(D822="",$G$346,G822))))</f>
        <v/>
      </c>
      <c r="I822" s="818" t="str">
        <f>IF(AND(D822&lt;&gt;"",SUM(F818:H820)&lt;&gt;0),"X","")</f>
        <v/>
      </c>
      <c r="J822" s="2178" t="str">
        <f ca="1">IF(G822=KALKULATION!$M$283,"Auswahl erneut vornehmen (ungült. Verweis)/Text löschen!",IF(AND(H822="",SUM(F818:G820)&lt;&gt;0),"GZ fehlt oder gleich 0!)",""))</f>
        <v/>
      </c>
      <c r="K822" s="2178"/>
      <c r="L822" s="2179"/>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93"/>
      <c r="B823" s="2394"/>
      <c r="C823" s="2394"/>
      <c r="D823" s="2394"/>
      <c r="E823" s="2394"/>
      <c r="F823" s="2394"/>
      <c r="G823" s="2394"/>
      <c r="H823" s="2394"/>
      <c r="I823" s="818"/>
      <c r="L823" s="216"/>
      <c r="M823" s="2099" t="s">
        <v>708</v>
      </c>
      <c r="N823" s="2097"/>
      <c r="O823" s="2100" t="str">
        <f>IF(O822="",IF(H767="Ø"," als Ø-Preis pro Person und Stunde"," als Partiepreis pro Stunde für ["&amp;TEXT(E774,"0")&amp;" Personen]"),O822)</f>
        <v xml:space="preserve"> als Partiepreis pro Stunde für [0 Personen]</v>
      </c>
      <c r="P823" s="2098"/>
    </row>
    <row r="824" spans="1:17" ht="17.850000000000001" customHeight="1" x14ac:dyDescent="0.25">
      <c r="A824" s="2180" t="str">
        <f>A$472</f>
        <v>R6) GZ auf PERSONALKOSTEN (K3 Spalte B)</v>
      </c>
      <c r="B824" s="2181"/>
      <c r="C824" s="2181"/>
      <c r="D824" s="2313"/>
      <c r="E824" s="2313"/>
      <c r="F824" s="2313"/>
      <c r="G824" s="2313"/>
      <c r="H824" s="2313"/>
      <c r="I824" s="817"/>
      <c r="L824" s="216"/>
      <c r="M824" s="2080" t="s">
        <v>641</v>
      </c>
      <c r="N824" s="2081" t="str">
        <f ca="1">IF(AND(E795=M798,H799&lt;&gt;"")," als ["&amp;B797&amp;TEXT(E797," (0%)")&amp;"]",IF(E795=M796," mit [Ø Zuschlag gem K3 Mittelpersonalpreis Z 8]",IF(E795=M797," mit [Aufzahlung pro Std gem K3 Mittelpersonalpreis]","")))</f>
        <v xml:space="preserve"> als []</v>
      </c>
      <c r="O824" s="2080"/>
      <c r="P824" s="2082"/>
    </row>
    <row r="825" spans="1:17" ht="17.850000000000001" customHeight="1" x14ac:dyDescent="0.25">
      <c r="A825" s="2221" t="s">
        <v>561</v>
      </c>
      <c r="B825" s="2222"/>
      <c r="C825" s="2222"/>
      <c r="D825" s="2137"/>
      <c r="E825" s="2138"/>
      <c r="F825" s="2139"/>
      <c r="G825" s="196" t="str">
        <f>IF(D825="","",IFERROR(VLOOKUP(D825,'K2 GZ'!I$25:M$32,5,FALSE),KALKULATION!$M$283))</f>
        <v/>
      </c>
      <c r="H825" s="1057">
        <f>IF(G825=KALKULATION!$M$283,"",IF(D825="",$G$345,G825))</f>
        <v>0.28999999999999998</v>
      </c>
      <c r="I825" s="818" t="str">
        <f>IF(D825&lt;&gt;"","X","")</f>
        <v/>
      </c>
      <c r="J825" s="2178" t="str">
        <f>IF(G825=KALKULATION!$M$283,"Auswahl erneut vornehmen (ungültiger Verweis)!",IF(H825=KALKULATION!$M$283,"GZ aus K2-Blatt wählen!",""))</f>
        <v/>
      </c>
      <c r="K825" s="2178"/>
      <c r="L825" s="2179"/>
      <c r="M825" s="2083" t="s">
        <v>642</v>
      </c>
      <c r="N825" s="2084" t="str">
        <f>IF(N804="",""," in ["&amp;N804&amp;"]")</f>
        <v xml:space="preserve"> in [ 0 , 0]</v>
      </c>
      <c r="O825" s="2083"/>
      <c r="P825" s="2085"/>
    </row>
    <row r="826" spans="1:17" ht="17.850000000000001" customHeight="1" x14ac:dyDescent="0.25">
      <c r="A826" s="1196" t="s">
        <v>384</v>
      </c>
      <c r="B826" s="828"/>
      <c r="C826" s="828"/>
      <c r="D826" s="2827" t="str">
        <f>D788</f>
        <v>Regiepartie gesamt 0 Personen</v>
      </c>
      <c r="E826" s="2827"/>
      <c r="F826" s="2827"/>
      <c r="G826" s="831"/>
      <c r="H826" s="829">
        <f ca="1">' K3 Regie6'!N45</f>
        <v>0</v>
      </c>
      <c r="I826" s="817"/>
      <c r="J826" s="383"/>
      <c r="K826" s="383"/>
      <c r="L826" s="384"/>
      <c r="M826" s="2080"/>
      <c r="N826" s="2086"/>
      <c r="O826" s="2080"/>
      <c r="P826" s="2082"/>
    </row>
    <row r="827" spans="1:17" ht="17.850000000000001" customHeight="1" x14ac:dyDescent="0.25">
      <c r="A827" s="2149" t="s">
        <v>714</v>
      </c>
      <c r="B827" s="2277"/>
      <c r="C827" s="2161" t="str">
        <f>IFERROR(VLOOKUP(A829,M830:N837,2,FALSE),KALKULATION!$M$283)</f>
        <v>Regielohnpreis gesamt als Partiepreis pro Stunde für [0 Personen]</v>
      </c>
      <c r="D827" s="2162"/>
      <c r="E827" s="2162"/>
      <c r="F827" s="2162"/>
      <c r="G827" s="2162"/>
      <c r="H827" s="2162"/>
      <c r="I827" s="821"/>
      <c r="J827" s="2326" t="str">
        <f ca="1">IF(OR(H825&lt;Report!$G$13,KALKULATION!H825&gt;Report!$F$13,AND(SUM(KALKULATION!F818:H820)&lt;&gt;0,OR(H822&lt;Report!$G$13,KALKULATION!H822&gt;Report!$F$13))),"Hinweis: GZ in R5.b oder R6 liegt außerhalb der empfohlenen Grenzwerte gem Blatt REPORT!","")</f>
        <v/>
      </c>
      <c r="K827" s="2326"/>
      <c r="L827" s="2327"/>
      <c r="M827" s="2078"/>
      <c r="N827" s="2087"/>
      <c r="O827" s="2078"/>
      <c r="P827" s="2079"/>
    </row>
    <row r="828" spans="1:17" ht="17.850000000000001" customHeight="1" x14ac:dyDescent="0.25">
      <c r="A828" s="2153"/>
      <c r="B828" s="2278"/>
      <c r="C828" s="2163"/>
      <c r="D828" s="2164"/>
      <c r="E828" s="2164"/>
      <c r="F828" s="2164"/>
      <c r="G828" s="2164"/>
      <c r="H828" s="2164"/>
      <c r="I828" s="821"/>
      <c r="J828" s="2328"/>
      <c r="K828" s="2328"/>
      <c r="L828" s="2329"/>
      <c r="M828" s="2101" t="s">
        <v>709</v>
      </c>
      <c r="N828" s="2101" t="str">
        <f ca="1">N824&amp;N825</f>
        <v xml:space="preserve"> als [] in [ 0 , 0]</v>
      </c>
      <c r="P828" s="2102"/>
    </row>
    <row r="829" spans="1:17" ht="17.850000000000001" customHeight="1" x14ac:dyDescent="0.25">
      <c r="A829" s="2147" t="s">
        <v>718</v>
      </c>
      <c r="B829" s="2148"/>
      <c r="C829" s="2165"/>
      <c r="D829" s="2166"/>
      <c r="E829" s="2166"/>
      <c r="F829" s="2166"/>
      <c r="G829" s="2166"/>
      <c r="H829" s="2166"/>
      <c r="I829" s="821"/>
      <c r="L829" s="216"/>
      <c r="M829" s="2107" t="s">
        <v>710</v>
      </c>
      <c r="N829" s="2108"/>
    </row>
    <row r="830" spans="1:17" ht="17.850000000000001" customHeight="1" x14ac:dyDescent="0.25">
      <c r="A830" s="2149" t="s">
        <v>711</v>
      </c>
      <c r="B830" s="2150"/>
      <c r="C830" s="2155" t="s">
        <v>1098</v>
      </c>
      <c r="D830" s="2156"/>
      <c r="E830" s="2156"/>
      <c r="F830" s="2156"/>
      <c r="G830" s="2156"/>
      <c r="H830" s="2156"/>
      <c r="I830" s="821"/>
      <c r="L830" s="216"/>
      <c r="M830" s="1946" t="s">
        <v>717</v>
      </c>
      <c r="N830" s="2103" t="str">
        <f>O820&amp;Q822</f>
        <v>Regielohnpreis gesamt als Partiepreis pro Stunde</v>
      </c>
    </row>
    <row r="831" spans="1:17" ht="17.850000000000001" customHeight="1" x14ac:dyDescent="0.25">
      <c r="A831" s="2151"/>
      <c r="B831" s="2152"/>
      <c r="C831" s="2157"/>
      <c r="D831" s="2158"/>
      <c r="E831" s="2158"/>
      <c r="F831" s="2158"/>
      <c r="G831" s="2158"/>
      <c r="H831" s="2158"/>
      <c r="I831" s="821"/>
      <c r="L831" s="216"/>
      <c r="M831" s="1946" t="s">
        <v>718</v>
      </c>
      <c r="N831" s="2103" t="str">
        <f>O820&amp;O823</f>
        <v>Regielohnpreis gesamt als Partiepreis pro Stunde für [0 Personen]</v>
      </c>
    </row>
    <row r="832" spans="1:17" ht="17.850000000000001" customHeight="1" x14ac:dyDescent="0.25">
      <c r="A832" s="2153"/>
      <c r="B832" s="2154"/>
      <c r="C832" s="2159"/>
      <c r="D832" s="2160"/>
      <c r="E832" s="2160"/>
      <c r="F832" s="2160"/>
      <c r="G832" s="2160"/>
      <c r="H832" s="2160"/>
      <c r="I832" s="821"/>
      <c r="L832" s="216"/>
      <c r="M832" s="1946" t="s">
        <v>719</v>
      </c>
      <c r="N832" s="2103" t="str">
        <f>O820&amp;O821&amp;Q822</f>
        <v>Regielohnpreis gesamt[-? Keine Bezeichnung vorhanden ?- als Partiepreis pro Stunde</v>
      </c>
    </row>
    <row r="833" spans="1:14" ht="17.850000000000001" customHeight="1" x14ac:dyDescent="0.25">
      <c r="A833" s="2401"/>
      <c r="B833" s="2402"/>
      <c r="C833" s="2402"/>
      <c r="D833" s="2402"/>
      <c r="E833" s="2402"/>
      <c r="F833" s="2402"/>
      <c r="G833" s="2402"/>
      <c r="H833" s="2402"/>
      <c r="I833" s="821"/>
      <c r="L833" s="216"/>
      <c r="M833" s="1946" t="s">
        <v>720</v>
      </c>
      <c r="N833" s="2104" t="str">
        <f>O820&amp;O821&amp;O823</f>
        <v>Regielohnpreis gesamt[-? Keine Bezeichnung vorhanden ?- als Partiepreis pro Stunde für [0 Personen]</v>
      </c>
    </row>
    <row r="834" spans="1:14" ht="17.850000000000001" customHeight="1" x14ac:dyDescent="0.25">
      <c r="A834" s="2116" t="s">
        <v>672</v>
      </c>
      <c r="B834" s="2121"/>
      <c r="C834" s="2121"/>
      <c r="D834" s="2121"/>
      <c r="E834" s="2121"/>
      <c r="F834" s="2121"/>
      <c r="G834" s="2121"/>
      <c r="H834" s="2121"/>
      <c r="I834" s="2121"/>
      <c r="J834" s="45"/>
      <c r="L834" s="216"/>
      <c r="M834" s="1946" t="s">
        <v>721</v>
      </c>
      <c r="N834" s="2105" t="str">
        <f ca="1">O820&amp;Q822&amp;N828</f>
        <v>Regielohnpreis gesamt als Partiepreis pro Stunde als [] in [ 0 , 0]</v>
      </c>
    </row>
    <row r="835" spans="1:14" ht="17.850000000000001" customHeight="1" x14ac:dyDescent="0.25">
      <c r="A835" s="2117"/>
      <c r="B835" s="2121"/>
      <c r="C835" s="2121"/>
      <c r="D835" s="2121"/>
      <c r="E835" s="2121"/>
      <c r="F835" s="2121"/>
      <c r="G835" s="2121"/>
      <c r="H835" s="2121"/>
      <c r="I835" s="2121"/>
      <c r="J835" s="46"/>
      <c r="K835" s="47"/>
      <c r="L835" s="594"/>
      <c r="M835" s="1946" t="s">
        <v>722</v>
      </c>
      <c r="N835" s="2104" t="str">
        <f ca="1">O820&amp;O821&amp;Q822&amp;N828</f>
        <v>Regielohnpreis gesamt[-? Keine Bezeichnung vorhanden ?- als Partiepreis pro Stunde als [] in [ 0 , 0]</v>
      </c>
    </row>
    <row r="836" spans="1:14" ht="17.850000000000001" customHeight="1" x14ac:dyDescent="0.25">
      <c r="A836" s="2880"/>
      <c r="B836" s="2880"/>
      <c r="C836" s="2880"/>
      <c r="D836" s="2880"/>
      <c r="E836" s="2880"/>
      <c r="F836" s="2880"/>
      <c r="G836" s="2880"/>
      <c r="H836" s="2880"/>
      <c r="I836" s="2880"/>
      <c r="L836" s="216"/>
      <c r="M836" s="1946" t="s">
        <v>887</v>
      </c>
      <c r="N836" s="2104" t="str">
        <f ca="1">O820&amp;O821&amp;O823&amp;N828</f>
        <v>Regielohnpreis gesamt[-? Keine Bezeichnung vorhanden ?- als Partiepreis pro Stunde für [0 Personen] als [] in [ 0 , 0]</v>
      </c>
    </row>
    <row r="837" spans="1:14" ht="25.15" customHeight="1" x14ac:dyDescent="0.25">
      <c r="A837" s="2223" t="s">
        <v>430</v>
      </c>
      <c r="B837" s="2224"/>
      <c r="C837" s="2224"/>
      <c r="D837" s="2224"/>
      <c r="E837" s="2224"/>
      <c r="F837" s="2224"/>
      <c r="G837" s="2224"/>
      <c r="H837" s="2224"/>
      <c r="I837" s="2224"/>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410" t="s">
        <v>72</v>
      </c>
      <c r="D838" s="2196" t="s">
        <v>982</v>
      </c>
      <c r="E838" s="2408" t="s">
        <v>274</v>
      </c>
      <c r="F838" s="1116" t="s">
        <v>687</v>
      </c>
      <c r="G838" s="2196" t="s">
        <v>686</v>
      </c>
      <c r="H838" s="2408" t="s">
        <v>275</v>
      </c>
      <c r="I838" s="438"/>
      <c r="L838" s="216"/>
    </row>
    <row r="839" spans="1:14" ht="17.850000000000001" customHeight="1" x14ac:dyDescent="0.25">
      <c r="A839" s="45"/>
      <c r="C839" s="2411"/>
      <c r="D839" s="2197"/>
      <c r="E839" s="2409"/>
      <c r="F839" s="2196" t="s">
        <v>685</v>
      </c>
      <c r="G839" s="2197"/>
      <c r="H839" s="2409"/>
      <c r="I839" s="438"/>
      <c r="L839" s="216"/>
    </row>
    <row r="840" spans="1:14" ht="17.850000000000001" customHeight="1" thickBot="1" x14ac:dyDescent="0.3">
      <c r="A840" s="45"/>
      <c r="C840" s="2411"/>
      <c r="D840" s="2197"/>
      <c r="E840" s="2409"/>
      <c r="F840" s="2400"/>
      <c r="G840" s="910" t="s">
        <v>86</v>
      </c>
      <c r="H840" s="2409"/>
      <c r="I840" s="438"/>
      <c r="L840" s="216"/>
    </row>
    <row r="841" spans="1:14" ht="17.850000000000001" customHeight="1" x14ac:dyDescent="0.25">
      <c r="A841" s="2398" t="s">
        <v>272</v>
      </c>
      <c r="B841" s="2399"/>
      <c r="C841" s="223">
        <f ca="1">' K3 PP'!O21</f>
        <v>18</v>
      </c>
      <c r="D841" s="224">
        <f ca="1">' K3 PP'!O23</f>
        <v>20</v>
      </c>
      <c r="E841" s="223">
        <f ca="1">' K3 PP'!O28</f>
        <v>26</v>
      </c>
      <c r="F841" s="51">
        <f ca="1">SUM(' K3 PP'!O29)</f>
        <v>1.2</v>
      </c>
      <c r="G841" s="51">
        <f ca="1">SUM(' K3 PP'!O34)</f>
        <v>6.64</v>
      </c>
      <c r="H841" s="604"/>
      <c r="I841" s="438"/>
      <c r="L841" s="216"/>
    </row>
    <row r="842" spans="1:14" ht="17.850000000000001" customHeight="1" x14ac:dyDescent="0.25">
      <c r="A842" s="768"/>
      <c r="B842" s="769"/>
      <c r="C842" s="770"/>
      <c r="D842" s="771"/>
      <c r="E842" s="770"/>
      <c r="F842" s="93">
        <f ca="1">SUM(' K3 PP'!O30:P32)</f>
        <v>26.07</v>
      </c>
      <c r="G842" s="93">
        <f>SUM(' K3 PP'!M39)</f>
        <v>0</v>
      </c>
      <c r="H842" s="73">
        <f ca="1">SUM(' K3 PP'!M43,' K3 PP'!O43)</f>
        <v>17.3</v>
      </c>
      <c r="I842" s="438"/>
      <c r="L842" s="216"/>
    </row>
    <row r="843" spans="1:14" ht="17.850000000000001" customHeight="1" x14ac:dyDescent="0.25">
      <c r="A843" s="1099"/>
      <c r="B843" s="1100"/>
      <c r="C843" s="218"/>
      <c r="D843" s="93"/>
      <c r="E843" s="218"/>
      <c r="F843" s="225">
        <f ca="1">SUM(E841,F841,F842)</f>
        <v>53.27</v>
      </c>
      <c r="G843" s="225">
        <f ca="1">SUM(F843,G841,G842)</f>
        <v>59.91</v>
      </c>
      <c r="H843" s="1048">
        <f ca="1">SUM(G843,H842)</f>
        <v>77.209999999999994</v>
      </c>
      <c r="I843" s="438"/>
      <c r="L843" s="216"/>
    </row>
    <row r="844" spans="1:14" ht="17.850000000000001" customHeight="1" thickBot="1" x14ac:dyDescent="0.3">
      <c r="A844" s="1108"/>
      <c r="B844" s="1109"/>
      <c r="C844" s="220" t="s">
        <v>59</v>
      </c>
      <c r="D844" s="221">
        <f ca="1">D841/$C841-1</f>
        <v>0.1111</v>
      </c>
      <c r="E844" s="222">
        <f ca="1">E841/$C841-1</f>
        <v>0.44440000000000002</v>
      </c>
      <c r="F844" s="221">
        <f ca="1">F843/$C841-1</f>
        <v>1.9594</v>
      </c>
      <c r="G844" s="221">
        <f ca="1">G843/$C841-1</f>
        <v>2.3283</v>
      </c>
      <c r="H844" s="222">
        <f ca="1">H843/$C841-1</f>
        <v>3.2894000000000001</v>
      </c>
      <c r="I844" s="438"/>
      <c r="L844" s="216"/>
    </row>
    <row r="845" spans="1:14" ht="17.850000000000001" customHeight="1" thickBot="1" x14ac:dyDescent="0.3">
      <c r="A845" s="2833"/>
      <c r="B845" s="2834"/>
      <c r="C845" s="2834"/>
      <c r="D845" s="2834"/>
      <c r="E845" s="2834"/>
      <c r="F845" s="2834"/>
      <c r="G845" s="2834"/>
      <c r="H845" s="2834"/>
      <c r="I845" s="438"/>
      <c r="L845" s="216"/>
    </row>
    <row r="846" spans="1:14" ht="17.850000000000001" customHeight="1" x14ac:dyDescent="0.25">
      <c r="A846" s="2382" t="s">
        <v>273</v>
      </c>
      <c r="B846" s="2383"/>
      <c r="C846" s="226">
        <f ca="1">' K3 Regie1'!O21</f>
        <v>19</v>
      </c>
      <c r="D846" s="227">
        <f ca="1">' K3 Regie1'!O23</f>
        <v>19</v>
      </c>
      <c r="E846" s="226">
        <f ca="1">' K3 Regie1'!O28</f>
        <v>24.61</v>
      </c>
      <c r="F846" s="219">
        <f ca="1">SUM(' K3 Regie1'!O29)</f>
        <v>1.1000000000000001</v>
      </c>
      <c r="G846" s="219">
        <f ca="1">SUM(' K3 Regie1'!O34)</f>
        <v>6.48</v>
      </c>
      <c r="H846" s="1049"/>
      <c r="I846" s="438"/>
      <c r="L846" s="216"/>
    </row>
    <row r="847" spans="1:14" ht="17.850000000000001" customHeight="1" x14ac:dyDescent="0.25">
      <c r="A847" s="768"/>
      <c r="B847" s="769"/>
      <c r="C847" s="770"/>
      <c r="D847" s="771"/>
      <c r="E847" s="770"/>
      <c r="F847" s="93">
        <f ca="1">SUM(' K3 Regie1'!O30:P32)</f>
        <v>24.68</v>
      </c>
      <c r="G847" s="93">
        <f>SUM(' K3 Regie1'!M39)</f>
        <v>0</v>
      </c>
      <c r="H847" s="218">
        <f ca="1">SUM(' K3 Regie1'!M43:P43)</f>
        <v>16.489999999999998</v>
      </c>
      <c r="I847" s="438"/>
      <c r="L847" s="216"/>
    </row>
    <row r="848" spans="1:14" ht="17.850000000000001" customHeight="1" x14ac:dyDescent="0.25">
      <c r="A848" s="768" t="str">
        <f>' K3 Regie1'!B10</f>
        <v>Facharbeiter (&gt; 2Verwendungsjahr)</v>
      </c>
      <c r="B848" s="1100"/>
      <c r="C848" s="218"/>
      <c r="D848" s="93"/>
      <c r="E848" s="218"/>
      <c r="F848" s="228">
        <f ca="1">SUM(E846,F846,F847)</f>
        <v>50.39</v>
      </c>
      <c r="G848" s="228">
        <f ca="1">SUM(F848,G846,G847)</f>
        <v>56.87</v>
      </c>
      <c r="H848" s="1050">
        <f ca="1">SUM(G848,H847)</f>
        <v>73.36</v>
      </c>
      <c r="I848" s="438"/>
      <c r="L848" s="216"/>
    </row>
    <row r="849" spans="1:12" ht="17.850000000000001" customHeight="1" thickBot="1" x14ac:dyDescent="0.3">
      <c r="A849" s="1104" t="str">
        <f>' K3 Regie1'!K11</f>
        <v>Regiestunde</v>
      </c>
      <c r="B849" s="1109"/>
      <c r="C849" s="220" t="s">
        <v>59</v>
      </c>
      <c r="D849" s="221">
        <f ca="1">D846/$C846-1</f>
        <v>0</v>
      </c>
      <c r="E849" s="222">
        <f ca="1">E846/$C846-1</f>
        <v>0.29530000000000001</v>
      </c>
      <c r="F849" s="221">
        <f ca="1">F848/$C846-1</f>
        <v>1.6520999999999999</v>
      </c>
      <c r="G849" s="221">
        <f ca="1">G848/$C846-1</f>
        <v>1.9932000000000001</v>
      </c>
      <c r="H849" s="222">
        <f ca="1">H848/$C846-1</f>
        <v>2.8611</v>
      </c>
      <c r="I849" s="438"/>
      <c r="L849" s="216"/>
    </row>
    <row r="850" spans="1:12" ht="17.850000000000001" customHeight="1" thickBot="1" x14ac:dyDescent="0.3">
      <c r="A850" s="2831"/>
      <c r="B850" s="2832"/>
      <c r="C850" s="2832"/>
      <c r="D850" s="2832"/>
      <c r="E850" s="2832"/>
      <c r="F850" s="2832"/>
      <c r="G850" s="2832"/>
      <c r="H850" s="2832"/>
      <c r="I850" s="438"/>
      <c r="L850" s="216"/>
    </row>
    <row r="851" spans="1:12" ht="17.850000000000001" customHeight="1" x14ac:dyDescent="0.25">
      <c r="A851" s="2836" t="s">
        <v>277</v>
      </c>
      <c r="B851" s="2837"/>
      <c r="C851" s="238">
        <f ca="1">' K3 Regie2'!O21</f>
        <v>16</v>
      </c>
      <c r="D851" s="239">
        <f ca="1">' K3 Regie2'!O23</f>
        <v>16</v>
      </c>
      <c r="E851" s="238">
        <f ca="1">' K3 Regie2'!O28</f>
        <v>21.19</v>
      </c>
      <c r="F851" s="219">
        <f ca="1">SUM(' K3 Regie2'!O29)</f>
        <v>1.1000000000000001</v>
      </c>
      <c r="G851" s="219">
        <f ca="1">SUM(' K3 Regie2'!O34)</f>
        <v>6.07</v>
      </c>
      <c r="H851" s="1049"/>
      <c r="I851" s="438"/>
      <c r="L851" s="216"/>
    </row>
    <row r="852" spans="1:12" ht="17.850000000000001" customHeight="1" x14ac:dyDescent="0.25">
      <c r="A852" s="772"/>
      <c r="B852" s="773"/>
      <c r="C852" s="774"/>
      <c r="D852" s="775"/>
      <c r="E852" s="774"/>
      <c r="F852" s="93">
        <f ca="1">SUM(' K3 Regie2'!O30:P32)</f>
        <v>21.26</v>
      </c>
      <c r="G852" s="93">
        <f>SUM(' K3 Regie2'!M39)</f>
        <v>0</v>
      </c>
      <c r="H852" s="218">
        <f ca="1">SUM(' K3 Regie2'!M43:P43)</f>
        <v>14.39</v>
      </c>
      <c r="I852" s="438"/>
      <c r="L852" s="216"/>
    </row>
    <row r="853" spans="1:12" ht="17.850000000000001" customHeight="1" x14ac:dyDescent="0.25">
      <c r="A853" s="768" t="str">
        <f>' K3 Regie2'!B10</f>
        <v>Qualifizierter Helfer</v>
      </c>
      <c r="B853" s="1100"/>
      <c r="C853" s="218"/>
      <c r="D853" s="93"/>
      <c r="E853" s="218"/>
      <c r="F853" s="240">
        <f ca="1">SUM(E851,F851,F852)</f>
        <v>43.55</v>
      </c>
      <c r="G853" s="240">
        <f ca="1">SUM(F853,G851,G852)</f>
        <v>49.62</v>
      </c>
      <c r="H853" s="1051">
        <f ca="1">SUM(G853,H852)</f>
        <v>64.010000000000005</v>
      </c>
      <c r="I853" s="438"/>
      <c r="L853" s="216"/>
    </row>
    <row r="854" spans="1:12" ht="17.850000000000001" customHeight="1" thickBot="1" x14ac:dyDescent="0.3">
      <c r="A854" s="1104" t="str">
        <f>' K3 Regie2'!K11</f>
        <v>Regiestunde</v>
      </c>
      <c r="B854" s="1109"/>
      <c r="C854" s="220" t="s">
        <v>59</v>
      </c>
      <c r="D854" s="221">
        <f ca="1">D851/$C851-1</f>
        <v>0</v>
      </c>
      <c r="E854" s="222">
        <f ca="1">E851/$C851-1</f>
        <v>0.32440000000000002</v>
      </c>
      <c r="F854" s="221">
        <f ca="1">F853/$C851-1</f>
        <v>1.7219</v>
      </c>
      <c r="G854" s="221">
        <f ca="1">G853/$C851-1</f>
        <v>2.1013000000000002</v>
      </c>
      <c r="H854" s="222">
        <f ca="1">H853/$C851-1</f>
        <v>3.0005999999999999</v>
      </c>
      <c r="I854" s="438"/>
      <c r="L854" s="216"/>
    </row>
    <row r="855" spans="1:12" ht="17.850000000000001" customHeight="1" thickBot="1" x14ac:dyDescent="0.3">
      <c r="A855" s="2831"/>
      <c r="B855" s="2832"/>
      <c r="C855" s="2832"/>
      <c r="D855" s="2832"/>
      <c r="E855" s="2832"/>
      <c r="F855" s="2832"/>
      <c r="G855" s="2832"/>
      <c r="H855" s="2832"/>
      <c r="I855" s="438"/>
      <c r="L855" s="216"/>
    </row>
    <row r="856" spans="1:12" ht="17.850000000000001" customHeight="1" x14ac:dyDescent="0.25">
      <c r="A856" s="245" t="s">
        <v>276</v>
      </c>
      <c r="B856" s="241"/>
      <c r="C856" s="229">
        <f ca="1">' K3 Regie3'!O21</f>
        <v>16</v>
      </c>
      <c r="D856" s="230">
        <f ca="1">' K3 Regie3'!O23</f>
        <v>16</v>
      </c>
      <c r="E856" s="229">
        <f ca="1">' K3 Regie3'!O28</f>
        <v>21.1</v>
      </c>
      <c r="F856" s="219">
        <f ca="1">SUM(' K3 Regie3'!O29)</f>
        <v>1.1000000000000001</v>
      </c>
      <c r="G856" s="219">
        <f ca="1">SUM(' K3 Regie3'!O34)</f>
        <v>6.06</v>
      </c>
      <c r="H856" s="1049"/>
      <c r="I856" s="438"/>
      <c r="L856" s="216"/>
    </row>
    <row r="857" spans="1:12" ht="17.850000000000001" customHeight="1" x14ac:dyDescent="0.25">
      <c r="A857" s="772"/>
      <c r="B857" s="773"/>
      <c r="C857" s="774"/>
      <c r="D857" s="775"/>
      <c r="E857" s="774"/>
      <c r="F857" s="93">
        <f ca="1">SUM(' K3 Regie3'!O30:P32)</f>
        <v>21.17</v>
      </c>
      <c r="G857" s="93">
        <f>SUM(' K3 Regie3'!M39)</f>
        <v>0</v>
      </c>
      <c r="H857" s="218">
        <f ca="1">SUM(' K3 Regie3'!M43:P43)</f>
        <v>14.33</v>
      </c>
      <c r="I857" s="438"/>
      <c r="L857" s="216"/>
    </row>
    <row r="858" spans="1:12" ht="17.850000000000001" customHeight="1" x14ac:dyDescent="0.25">
      <c r="A858" s="768" t="str">
        <f>' K3 Regie3'!B10</f>
        <v>Helfer</v>
      </c>
      <c r="B858" s="1100"/>
      <c r="C858" s="218"/>
      <c r="D858" s="93"/>
      <c r="E858" s="218"/>
      <c r="F858" s="231">
        <f ca="1">SUM(E856,F856,F857)</f>
        <v>43.37</v>
      </c>
      <c r="G858" s="231">
        <f ca="1">SUM(F858,G856,G857)</f>
        <v>49.43</v>
      </c>
      <c r="H858" s="1052">
        <f ca="1">SUM(G858,H857)</f>
        <v>63.76</v>
      </c>
      <c r="I858" s="438"/>
      <c r="L858" s="216"/>
    </row>
    <row r="859" spans="1:12" ht="17.850000000000001" customHeight="1" thickBot="1" x14ac:dyDescent="0.3">
      <c r="A859" s="1104" t="str">
        <f>' K3 Regie3'!K11</f>
        <v>Regiestunde</v>
      </c>
      <c r="B859" s="1109"/>
      <c r="C859" s="220" t="s">
        <v>59</v>
      </c>
      <c r="D859" s="221">
        <f ca="1">D856/$C856-1</f>
        <v>0</v>
      </c>
      <c r="E859" s="222">
        <f ca="1">E856/$C856-1</f>
        <v>0.31879999999999997</v>
      </c>
      <c r="F859" s="221">
        <f ca="1">F858/$C856-1</f>
        <v>1.7105999999999999</v>
      </c>
      <c r="G859" s="221">
        <f ca="1">G858/$C856-1</f>
        <v>2.0893999999999999</v>
      </c>
      <c r="H859" s="222">
        <f ca="1">H858/$C856-1</f>
        <v>2.9849999999999999</v>
      </c>
      <c r="I859" s="438"/>
      <c r="L859" s="216"/>
    </row>
    <row r="860" spans="1:12" ht="17.850000000000001" customHeight="1" thickBot="1" x14ac:dyDescent="0.3">
      <c r="A860" s="2831"/>
      <c r="B860" s="2832"/>
      <c r="C860" s="2832"/>
      <c r="D860" s="2832"/>
      <c r="E860" s="2832"/>
      <c r="F860" s="2832"/>
      <c r="G860" s="2832"/>
      <c r="H860" s="2832"/>
      <c r="I860" s="438"/>
      <c r="L860" s="216"/>
    </row>
    <row r="861" spans="1:12" ht="17.850000000000001" customHeight="1" x14ac:dyDescent="0.25">
      <c r="A861" s="246" t="s">
        <v>278</v>
      </c>
      <c r="B861" s="242"/>
      <c r="C861" s="232">
        <f ca="1">' K3 Regie4'!O21</f>
        <v>19</v>
      </c>
      <c r="D861" s="233">
        <f ca="1">' K3 Regie4'!O23</f>
        <v>19</v>
      </c>
      <c r="E861" s="232">
        <f ca="1">' K3 Regie4'!O28</f>
        <v>35.520000000000003</v>
      </c>
      <c r="F861" s="219">
        <f ca="1">SUM(' K3 Regie4'!O29)</f>
        <v>1.1000000000000001</v>
      </c>
      <c r="G861" s="219">
        <f ca="1">SUM(' K3 Regie4'!O34)</f>
        <v>7.79</v>
      </c>
      <c r="H861" s="1049"/>
      <c r="I861" s="438"/>
      <c r="L861" s="216"/>
    </row>
    <row r="862" spans="1:12" ht="17.850000000000001" customHeight="1" x14ac:dyDescent="0.25">
      <c r="A862" s="776"/>
      <c r="B862" s="777"/>
      <c r="C862" s="774"/>
      <c r="D862" s="775"/>
      <c r="E862" s="774"/>
      <c r="F862" s="93">
        <f ca="1">SUM(' K3 Regie4'!O30:P32)</f>
        <v>35.590000000000003</v>
      </c>
      <c r="G862" s="93">
        <f>SUM(' K3 Regie4'!M39)</f>
        <v>0</v>
      </c>
      <c r="H862" s="218">
        <f ca="1">SUM(' K3 Regie4'!M43:P43)</f>
        <v>23.2</v>
      </c>
      <c r="I862" s="438"/>
      <c r="L862" s="216"/>
    </row>
    <row r="863" spans="1:12" ht="17.850000000000001" customHeight="1" x14ac:dyDescent="0.25">
      <c r="A863" s="87" t="str">
        <f>' K3 Regie4'!B10</f>
        <v>Facharbeiter (&gt; 2Verwendungsjahr)</v>
      </c>
      <c r="B863" s="160"/>
      <c r="C863" s="218"/>
      <c r="D863" s="93"/>
      <c r="E863" s="218"/>
      <c r="F863" s="234">
        <f ca="1">SUM(E861,F861,F862)</f>
        <v>72.209999999999994</v>
      </c>
      <c r="G863" s="234">
        <f ca="1">SUM(F863,G861,G862)</f>
        <v>80</v>
      </c>
      <c r="H863" s="1053">
        <f ca="1">SUM(G863,H862)</f>
        <v>103.2</v>
      </c>
      <c r="I863" s="438"/>
      <c r="L863" s="216"/>
    </row>
    <row r="864" spans="1:12" ht="17.850000000000001" customHeight="1" thickBot="1" x14ac:dyDescent="0.3">
      <c r="A864" s="68" t="str">
        <f>' K3 Regie4'!K11</f>
        <v>Überstunde 50%</v>
      </c>
      <c r="B864" s="62"/>
      <c r="C864" s="220" t="s">
        <v>59</v>
      </c>
      <c r="D864" s="221">
        <f ca="1">D861/$C861-1</f>
        <v>0</v>
      </c>
      <c r="E864" s="222">
        <f ca="1">E861/$C861-1</f>
        <v>0.86950000000000005</v>
      </c>
      <c r="F864" s="221">
        <f ca="1">F863/$C861-1</f>
        <v>2.8005</v>
      </c>
      <c r="G864" s="221">
        <f ca="1">G863/$C861-1</f>
        <v>3.2105000000000001</v>
      </c>
      <c r="H864" s="222">
        <f ca="1">H863/$C861-1</f>
        <v>4.4316000000000004</v>
      </c>
      <c r="I864" s="438"/>
      <c r="L864" s="216"/>
    </row>
    <row r="865" spans="1:13" ht="17.850000000000001" customHeight="1" thickBot="1" x14ac:dyDescent="0.3">
      <c r="A865" s="2831"/>
      <c r="B865" s="2832"/>
      <c r="C865" s="2832"/>
      <c r="D865" s="2832"/>
      <c r="E865" s="2832"/>
      <c r="F865" s="2832"/>
      <c r="G865" s="2832"/>
      <c r="H865" s="2832"/>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49"/>
      <c r="I866" s="438"/>
      <c r="L866" s="216"/>
    </row>
    <row r="867" spans="1:13" ht="17.850000000000001" customHeight="1" x14ac:dyDescent="0.25">
      <c r="A867" s="1099" t="str">
        <f>H693</f>
        <v>Ø</v>
      </c>
      <c r="B867" s="777"/>
      <c r="C867" s="774"/>
      <c r="D867" s="775"/>
      <c r="E867" s="774"/>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4"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831"/>
      <c r="B870" s="2832"/>
      <c r="C870" s="2832"/>
      <c r="D870" s="2832"/>
      <c r="E870" s="2832"/>
      <c r="F870" s="2832"/>
      <c r="G870" s="2832"/>
      <c r="H870" s="2832"/>
      <c r="I870" s="438"/>
      <c r="L870" s="216"/>
    </row>
    <row r="871" spans="1:13" ht="17.850000000000001" customHeight="1" x14ac:dyDescent="0.25">
      <c r="A871" s="822" t="s">
        <v>694</v>
      </c>
      <c r="B871" s="1058"/>
      <c r="C871" s="823" t="e">
        <f ca="1">' K3 Regie6'!O21</f>
        <v>#DIV/0!</v>
      </c>
      <c r="D871" s="824" t="e">
        <f ca="1">' K3 Regie6'!O23</f>
        <v>#DIV/0!</v>
      </c>
      <c r="E871" s="823" t="e">
        <f ca="1">' K3 Regie6'!O28</f>
        <v>#DIV/0!</v>
      </c>
      <c r="F871" s="219" t="e">
        <f ca="1">SUM(' K3 Regie6'!O29)</f>
        <v>#DIV/0!</v>
      </c>
      <c r="G871" s="219" t="e">
        <f ca="1">SUM(' K3 Regie6'!O34)</f>
        <v>#DIV/0!</v>
      </c>
      <c r="H871" s="1049"/>
      <c r="I871" s="438"/>
      <c r="L871" s="216"/>
    </row>
    <row r="872" spans="1:13" ht="17.850000000000001" customHeight="1" x14ac:dyDescent="0.25">
      <c r="A872" s="1099" t="str">
        <f>H767</f>
        <v>∑</v>
      </c>
      <c r="B872" s="777"/>
      <c r="C872" s="774"/>
      <c r="D872" s="775"/>
      <c r="E872" s="774"/>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5" t="e">
        <f ca="1">SUM(E871,F871,F872)</f>
        <v>#DIV/0!</v>
      </c>
      <c r="G873" s="825" t="e">
        <f ca="1">SUM(F873,G871,G872)</f>
        <v>#DIV/0!</v>
      </c>
      <c r="H873" s="1055"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4" t="s">
        <v>905</v>
      </c>
      <c r="B876" s="2145"/>
      <c r="C876" s="2145"/>
      <c r="D876" s="2145"/>
      <c r="E876" s="2145"/>
      <c r="F876" s="2145"/>
      <c r="G876" s="2145"/>
      <c r="H876" s="2145"/>
      <c r="I876" s="438"/>
      <c r="L876" s="216"/>
    </row>
    <row r="877" spans="1:13" ht="17.850000000000001" customHeight="1" x14ac:dyDescent="0.25">
      <c r="A877" s="2225" t="s">
        <v>899</v>
      </c>
      <c r="B877" s="2226"/>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4. Regie berechnen</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A712:D713"/>
    <mergeCell ref="J730:L730"/>
    <mergeCell ref="A716:C716"/>
    <mergeCell ref="E716:G716"/>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56:B758"/>
    <mergeCell ref="C756:H758"/>
    <mergeCell ref="A810:D810"/>
    <mergeCell ref="A705:F705"/>
    <mergeCell ref="J743:L745"/>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723:L723"/>
    <mergeCell ref="A763:I763"/>
    <mergeCell ref="A764:C765"/>
    <mergeCell ref="D764:H765"/>
    <mergeCell ref="A766:C766"/>
    <mergeCell ref="D766:H766"/>
    <mergeCell ref="A767:G767"/>
    <mergeCell ref="A768:D768"/>
    <mergeCell ref="A769:C769"/>
    <mergeCell ref="A730:D730"/>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79:L779"/>
    <mergeCell ref="J780:L780"/>
    <mergeCell ref="D752:F752"/>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A737:D737"/>
    <mergeCell ref="A746:E746"/>
    <mergeCell ref="C753:H755"/>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J475:L476"/>
    <mergeCell ref="A514:D514"/>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G297:H298"/>
    <mergeCell ref="A315:B315"/>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326:E326"/>
    <mergeCell ref="A428:H428"/>
    <mergeCell ref="E501:F501"/>
    <mergeCell ref="A461:D461"/>
    <mergeCell ref="A462:D462"/>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A273:E273"/>
    <mergeCell ref="A317:C317"/>
    <mergeCell ref="A304:D304"/>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66:F67"/>
    <mergeCell ref="F204:F207"/>
    <mergeCell ref="G59:G60"/>
    <mergeCell ref="A94:B94"/>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265:F265"/>
    <mergeCell ref="H172:H173"/>
    <mergeCell ref="A197:C197"/>
    <mergeCell ref="A198:C198"/>
    <mergeCell ref="A188:C188"/>
    <mergeCell ref="A174:C174"/>
    <mergeCell ref="G179:H179"/>
    <mergeCell ref="H104:H106"/>
    <mergeCell ref="H182:H183"/>
    <mergeCell ref="C104:C106"/>
    <mergeCell ref="J265:L266"/>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266:H266"/>
    <mergeCell ref="A252:E252"/>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J28:K29"/>
    <mergeCell ref="J32:K3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102:L102"/>
    <mergeCell ref="A137:B137"/>
    <mergeCell ref="J95:L96"/>
    <mergeCell ref="J97:L97"/>
    <mergeCell ref="J110:L110"/>
    <mergeCell ref="A128:B128"/>
    <mergeCell ref="A127:B127"/>
    <mergeCell ref="J38:L38"/>
    <mergeCell ref="G104:G106"/>
    <mergeCell ref="A104:B10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41:C41"/>
    <mergeCell ref="A42:C42"/>
    <mergeCell ref="A60:D60"/>
    <mergeCell ref="A53:C53"/>
    <mergeCell ref="A76:H7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63:L69"/>
    <mergeCell ref="J71:L72"/>
    <mergeCell ref="A82:D82"/>
    <mergeCell ref="A74:H74"/>
    <mergeCell ref="A83:H83"/>
    <mergeCell ref="A71:F71"/>
    <mergeCell ref="G98:G100"/>
    <mergeCell ref="E98:E100"/>
    <mergeCell ref="A100:B100"/>
    <mergeCell ref="A78:D78"/>
    <mergeCell ref="A159:H159"/>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A699:C699"/>
    <mergeCell ref="A671:E671"/>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779:F779"/>
    <mergeCell ref="A584:D584"/>
    <mergeCell ref="A676:H676"/>
    <mergeCell ref="A811:D811"/>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590:D590"/>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95:C695"/>
    <mergeCell ref="A631:F631"/>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279:I279"/>
    <mergeCell ref="A347:H347"/>
    <mergeCell ref="A184:C184"/>
    <mergeCell ref="A187:C187"/>
    <mergeCell ref="A178:F178"/>
    <mergeCell ref="G286:H287"/>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417:H417"/>
    <mergeCell ref="H455:H457"/>
    <mergeCell ref="A463:B463"/>
    <mergeCell ref="A472:H472"/>
    <mergeCell ref="A465:D465"/>
    <mergeCell ref="A489:C489"/>
    <mergeCell ref="A341:H341"/>
    <mergeCell ref="J307:L309"/>
    <mergeCell ref="A482:A483"/>
    <mergeCell ref="B482:I483"/>
    <mergeCell ref="A452:D452"/>
    <mergeCell ref="J421:L421"/>
    <mergeCell ref="J489:L489"/>
    <mergeCell ref="J492:L492"/>
    <mergeCell ref="J493:L493"/>
    <mergeCell ref="J494:L494"/>
    <mergeCell ref="J451:K451"/>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A110:C110"/>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690:L692"/>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B550:I551"/>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098" t="s">
        <v>1121</v>
      </c>
      <c r="B1" s="3099"/>
      <c r="C1" s="3099"/>
      <c r="D1" s="3099"/>
      <c r="E1" s="3099"/>
      <c r="F1" s="3099"/>
      <c r="G1" s="3099"/>
      <c r="H1" s="3099"/>
      <c r="I1" s="3100"/>
      <c r="K1" s="1334"/>
      <c r="L1" s="1334"/>
      <c r="M1" s="1334"/>
      <c r="N1" s="1334"/>
      <c r="O1" s="1334"/>
      <c r="P1" s="1334"/>
      <c r="Q1" s="1334"/>
      <c r="R1" s="1334"/>
    </row>
    <row r="2" spans="1:18" x14ac:dyDescent="0.25">
      <c r="A2" s="3101"/>
      <c r="B2" s="3102"/>
      <c r="C2" s="3102"/>
      <c r="D2" s="3102"/>
      <c r="E2" s="3102"/>
      <c r="F2" s="3102"/>
      <c r="G2" s="3102"/>
      <c r="H2" s="3102"/>
      <c r="I2" s="3103"/>
    </row>
    <row r="3" spans="1:18" x14ac:dyDescent="0.25">
      <c r="K3" s="1272" t="s">
        <v>421</v>
      </c>
    </row>
    <row r="4" spans="1:18" ht="20.100000000000001" customHeight="1" x14ac:dyDescent="0.25">
      <c r="A4" s="1530" t="s">
        <v>1092</v>
      </c>
      <c r="B4" s="1345"/>
      <c r="C4" s="1345"/>
      <c r="D4" s="1345"/>
      <c r="E4" s="1345"/>
      <c r="F4" s="1345"/>
      <c r="G4" s="1345"/>
      <c r="H4" s="1345"/>
      <c r="I4" s="1346"/>
      <c r="K4" s="1272" t="s">
        <v>992</v>
      </c>
    </row>
    <row r="5" spans="1:18" x14ac:dyDescent="0.25">
      <c r="A5" s="3127" t="s">
        <v>1073</v>
      </c>
      <c r="B5" s="3128"/>
      <c r="C5" s="3128"/>
      <c r="D5" s="3128"/>
      <c r="E5" s="3129"/>
      <c r="F5" s="3121" t="s">
        <v>1063</v>
      </c>
      <c r="G5" s="3122"/>
      <c r="H5" s="3123" t="s">
        <v>1069</v>
      </c>
      <c r="I5" s="3125" t="s">
        <v>1070</v>
      </c>
      <c r="K5" s="1272" t="s">
        <v>988</v>
      </c>
    </row>
    <row r="6" spans="1:18" x14ac:dyDescent="0.25">
      <c r="A6" s="3130"/>
      <c r="B6" s="3131"/>
      <c r="C6" s="3131"/>
      <c r="D6" s="3131"/>
      <c r="E6" s="3132"/>
      <c r="F6" s="1846" t="s">
        <v>1071</v>
      </c>
      <c r="G6" s="1847" t="s">
        <v>1072</v>
      </c>
      <c r="H6" s="3124"/>
      <c r="I6" s="3126"/>
      <c r="K6" s="1272" t="s">
        <v>993</v>
      </c>
    </row>
    <row r="7" spans="1:18" x14ac:dyDescent="0.25">
      <c r="A7" s="1843" t="s">
        <v>1066</v>
      </c>
      <c r="B7" s="1844"/>
      <c r="C7" s="1844"/>
      <c r="D7" s="1844"/>
      <c r="E7" s="1844"/>
      <c r="F7" s="1321">
        <v>0.15</v>
      </c>
      <c r="G7" s="1316">
        <v>0</v>
      </c>
      <c r="H7" s="1839" t="str">
        <f ca="1">IF(KALKULATION!J55&lt;&gt;"","X","")</f>
        <v/>
      </c>
      <c r="I7" s="1840" t="s">
        <v>422</v>
      </c>
    </row>
    <row r="8" spans="1:18" x14ac:dyDescent="0.25">
      <c r="A8" s="1843" t="s">
        <v>1067</v>
      </c>
      <c r="B8" s="1844"/>
      <c r="C8" s="1844"/>
      <c r="D8" s="1844"/>
      <c r="E8" s="1844"/>
      <c r="F8" s="1321">
        <v>0.1</v>
      </c>
      <c r="G8" s="1316">
        <v>0</v>
      </c>
      <c r="H8" s="1839" t="str">
        <f>IF(KALKULATION!J61&lt;&gt;"","X","")</f>
        <v/>
      </c>
      <c r="I8" s="1840" t="s">
        <v>423</v>
      </c>
    </row>
    <row r="9" spans="1:18" x14ac:dyDescent="0.25">
      <c r="A9" s="1843" t="s">
        <v>1068</v>
      </c>
      <c r="B9" s="1844"/>
      <c r="C9" s="1844"/>
      <c r="D9" s="1844"/>
      <c r="E9" s="1844"/>
      <c r="F9" s="1322">
        <v>48</v>
      </c>
      <c r="G9" s="1317">
        <v>38.5</v>
      </c>
      <c r="H9" s="1839" t="str">
        <f ca="1">IF(KALKULATION!J95&lt;&gt;"","X","")</f>
        <v/>
      </c>
      <c r="I9" s="1840" t="s">
        <v>1064</v>
      </c>
    </row>
    <row r="10" spans="1:18" x14ac:dyDescent="0.25">
      <c r="A10" s="1843" t="s">
        <v>1074</v>
      </c>
      <c r="B10" s="1844"/>
      <c r="C10" s="1844"/>
      <c r="D10" s="1844"/>
      <c r="E10" s="1844"/>
      <c r="F10" s="1321">
        <v>0.85</v>
      </c>
      <c r="G10" s="1316">
        <v>0.6</v>
      </c>
      <c r="H10" s="1839" t="str">
        <f ca="1">IF(KALKULATION!J265&lt;&gt;"","X","")</f>
        <v/>
      </c>
      <c r="I10" s="1840" t="s">
        <v>424</v>
      </c>
    </row>
    <row r="11" spans="1:18" x14ac:dyDescent="0.25">
      <c r="A11" s="1843" t="s">
        <v>1075</v>
      </c>
      <c r="B11" s="1844"/>
      <c r="C11" s="1844"/>
      <c r="D11" s="1844"/>
      <c r="E11" s="1844"/>
      <c r="F11" s="1323">
        <v>3</v>
      </c>
      <c r="G11" s="1318">
        <v>1.9</v>
      </c>
      <c r="H11" s="1839" t="str">
        <f ca="1">IF(KALKULATION!J260&lt;&gt;"","X","")</f>
        <v/>
      </c>
      <c r="I11" s="1840" t="s">
        <v>425</v>
      </c>
    </row>
    <row r="12" spans="1:18" x14ac:dyDescent="0.25">
      <c r="A12" s="1843" t="s">
        <v>1076</v>
      </c>
      <c r="B12" s="1844"/>
      <c r="C12" s="1844"/>
      <c r="D12" s="1844"/>
      <c r="E12" s="1844"/>
      <c r="F12" s="1321">
        <v>0.15</v>
      </c>
      <c r="G12" s="1319">
        <v>0.05</v>
      </c>
      <c r="H12" s="1839" t="str">
        <f ca="1">IF(KALKULATION!J307&lt;&gt;"","X","")</f>
        <v/>
      </c>
      <c r="I12" s="1840" t="s">
        <v>426</v>
      </c>
    </row>
    <row r="13" spans="1:18" x14ac:dyDescent="0.25">
      <c r="A13" s="1845" t="s">
        <v>1077</v>
      </c>
      <c r="B13" s="1306"/>
      <c r="C13" s="1306"/>
      <c r="D13" s="1306"/>
      <c r="E13" s="1306"/>
      <c r="F13" s="1324">
        <v>0.3</v>
      </c>
      <c r="G13" s="1320">
        <v>0.09</v>
      </c>
      <c r="H13" s="1841" t="str">
        <f>IF(KALKULATION!K345&lt;&gt;"","X","")</f>
        <v/>
      </c>
      <c r="I13" s="1842" t="s">
        <v>1089</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1" t="s">
        <v>1099</v>
      </c>
    </row>
    <row r="15" spans="1:18" x14ac:dyDescent="0.25">
      <c r="A15" s="3136"/>
      <c r="B15" s="3137"/>
      <c r="C15" s="3137"/>
      <c r="D15" s="3137"/>
      <c r="E15" s="3137"/>
      <c r="F15" s="3137"/>
      <c r="G15" s="3137"/>
      <c r="H15" s="3137"/>
      <c r="I15" s="3138"/>
      <c r="K15" s="2111" t="s">
        <v>1078</v>
      </c>
    </row>
    <row r="16" spans="1:18" x14ac:dyDescent="0.25">
      <c r="A16" s="3139"/>
      <c r="B16" s="3140"/>
      <c r="C16" s="3140"/>
      <c r="D16" s="3140"/>
      <c r="E16" s="3140"/>
      <c r="F16" s="3140"/>
      <c r="G16" s="3140"/>
      <c r="H16" s="3140"/>
      <c r="I16" s="3141"/>
    </row>
    <row r="18" spans="1:10" x14ac:dyDescent="0.25">
      <c r="A18" s="1344" t="s">
        <v>344</v>
      </c>
      <c r="B18" s="1345"/>
      <c r="C18" s="1345"/>
      <c r="D18" s="1345"/>
      <c r="E18" s="1345"/>
      <c r="F18" s="1345"/>
      <c r="G18" s="1345"/>
      <c r="H18" s="1345"/>
      <c r="I18" s="1346"/>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65</v>
      </c>
      <c r="F24" s="1366">
        <f ca="1">IFERROR(KALKULATION!E67*KALKULATION!H73/KALKULATION!H70,0)</f>
        <v>9.36</v>
      </c>
      <c r="G24" s="1367"/>
      <c r="H24" s="1368"/>
      <c r="I24" s="1369">
        <f ca="1">SUM(E24:H24)</f>
        <v>74.36</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7.52</v>
      </c>
      <c r="H25" s="1368">
        <f ca="1">IFERROR(KALKULATION!E69*KALKULATION!H73/KALKULATION!H70*KALKULATION!G72/KALKULATION!G70,0)</f>
        <v>1.1200000000000001</v>
      </c>
      <c r="I25" s="1369">
        <f t="shared" ref="I25:I49" ca="1" si="0">SUM(E25:H25)</f>
        <v>8.64</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0.01</v>
      </c>
      <c r="D27" s="1374">
        <f ca="1">IFERROR(KALKULATION!H154*KALKULATION!H167/KALKULATION!H165,0)</f>
        <v>0.01</v>
      </c>
      <c r="E27" s="1372">
        <f ca="1">SUM(E24,E26)*C27</f>
        <v>0.65</v>
      </c>
      <c r="F27" s="1366"/>
      <c r="G27" s="1367">
        <f ca="1">G25*D27</f>
        <v>0.08</v>
      </c>
      <c r="H27" s="1368"/>
      <c r="I27" s="1369">
        <f t="shared" ca="1" si="0"/>
        <v>0.73</v>
      </c>
      <c r="J27" s="1370"/>
    </row>
    <row r="28" spans="1:10" ht="14.85" customHeight="1" x14ac:dyDescent="0.25">
      <c r="A28" s="1371" t="s">
        <v>989</v>
      </c>
      <c r="B28" s="1364"/>
      <c r="C28" s="1364"/>
      <c r="D28" s="1375">
        <f ca="1">IFERROR(KALKULATION!H95/KALKULATION!C95*KALKULATION!H115/KALKULATION!H113,0)</f>
        <v>2.9000000000000001E-2</v>
      </c>
      <c r="E28" s="1372">
        <f ca="1">SUM(E24,E26)*D28</f>
        <v>1.89</v>
      </c>
      <c r="F28" s="1366"/>
      <c r="G28" s="1367">
        <f ca="1">SUM(G25)*D28</f>
        <v>0.22</v>
      </c>
      <c r="H28" s="1368"/>
      <c r="I28" s="1369">
        <f t="shared" ca="1" si="0"/>
        <v>2.11</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961</v>
      </c>
      <c r="B30" s="1364"/>
      <c r="C30" s="1364"/>
      <c r="D30" s="1376"/>
      <c r="E30" s="1365">
        <f ca="1">I30-G30</f>
        <v>9.08</v>
      </c>
      <c r="F30" s="1377"/>
      <c r="G30" s="1367">
        <f ca="1">KALKULATION!R214*Report!D50</f>
        <v>1</v>
      </c>
      <c r="H30" s="1368"/>
      <c r="I30" s="1369">
        <f ca="1">KALKULATION!H228*Report!D50</f>
        <v>10.08</v>
      </c>
      <c r="J30" s="1370"/>
    </row>
    <row r="31" spans="1:10" ht="14.85" customHeight="1" x14ac:dyDescent="0.25">
      <c r="A31" s="1378" t="s">
        <v>962</v>
      </c>
      <c r="B31" s="1379"/>
      <c r="C31" s="1379"/>
      <c r="D31" s="1865"/>
      <c r="E31" s="1381">
        <f ca="1">SUM(E24:E30)</f>
        <v>76.62</v>
      </c>
      <c r="F31" s="1382">
        <f ca="1">SUM(F24:F30)</f>
        <v>9.36</v>
      </c>
      <c r="G31" s="1383">
        <f ca="1">SUM(G24:G30)</f>
        <v>8.82</v>
      </c>
      <c r="H31" s="1384">
        <f ca="1">SUM(H24:H30)</f>
        <v>1.1200000000000001</v>
      </c>
      <c r="I31" s="1385">
        <f t="shared" ca="1" si="0"/>
        <v>95.92</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85.98</v>
      </c>
      <c r="F33" s="1377"/>
      <c r="G33" s="1367">
        <f ca="1">G31+H31</f>
        <v>9.94</v>
      </c>
      <c r="H33" s="1368"/>
      <c r="I33" s="1369">
        <f t="shared" ca="1" si="0"/>
        <v>95.92</v>
      </c>
      <c r="J33" s="1370"/>
    </row>
    <row r="34" spans="1:10" ht="14.85" customHeight="1" x14ac:dyDescent="0.25">
      <c r="A34" s="669" t="s">
        <v>334</v>
      </c>
      <c r="B34" s="267"/>
      <c r="C34" s="267"/>
      <c r="D34" s="1224">
        <f ca="1">KALKULATION!H236</f>
        <v>0.28000000000000003</v>
      </c>
      <c r="E34" s="1365">
        <f ca="1">D34*E33</f>
        <v>24.07</v>
      </c>
      <c r="F34" s="1377"/>
      <c r="G34" s="1367">
        <f ca="1">D34*G33</f>
        <v>2.78</v>
      </c>
      <c r="H34" s="1368"/>
      <c r="I34" s="1369">
        <f t="shared" ca="1" si="0"/>
        <v>26.85</v>
      </c>
      <c r="J34" s="1370"/>
    </row>
    <row r="35" spans="1:10" ht="14.85" customHeight="1" x14ac:dyDescent="0.25">
      <c r="A35" s="669" t="s">
        <v>335</v>
      </c>
      <c r="B35" s="1364"/>
      <c r="C35" s="1364"/>
      <c r="D35" s="1506">
        <f ca="1">KALKULATION!H265</f>
        <v>0.72</v>
      </c>
      <c r="E35" s="1365">
        <f ca="1">D35*E33</f>
        <v>61.91</v>
      </c>
      <c r="F35" s="1377"/>
      <c r="G35" s="1367">
        <f ca="1">D35*G33</f>
        <v>7.16</v>
      </c>
      <c r="H35" s="1368"/>
      <c r="I35" s="1369">
        <f t="shared" ca="1" si="0"/>
        <v>69.069999999999993</v>
      </c>
      <c r="J35" s="1370"/>
    </row>
    <row r="36" spans="1:10" ht="14.85" customHeight="1" x14ac:dyDescent="0.25">
      <c r="A36" s="669" t="s">
        <v>336</v>
      </c>
      <c r="B36" s="1364"/>
      <c r="C36" s="1364"/>
      <c r="D36" s="1506">
        <f ca="1">KALKULATION!H277</f>
        <v>2.7000000000000001E-3</v>
      </c>
      <c r="E36" s="1365">
        <f ca="1">D36*E33</f>
        <v>0.23</v>
      </c>
      <c r="F36" s="1377"/>
      <c r="G36" s="1367">
        <f ca="1">D36*G33</f>
        <v>0.03</v>
      </c>
      <c r="H36" s="1368"/>
      <c r="I36" s="1369">
        <f t="shared" ca="1" si="0"/>
        <v>0.26</v>
      </c>
      <c r="J36" s="1370"/>
    </row>
    <row r="37" spans="1:10" ht="14.85" customHeight="1" x14ac:dyDescent="0.25">
      <c r="A37" s="1866" t="s">
        <v>942</v>
      </c>
      <c r="B37" s="1867"/>
      <c r="C37" s="1867"/>
      <c r="D37" s="1515"/>
      <c r="E37" s="1365">
        <f ca="1">I37-G37</f>
        <v>3.92</v>
      </c>
      <c r="F37" s="1377"/>
      <c r="G37" s="1367">
        <f ca="1">KALKULATION!Q214*Report!D50</f>
        <v>0.4</v>
      </c>
      <c r="H37" s="1368"/>
      <c r="I37" s="1369">
        <f ca="1">KALKULATION!G227*Report!D50</f>
        <v>4.32</v>
      </c>
      <c r="J37" s="1370"/>
    </row>
    <row r="38" spans="1:10" ht="14.85" customHeight="1" x14ac:dyDescent="0.25">
      <c r="A38" s="1386" t="s">
        <v>239</v>
      </c>
      <c r="B38" s="1387"/>
      <c r="C38" s="1387"/>
      <c r="D38" s="1388"/>
      <c r="E38" s="1381">
        <f ca="1">SUM(E33:E37)</f>
        <v>176.11</v>
      </c>
      <c r="F38" s="1382"/>
      <c r="G38" s="1383">
        <f ca="1">SUM(G33:G37)</f>
        <v>20.309999999999999</v>
      </c>
      <c r="H38" s="1389"/>
      <c r="I38" s="1385">
        <f t="shared" ca="1" si="0"/>
        <v>196.42</v>
      </c>
      <c r="J38" s="1370"/>
    </row>
    <row r="39" spans="1:10" ht="14.85" customHeight="1" x14ac:dyDescent="0.25">
      <c r="A39" s="1390" t="s">
        <v>964</v>
      </c>
      <c r="B39" s="1391"/>
      <c r="C39" s="1391"/>
      <c r="D39" s="1392">
        <f ca="1">' K3 PP'!M34</f>
        <v>3.46</v>
      </c>
      <c r="E39" s="1365">
        <f ca="1">KALKULATION!F308*KALKULATION!F63</f>
        <v>12.46</v>
      </c>
      <c r="F39" s="1377"/>
      <c r="G39" s="1367"/>
      <c r="H39" s="1393"/>
      <c r="I39" s="3142">
        <f ca="1">SUM(E39:H40)</f>
        <v>24.25</v>
      </c>
      <c r="J39" s="1370"/>
    </row>
    <row r="40" spans="1:10" ht="14.85" customHeight="1" x14ac:dyDescent="0.25">
      <c r="A40" s="1394" t="s">
        <v>963</v>
      </c>
      <c r="B40" s="1395"/>
      <c r="C40" s="1395"/>
      <c r="D40" s="1396">
        <f>KALKULATION!E306</f>
        <v>0.06</v>
      </c>
      <c r="E40" s="1397">
        <f ca="1">D40*E38</f>
        <v>10.57</v>
      </c>
      <c r="F40" s="1398"/>
      <c r="G40" s="1399">
        <f ca="1">D40*G38</f>
        <v>1.22</v>
      </c>
      <c r="H40" s="1400"/>
      <c r="I40" s="3144"/>
      <c r="J40" s="1370"/>
    </row>
    <row r="41" spans="1:10" ht="14.85" customHeight="1" x14ac:dyDescent="0.25">
      <c r="A41" s="1390" t="s">
        <v>338</v>
      </c>
      <c r="B41" s="1391"/>
      <c r="C41" s="1391"/>
      <c r="D41" s="1401"/>
      <c r="E41" s="1365">
        <f ca="1">SUM(E38:E40)</f>
        <v>199.14</v>
      </c>
      <c r="F41" s="1377"/>
      <c r="G41" s="1367">
        <f ca="1">SUM(G38:G40)</f>
        <v>21.53</v>
      </c>
      <c r="H41" s="1393"/>
      <c r="I41" s="1369">
        <f t="shared" ca="1" si="0"/>
        <v>220.67</v>
      </c>
      <c r="J41" s="1370"/>
    </row>
    <row r="42" spans="1:10" ht="14.85" customHeight="1" x14ac:dyDescent="0.25">
      <c r="A42" s="1402" t="s">
        <v>940</v>
      </c>
      <c r="B42" s="1403"/>
      <c r="C42" s="1403"/>
      <c r="D42" s="1404"/>
      <c r="E42" s="1405">
        <f ca="1">KALKULATION!F339*KALKULATION!F63</f>
        <v>0</v>
      </c>
      <c r="F42" s="1406"/>
      <c r="G42" s="1407"/>
      <c r="H42" s="1408"/>
      <c r="I42" s="3142">
        <f ca="1">SUM(E42:H43)</f>
        <v>0</v>
      </c>
      <c r="J42" s="1370"/>
    </row>
    <row r="43" spans="1:10" ht="14.85" customHeight="1" x14ac:dyDescent="0.25">
      <c r="A43" s="1402" t="s">
        <v>941</v>
      </c>
      <c r="B43" s="1403"/>
      <c r="C43" s="1403"/>
      <c r="D43" s="1404">
        <f>KALKULATION!G339</f>
        <v>0</v>
      </c>
      <c r="E43" s="1405">
        <f ca="1">D43*E38</f>
        <v>0</v>
      </c>
      <c r="F43" s="1406"/>
      <c r="G43" s="1407">
        <f ca="1">D43*G38</f>
        <v>0</v>
      </c>
      <c r="H43" s="1408"/>
      <c r="I43" s="3142"/>
      <c r="J43" s="1370"/>
    </row>
    <row r="44" spans="1:10" ht="14.85" customHeight="1" x14ac:dyDescent="0.25">
      <c r="A44" s="1409" t="s">
        <v>240</v>
      </c>
      <c r="B44" s="1410"/>
      <c r="C44" s="1410"/>
      <c r="D44" s="1411">
        <f>KALKULATION!G345</f>
        <v>0.28999999999999998</v>
      </c>
      <c r="E44" s="1412">
        <f ca="1">D44*E41</f>
        <v>57.75</v>
      </c>
      <c r="F44" s="1413"/>
      <c r="G44" s="1414">
        <f ca="1">D44*G41</f>
        <v>6.24</v>
      </c>
      <c r="H44" s="1415"/>
      <c r="I44" s="1416">
        <f t="shared" ca="1" si="0"/>
        <v>63.99</v>
      </c>
      <c r="J44" s="1370"/>
    </row>
    <row r="45" spans="1:10" ht="14.85" customHeight="1" x14ac:dyDescent="0.25">
      <c r="A45" s="1417" t="s">
        <v>241</v>
      </c>
      <c r="B45" s="1418"/>
      <c r="C45" s="1418"/>
      <c r="D45" s="1419" t="str">
        <f ca="1">IF(KALKULATION!G346="","",KALKULATION!G346)</f>
        <v/>
      </c>
      <c r="E45" s="1420">
        <f ca="1">IFERROR(E42*$D45,0)+IFERROR(E43*$D45,0)</f>
        <v>0</v>
      </c>
      <c r="F45" s="1421"/>
      <c r="G45" s="1407">
        <f ca="1">IFERROR(G42*$D45,0)+IFERROR(G43*$D45,0)</f>
        <v>0</v>
      </c>
      <c r="H45" s="1422"/>
      <c r="I45" s="1423">
        <f t="shared" ca="1" si="0"/>
        <v>0</v>
      </c>
      <c r="J45" s="1370"/>
    </row>
    <row r="46" spans="1:10" ht="14.85" customHeight="1" x14ac:dyDescent="0.25">
      <c r="A46" s="1390" t="s">
        <v>339</v>
      </c>
      <c r="B46" s="1391"/>
      <c r="C46" s="1391"/>
      <c r="D46" s="1401"/>
      <c r="E46" s="1365">
        <f ca="1">E41+E44</f>
        <v>256.89</v>
      </c>
      <c r="F46" s="1377"/>
      <c r="G46" s="1365">
        <f ca="1">G41+G44</f>
        <v>27.77</v>
      </c>
      <c r="H46" s="1393"/>
      <c r="I46" s="1369">
        <f t="shared" ca="1" si="0"/>
        <v>284.66000000000003</v>
      </c>
      <c r="J46" s="1370"/>
    </row>
    <row r="47" spans="1:10" ht="14.85" customHeight="1" x14ac:dyDescent="0.25">
      <c r="A47" s="1417" t="s">
        <v>340</v>
      </c>
      <c r="B47" s="1418"/>
      <c r="C47" s="1418"/>
      <c r="D47" s="1419"/>
      <c r="E47" s="1420">
        <f ca="1">SUM(E42,E43,E45)</f>
        <v>0</v>
      </c>
      <c r="F47" s="1421"/>
      <c r="G47" s="1407">
        <f ca="1">SUM(G42,G43,G45)</f>
        <v>0</v>
      </c>
      <c r="H47" s="1424"/>
      <c r="I47" s="1369">
        <f t="shared" ca="1" si="0"/>
        <v>0</v>
      </c>
      <c r="J47" s="1370"/>
    </row>
    <row r="48" spans="1:10" ht="14.85" customHeight="1" x14ac:dyDescent="0.25">
      <c r="A48" s="1390" t="s">
        <v>341</v>
      </c>
      <c r="B48" s="1391"/>
      <c r="C48" s="1391"/>
      <c r="D48" s="1401"/>
      <c r="E48" s="1365">
        <f ca="1">SUM(E46,E47)</f>
        <v>256.89</v>
      </c>
      <c r="F48" s="1377"/>
      <c r="G48" s="1367">
        <f ca="1">SUM(G46,G47)</f>
        <v>27.77</v>
      </c>
      <c r="H48" s="1393"/>
      <c r="I48" s="1369">
        <f t="shared" ca="1" si="0"/>
        <v>284.66000000000003</v>
      </c>
      <c r="J48" s="1370"/>
    </row>
    <row r="49" spans="1:10" ht="14.85" customHeight="1" x14ac:dyDescent="0.25">
      <c r="A49" s="1390" t="s">
        <v>342</v>
      </c>
      <c r="B49" s="1391"/>
      <c r="C49" s="1391"/>
      <c r="D49" s="1401"/>
      <c r="E49" s="1365">
        <f ca="1">E48+G48</f>
        <v>284.66000000000003</v>
      </c>
      <c r="F49" s="1377"/>
      <c r="G49" s="1367"/>
      <c r="H49" s="1393"/>
      <c r="I49" s="1369">
        <f t="shared" ca="1" si="0"/>
        <v>284.66000000000003</v>
      </c>
      <c r="J49" s="1370"/>
    </row>
    <row r="50" spans="1:10" ht="14.85" customHeight="1" x14ac:dyDescent="0.25">
      <c r="A50" s="1425" t="s">
        <v>343</v>
      </c>
      <c r="B50" s="1426"/>
      <c r="C50" s="1426"/>
      <c r="D50" s="1427">
        <f ca="1">KALKULATION!F63</f>
        <v>3.6</v>
      </c>
      <c r="E50" s="1428">
        <f ca="1">E49/D50</f>
        <v>79.069999999999993</v>
      </c>
      <c r="F50" s="3104" t="s">
        <v>1119</v>
      </c>
      <c r="G50" s="3104"/>
      <c r="H50" s="3104"/>
      <c r="I50" s="1898">
        <f ca="1">' K3 PP'!U45</f>
        <v>76.94</v>
      </c>
    </row>
    <row r="51" spans="1:10" x14ac:dyDescent="0.25">
      <c r="A51" s="1429"/>
      <c r="B51" s="1430"/>
      <c r="C51" s="1430"/>
      <c r="D51" s="1431"/>
      <c r="E51" s="1432"/>
      <c r="F51" s="1433"/>
      <c r="G51" s="1433"/>
      <c r="H51" s="1433"/>
      <c r="I51" s="1434"/>
    </row>
    <row r="52" spans="1:10" x14ac:dyDescent="0.25">
      <c r="A52" s="1435" t="s">
        <v>358</v>
      </c>
      <c r="B52" s="1348"/>
      <c r="C52" s="1436"/>
      <c r="D52" s="1349"/>
      <c r="E52" s="3112" t="s">
        <v>400</v>
      </c>
      <c r="F52" s="3113"/>
      <c r="G52" s="3145" t="s">
        <v>244</v>
      </c>
      <c r="H52" s="3146"/>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18.059999999999999</v>
      </c>
      <c r="F54" s="1443">
        <f ca="1">F24/$D$50</f>
        <v>2.6</v>
      </c>
      <c r="G54" s="1444"/>
      <c r="H54" s="1445"/>
      <c r="I54" s="1446">
        <f ca="1">SUM(E54:H54)</f>
        <v>20.66</v>
      </c>
    </row>
    <row r="55" spans="1:10" ht="14.85" customHeight="1" x14ac:dyDescent="0.25">
      <c r="A55" s="1363" t="s">
        <v>243</v>
      </c>
      <c r="B55" s="1364"/>
      <c r="C55" s="1364"/>
      <c r="D55" s="516"/>
      <c r="E55" s="1442"/>
      <c r="F55" s="1443"/>
      <c r="G55" s="1444">
        <f ca="1">G25/$D$50</f>
        <v>2.09</v>
      </c>
      <c r="H55" s="1445">
        <f ca="1">H25/$D$50</f>
        <v>0.31</v>
      </c>
      <c r="I55" s="1446">
        <f t="shared" ref="I55:I61" ca="1" si="1">SUM(E55:H55)</f>
        <v>2.4</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952</v>
      </c>
      <c r="B57" s="1364"/>
      <c r="C57" s="1364"/>
      <c r="D57" s="516"/>
      <c r="E57" s="1447">
        <f ca="1">E27/$D$50</f>
        <v>0.18</v>
      </c>
      <c r="F57" s="1443"/>
      <c r="G57" s="1444">
        <f ca="1">G27/$D$50</f>
        <v>0.02</v>
      </c>
      <c r="H57" s="1445"/>
      <c r="I57" s="1446">
        <f t="shared" ca="1" si="1"/>
        <v>0.2</v>
      </c>
    </row>
    <row r="58" spans="1:10" ht="14.85" customHeight="1" x14ac:dyDescent="0.25">
      <c r="A58" s="1371" t="s">
        <v>989</v>
      </c>
      <c r="B58" s="1364"/>
      <c r="C58" s="1364"/>
      <c r="D58" s="516"/>
      <c r="E58" s="1447">
        <f ca="1">E28/$D$50</f>
        <v>0.53</v>
      </c>
      <c r="F58" s="1443"/>
      <c r="G58" s="1444">
        <f ca="1">G28/$D$50</f>
        <v>0.06</v>
      </c>
      <c r="H58" s="1445"/>
      <c r="I58" s="1446">
        <f t="shared" ca="1" si="1"/>
        <v>0.59</v>
      </c>
    </row>
    <row r="59" spans="1:10" ht="14.85" customHeight="1" x14ac:dyDescent="0.25">
      <c r="A59" s="1363" t="s">
        <v>984</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2.52</v>
      </c>
      <c r="F60" s="1448"/>
      <c r="G60" s="1444">
        <f ca="1">G30/$D$50</f>
        <v>0.28000000000000003</v>
      </c>
      <c r="H60" s="1445"/>
      <c r="I60" s="1446">
        <f t="shared" ca="1" si="1"/>
        <v>2.8</v>
      </c>
    </row>
    <row r="61" spans="1:10" ht="14.85" customHeight="1" x14ac:dyDescent="0.25">
      <c r="A61" s="1378" t="s">
        <v>245</v>
      </c>
      <c r="B61" s="1379"/>
      <c r="C61" s="1379"/>
      <c r="D61" s="1380"/>
      <c r="E61" s="1449">
        <f ca="1">E31/$D$50</f>
        <v>21.28</v>
      </c>
      <c r="F61" s="1450">
        <f ca="1">F31/$D$50</f>
        <v>2.6</v>
      </c>
      <c r="G61" s="1451">
        <f ca="1">G31/$D$50</f>
        <v>2.4500000000000002</v>
      </c>
      <c r="H61" s="1452">
        <f ca="1">H31/$D$50</f>
        <v>0.31</v>
      </c>
      <c r="I61" s="1453">
        <f t="shared" ca="1" si="1"/>
        <v>26.64</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23.88</v>
      </c>
      <c r="F63" s="1448"/>
      <c r="G63" s="1444">
        <f t="shared" ref="G63:G78" ca="1" si="3">G33/$D$50</f>
        <v>2.76</v>
      </c>
      <c r="H63" s="1445"/>
      <c r="I63" s="1446">
        <f t="shared" ref="I63:I78" ca="1" si="4">SUM(E63:H63)</f>
        <v>26.64</v>
      </c>
    </row>
    <row r="64" spans="1:10" ht="14.85" customHeight="1" x14ac:dyDescent="0.25">
      <c r="A64" s="669" t="s">
        <v>334</v>
      </c>
      <c r="B64" s="267"/>
      <c r="C64" s="267"/>
      <c r="D64" s="1375"/>
      <c r="E64" s="1442">
        <f t="shared" ca="1" si="2"/>
        <v>6.69</v>
      </c>
      <c r="F64" s="1448"/>
      <c r="G64" s="1444">
        <f t="shared" ca="1" si="3"/>
        <v>0.77</v>
      </c>
      <c r="H64" s="1445"/>
      <c r="I64" s="1446">
        <f t="shared" ca="1" si="4"/>
        <v>7.46</v>
      </c>
    </row>
    <row r="65" spans="1:18" ht="14.85" customHeight="1" x14ac:dyDescent="0.25">
      <c r="A65" s="669" t="s">
        <v>335</v>
      </c>
      <c r="B65" s="1364"/>
      <c r="C65" s="1364"/>
      <c r="D65" s="1376"/>
      <c r="E65" s="1442">
        <f t="shared" ca="1" si="2"/>
        <v>17.2</v>
      </c>
      <c r="F65" s="1448"/>
      <c r="G65" s="1444">
        <f t="shared" ca="1" si="3"/>
        <v>1.99</v>
      </c>
      <c r="H65" s="1445"/>
      <c r="I65" s="1446">
        <f t="shared" ca="1" si="4"/>
        <v>19.190000000000001</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1.0900000000000001</v>
      </c>
      <c r="F67" s="1448"/>
      <c r="G67" s="1444">
        <f t="shared" ca="1" si="3"/>
        <v>0.11</v>
      </c>
      <c r="H67" s="1445"/>
      <c r="I67" s="1446">
        <f t="shared" ca="1" si="4"/>
        <v>1.2</v>
      </c>
    </row>
    <row r="68" spans="1:18" ht="14.85" customHeight="1" x14ac:dyDescent="0.25">
      <c r="A68" s="1386" t="s">
        <v>239</v>
      </c>
      <c r="B68" s="1387"/>
      <c r="C68" s="1387"/>
      <c r="D68" s="1868"/>
      <c r="E68" s="1449">
        <f t="shared" ca="1" si="2"/>
        <v>48.92</v>
      </c>
      <c r="F68" s="1450"/>
      <c r="G68" s="1451">
        <f t="shared" ca="1" si="3"/>
        <v>5.64</v>
      </c>
      <c r="H68" s="1454"/>
      <c r="I68" s="1453">
        <f ca="1">SUM(E68:H68)</f>
        <v>54.56</v>
      </c>
    </row>
    <row r="69" spans="1:18" ht="14.85" customHeight="1" x14ac:dyDescent="0.25">
      <c r="A69" s="1390" t="str">
        <f>A39</f>
        <v>Personalgemeinkosten in €</v>
      </c>
      <c r="B69" s="1391"/>
      <c r="C69" s="1391"/>
      <c r="D69" s="1869"/>
      <c r="E69" s="1442">
        <f t="shared" ca="1" si="2"/>
        <v>3.46</v>
      </c>
      <c r="F69" s="1448"/>
      <c r="G69" s="1442">
        <f t="shared" ca="1" si="3"/>
        <v>0</v>
      </c>
      <c r="H69" s="1455"/>
      <c r="I69" s="3143">
        <f ca="1">SUM(E69:H70)</f>
        <v>6.74</v>
      </c>
    </row>
    <row r="70" spans="1:18" ht="14.85" customHeight="1" x14ac:dyDescent="0.25">
      <c r="A70" s="1394" t="str">
        <f t="shared" ref="A70:A73" si="5">A40</f>
        <v>Personalgemeinkosten in %</v>
      </c>
      <c r="B70" s="1395"/>
      <c r="C70" s="1395"/>
      <c r="D70" s="1870"/>
      <c r="E70" s="1397">
        <f t="shared" ca="1" si="2"/>
        <v>2.94</v>
      </c>
      <c r="F70" s="1398"/>
      <c r="G70" s="1399">
        <f t="shared" ca="1" si="3"/>
        <v>0.34</v>
      </c>
      <c r="H70" s="1400"/>
      <c r="I70" s="3143"/>
    </row>
    <row r="71" spans="1:18" ht="14.85" customHeight="1" x14ac:dyDescent="0.25">
      <c r="A71" s="1390" t="str">
        <f t="shared" si="5"/>
        <v>Personalkosten vor GZ</v>
      </c>
      <c r="B71" s="1391"/>
      <c r="C71" s="1391"/>
      <c r="D71" s="1401"/>
      <c r="E71" s="1365">
        <f t="shared" ca="1" si="2"/>
        <v>55.32</v>
      </c>
      <c r="F71" s="1377"/>
      <c r="G71" s="1367">
        <f t="shared" ca="1" si="3"/>
        <v>5.98</v>
      </c>
      <c r="H71" s="1393"/>
      <c r="I71" s="1446">
        <f t="shared" ca="1" si="4"/>
        <v>61.3</v>
      </c>
    </row>
    <row r="72" spans="1:18" ht="14.85" customHeight="1" x14ac:dyDescent="0.25">
      <c r="A72" s="1390" t="str">
        <f t="shared" si="5"/>
        <v>Umlagen vor GZ  |  €</v>
      </c>
      <c r="B72" s="1403"/>
      <c r="C72" s="1403"/>
      <c r="D72" s="1404"/>
      <c r="E72" s="1405">
        <f t="shared" ca="1" si="2"/>
        <v>0</v>
      </c>
      <c r="F72" s="1406"/>
      <c r="G72" s="1407">
        <f t="shared" ca="1" si="3"/>
        <v>0</v>
      </c>
      <c r="H72" s="1408"/>
      <c r="I72" s="3143">
        <f ca="1">SUM(E72:H73)</f>
        <v>0</v>
      </c>
    </row>
    <row r="73" spans="1:18" ht="14.85" customHeight="1" x14ac:dyDescent="0.25">
      <c r="A73" s="1390" t="str">
        <f t="shared" si="5"/>
        <v>Umlagen vor GZ  |  %</v>
      </c>
      <c r="B73" s="1403"/>
      <c r="C73" s="1403"/>
      <c r="D73" s="1404"/>
      <c r="E73" s="1405">
        <f t="shared" ca="1" si="2"/>
        <v>0</v>
      </c>
      <c r="F73" s="1406"/>
      <c r="G73" s="1407">
        <f t="shared" ca="1" si="3"/>
        <v>0</v>
      </c>
      <c r="H73" s="1408"/>
      <c r="I73" s="3143"/>
    </row>
    <row r="74" spans="1:18" ht="14.85" customHeight="1" x14ac:dyDescent="0.25">
      <c r="A74" s="1456" t="s">
        <v>240</v>
      </c>
      <c r="B74" s="1457"/>
      <c r="C74" s="1457"/>
      <c r="D74" s="1458"/>
      <c r="E74" s="1459">
        <f t="shared" ca="1" si="2"/>
        <v>16.04</v>
      </c>
      <c r="F74" s="1460"/>
      <c r="G74" s="1461">
        <f t="shared" ca="1" si="3"/>
        <v>1.73</v>
      </c>
      <c r="H74" s="1462"/>
      <c r="I74" s="1463">
        <f t="shared" ca="1" si="4"/>
        <v>17.77</v>
      </c>
    </row>
    <row r="75" spans="1:18" ht="14.85" customHeight="1" x14ac:dyDescent="0.25">
      <c r="A75" s="1464" t="s">
        <v>241</v>
      </c>
      <c r="B75" s="1465"/>
      <c r="C75" s="1465"/>
      <c r="D75" s="1466"/>
      <c r="E75" s="1467">
        <f t="shared" ca="1" si="2"/>
        <v>0</v>
      </c>
      <c r="F75" s="1468"/>
      <c r="G75" s="1469">
        <f t="shared" ca="1" si="3"/>
        <v>0</v>
      </c>
      <c r="H75" s="1470"/>
      <c r="I75" s="1471">
        <f t="shared" ca="1" si="4"/>
        <v>0</v>
      </c>
    </row>
    <row r="76" spans="1:18" ht="14.85" customHeight="1" x14ac:dyDescent="0.25">
      <c r="A76" s="1472" t="s">
        <v>339</v>
      </c>
      <c r="B76" s="1387"/>
      <c r="C76" s="1387"/>
      <c r="D76" s="1388"/>
      <c r="E76" s="1381">
        <f t="shared" ca="1" si="2"/>
        <v>71.36</v>
      </c>
      <c r="F76" s="1382"/>
      <c r="G76" s="1381">
        <f t="shared" ca="1" si="3"/>
        <v>7.71</v>
      </c>
      <c r="H76" s="1389"/>
      <c r="I76" s="1453">
        <f t="shared" ca="1" si="4"/>
        <v>79.069999999999993</v>
      </c>
    </row>
    <row r="77" spans="1:18" ht="14.85" customHeight="1" x14ac:dyDescent="0.25">
      <c r="A77" s="1473" t="s">
        <v>340</v>
      </c>
      <c r="B77" s="1474"/>
      <c r="C77" s="1474"/>
      <c r="D77" s="1475"/>
      <c r="E77" s="1476">
        <f t="shared" ca="1" si="2"/>
        <v>0</v>
      </c>
      <c r="F77" s="1477"/>
      <c r="G77" s="1476">
        <f t="shared" ca="1" si="3"/>
        <v>0</v>
      </c>
      <c r="H77" s="1478"/>
      <c r="I77" s="1479">
        <f t="shared" ca="1" si="4"/>
        <v>0</v>
      </c>
    </row>
    <row r="78" spans="1:18" ht="14.85" customHeight="1" x14ac:dyDescent="0.25">
      <c r="A78" s="1409" t="s">
        <v>341</v>
      </c>
      <c r="B78" s="1410"/>
      <c r="C78" s="1410"/>
      <c r="D78" s="1411"/>
      <c r="E78" s="1412">
        <f t="shared" ca="1" si="2"/>
        <v>71.36</v>
      </c>
      <c r="F78" s="1413"/>
      <c r="G78" s="1414">
        <f t="shared" ca="1" si="3"/>
        <v>7.71</v>
      </c>
      <c r="H78" s="1415"/>
      <c r="I78" s="1471">
        <f t="shared" ca="1" si="4"/>
        <v>79.069999999999993</v>
      </c>
    </row>
    <row r="79" spans="1:18" ht="14.85" customHeight="1" x14ac:dyDescent="0.25">
      <c r="A79" s="1480" t="s">
        <v>342</v>
      </c>
      <c r="B79" s="1481"/>
      <c r="C79" s="1481"/>
      <c r="D79" s="1482"/>
      <c r="E79" s="1483"/>
      <c r="F79" s="1484"/>
      <c r="G79" s="1483"/>
      <c r="H79" s="1485"/>
      <c r="I79" s="1486">
        <f ca="1">I78</f>
        <v>79.069999999999993</v>
      </c>
    </row>
    <row r="80" spans="1:18" s="1492" customFormat="1" ht="11.85" customHeight="1" x14ac:dyDescent="0.2">
      <c r="A80" s="1487" t="s">
        <v>1106</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05" t="s">
        <v>944</v>
      </c>
      <c r="H82" s="3107" t="s">
        <v>349</v>
      </c>
      <c r="I82" s="1434"/>
    </row>
    <row r="83" spans="1:9" x14ac:dyDescent="0.25">
      <c r="A83" s="1871"/>
      <c r="B83" s="1518"/>
      <c r="C83" s="1518"/>
      <c r="D83" s="1872"/>
      <c r="F83" s="1873"/>
      <c r="G83" s="3106"/>
      <c r="H83" s="3108"/>
      <c r="I83" s="1434"/>
    </row>
    <row r="84" spans="1:9" x14ac:dyDescent="0.25">
      <c r="A84" s="1496" t="s">
        <v>107</v>
      </c>
      <c r="B84" s="1497"/>
      <c r="C84" s="1497"/>
      <c r="D84" s="1498"/>
      <c r="E84" s="1874">
        <f ca="1">G84/G$84</f>
        <v>1</v>
      </c>
      <c r="F84" s="1500">
        <f ca="1">E84</f>
        <v>1</v>
      </c>
      <c r="G84" s="1501">
        <f ca="1">E24</f>
        <v>65</v>
      </c>
      <c r="H84" s="1502">
        <f ca="1">G84/D$50</f>
        <v>18.059999999999999</v>
      </c>
      <c r="I84" s="1434"/>
    </row>
    <row r="85" spans="1:9" x14ac:dyDescent="0.25">
      <c r="A85" s="1503" t="s">
        <v>345</v>
      </c>
      <c r="B85" s="1504"/>
      <c r="C85" s="1504"/>
      <c r="D85" s="1505"/>
      <c r="E85" s="1499">
        <f t="shared" ref="E85:E92" ca="1" si="6">G85/G$84</f>
        <v>0.14399999999999999</v>
      </c>
      <c r="F85" s="1506">
        <f ca="1">E85+F84</f>
        <v>1.1439999999999999</v>
      </c>
      <c r="G85" s="1507">
        <f ca="1">F24</f>
        <v>9.36</v>
      </c>
      <c r="H85" s="1508">
        <f t="shared" ref="H85:H92" ca="1" si="7">G85/D$50</f>
        <v>2.6</v>
      </c>
      <c r="I85" s="1434"/>
    </row>
    <row r="86" spans="1:9" x14ac:dyDescent="0.25">
      <c r="A86" s="1509" t="s">
        <v>943</v>
      </c>
      <c r="B86" s="1510"/>
      <c r="C86" s="1510"/>
      <c r="D86" s="267"/>
      <c r="E86" s="1499">
        <f t="shared" ca="1" si="6"/>
        <v>0</v>
      </c>
      <c r="F86" s="1506">
        <f t="shared" ref="F86:F92" ca="1" si="8">E86+F85</f>
        <v>1.1439999999999999</v>
      </c>
      <c r="G86" s="1511">
        <f ca="1">E26+F26</f>
        <v>0</v>
      </c>
      <c r="H86" s="1508">
        <f t="shared" ca="1" si="7"/>
        <v>0</v>
      </c>
      <c r="I86" s="1434"/>
    </row>
    <row r="87" spans="1:9" x14ac:dyDescent="0.25">
      <c r="A87" s="1509" t="s">
        <v>346</v>
      </c>
      <c r="B87" s="1510"/>
      <c r="C87" s="1510"/>
      <c r="D87" s="267"/>
      <c r="E87" s="1499">
        <f t="shared" ca="1" si="6"/>
        <v>0.23910000000000001</v>
      </c>
      <c r="F87" s="1506">
        <f t="shared" ca="1" si="8"/>
        <v>1.3831</v>
      </c>
      <c r="G87" s="1511">
        <f ca="1">E31-E24-E26+E37</f>
        <v>15.54</v>
      </c>
      <c r="H87" s="1508">
        <f t="shared" ca="1" si="7"/>
        <v>4.32</v>
      </c>
      <c r="I87" s="1434"/>
    </row>
    <row r="88" spans="1:9" x14ac:dyDescent="0.25">
      <c r="A88" s="1509" t="s">
        <v>966</v>
      </c>
      <c r="B88" s="1510"/>
      <c r="C88" s="1510"/>
      <c r="D88" s="267"/>
      <c r="E88" s="1499">
        <f t="shared" ca="1" si="6"/>
        <v>1.3263</v>
      </c>
      <c r="F88" s="1506">
        <f t="shared" ca="1" si="8"/>
        <v>2.7094</v>
      </c>
      <c r="G88" s="1511">
        <f ca="1">E34+E35+E36</f>
        <v>86.21</v>
      </c>
      <c r="H88" s="1508">
        <f t="shared" ca="1" si="7"/>
        <v>23.95</v>
      </c>
      <c r="I88" s="1434"/>
    </row>
    <row r="89" spans="1:9" x14ac:dyDescent="0.25">
      <c r="A89" s="1509" t="s">
        <v>1097</v>
      </c>
      <c r="B89" s="1510"/>
      <c r="C89" s="1510"/>
      <c r="D89" s="1512"/>
      <c r="E89" s="1499">
        <f t="shared" ca="1" si="6"/>
        <v>0.33119999999999999</v>
      </c>
      <c r="F89" s="1506">
        <f t="shared" ca="1" si="8"/>
        <v>3.0406</v>
      </c>
      <c r="G89" s="1511">
        <f ca="1">G41</f>
        <v>21.53</v>
      </c>
      <c r="H89" s="1508">
        <f t="shared" ca="1" si="7"/>
        <v>5.98</v>
      </c>
      <c r="I89" s="1434"/>
    </row>
    <row r="90" spans="1:9" x14ac:dyDescent="0.25">
      <c r="A90" s="1509" t="s">
        <v>255</v>
      </c>
      <c r="B90" s="1510"/>
      <c r="C90" s="1510"/>
      <c r="D90" s="1512"/>
      <c r="E90" s="1499">
        <f t="shared" ca="1" si="6"/>
        <v>0.3543</v>
      </c>
      <c r="F90" s="1506">
        <f t="shared" ca="1" si="8"/>
        <v>3.3948999999999998</v>
      </c>
      <c r="G90" s="1511">
        <f ca="1">SUM(E39:E40)</f>
        <v>23.03</v>
      </c>
      <c r="H90" s="1508">
        <f t="shared" ca="1" si="7"/>
        <v>6.4</v>
      </c>
      <c r="I90" s="1434"/>
    </row>
    <row r="91" spans="1:9" x14ac:dyDescent="0.25">
      <c r="A91" s="1509" t="s">
        <v>247</v>
      </c>
      <c r="B91" s="1510"/>
      <c r="C91" s="1510"/>
      <c r="D91" s="1512"/>
      <c r="E91" s="1499">
        <f t="shared" ca="1" si="6"/>
        <v>0</v>
      </c>
      <c r="F91" s="1506">
        <f t="shared" ca="1" si="8"/>
        <v>3.3948999999999998</v>
      </c>
      <c r="G91" s="1511">
        <f ca="1">I42</f>
        <v>0</v>
      </c>
      <c r="H91" s="1508">
        <f t="shared" ca="1" si="7"/>
        <v>0</v>
      </c>
      <c r="I91" s="1434"/>
    </row>
    <row r="92" spans="1:9" x14ac:dyDescent="0.25">
      <c r="A92" s="1311" t="s">
        <v>967</v>
      </c>
      <c r="B92" s="1513"/>
      <c r="C92" s="1513"/>
      <c r="D92" s="1875"/>
      <c r="E92" s="1514">
        <f t="shared" ca="1" si="6"/>
        <v>0.98450000000000004</v>
      </c>
      <c r="F92" s="1876">
        <f t="shared" ca="1" si="8"/>
        <v>4.3794000000000004</v>
      </c>
      <c r="G92" s="1528">
        <f ca="1">SUM(I44,I45)</f>
        <v>63.99</v>
      </c>
      <c r="H92" s="1877">
        <f t="shared" ca="1" si="7"/>
        <v>17.78</v>
      </c>
      <c r="I92" s="1434"/>
    </row>
    <row r="93" spans="1:9" x14ac:dyDescent="0.25">
      <c r="A93" s="1311" t="s">
        <v>56</v>
      </c>
      <c r="B93" s="722"/>
      <c r="C93" s="1513"/>
      <c r="D93" s="1513"/>
      <c r="E93" s="1514"/>
      <c r="F93" s="1515"/>
      <c r="G93" s="1516">
        <f ca="1">SUM(G84:G92)</f>
        <v>284.66000000000003</v>
      </c>
      <c r="H93" s="1516">
        <f ca="1">SUM(H84:H92)</f>
        <v>79.09</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985</v>
      </c>
      <c r="B109" s="1493"/>
      <c r="C109" s="1493"/>
      <c r="D109" s="1493"/>
      <c r="E109" s="1493"/>
      <c r="F109" s="1345"/>
      <c r="G109" s="1493"/>
      <c r="H109" s="1519"/>
    </row>
    <row r="110" spans="1:9" x14ac:dyDescent="0.25">
      <c r="A110" s="1509" t="s">
        <v>347</v>
      </c>
      <c r="B110" s="1510"/>
      <c r="C110" s="1510"/>
      <c r="D110" s="1510"/>
      <c r="E110" s="1510"/>
      <c r="F110" s="267"/>
      <c r="G110" s="1520">
        <f ca="1">H93</f>
        <v>79.09</v>
      </c>
      <c r="H110" s="1521">
        <f ca="1">G110/G$110</f>
        <v>1</v>
      </c>
      <c r="I110" s="267"/>
    </row>
    <row r="111" spans="1:9" x14ac:dyDescent="0.25">
      <c r="A111" s="1522" t="s">
        <v>945</v>
      </c>
      <c r="B111" s="1523"/>
      <c r="C111" s="1523"/>
      <c r="D111" s="1523"/>
      <c r="E111" s="1524"/>
      <c r="F111" s="1525">
        <f ca="1">G68</f>
        <v>5.64</v>
      </c>
      <c r="G111" s="1510"/>
      <c r="H111" s="1526"/>
      <c r="I111" s="267"/>
    </row>
    <row r="112" spans="1:9" x14ac:dyDescent="0.25">
      <c r="A112" s="1522" t="s">
        <v>947</v>
      </c>
      <c r="B112" s="1523"/>
      <c r="C112" s="1523"/>
      <c r="D112" s="1523"/>
      <c r="E112" s="1524"/>
      <c r="F112" s="1525">
        <f ca="1">H86*E71/E61</f>
        <v>0</v>
      </c>
      <c r="G112" s="1510"/>
      <c r="H112" s="1526"/>
      <c r="I112" s="267"/>
    </row>
    <row r="113" spans="1:18" x14ac:dyDescent="0.25">
      <c r="A113" s="1522" t="s">
        <v>948</v>
      </c>
      <c r="B113" s="1523"/>
      <c r="C113" s="1523"/>
      <c r="D113" s="1523"/>
      <c r="E113" s="1524"/>
      <c r="F113" s="1525">
        <f ca="1">I69</f>
        <v>6.74</v>
      </c>
      <c r="G113" s="1510"/>
      <c r="H113" s="1526"/>
      <c r="I113" s="267"/>
    </row>
    <row r="114" spans="1:18" x14ac:dyDescent="0.25">
      <c r="A114" s="1522" t="s">
        <v>949</v>
      </c>
      <c r="B114" s="1523"/>
      <c r="C114" s="1523"/>
      <c r="D114" s="1523"/>
      <c r="E114" s="1524"/>
      <c r="F114" s="1525">
        <f ca="1">SUM(I72)</f>
        <v>0</v>
      </c>
      <c r="G114" s="1510"/>
      <c r="H114" s="1526"/>
      <c r="I114" s="267"/>
    </row>
    <row r="115" spans="1:18" x14ac:dyDescent="0.25">
      <c r="A115" s="1522" t="s">
        <v>950</v>
      </c>
      <c r="B115" s="1523"/>
      <c r="C115" s="1523"/>
      <c r="D115" s="1523"/>
      <c r="E115" s="1524"/>
      <c r="F115" s="1525">
        <f ca="1">SUM(I74:I75)</f>
        <v>17.77</v>
      </c>
      <c r="G115" s="1513"/>
      <c r="H115" s="1526"/>
      <c r="I115" s="267"/>
    </row>
    <row r="116" spans="1:18" x14ac:dyDescent="0.25">
      <c r="A116" s="1509" t="s">
        <v>946</v>
      </c>
      <c r="B116" s="1510"/>
      <c r="C116" s="1510"/>
      <c r="D116" s="1510"/>
      <c r="E116" s="267"/>
      <c r="F116" s="267"/>
      <c r="G116" s="1527">
        <f ca="1">SUM(F111:F115)</f>
        <v>30.15</v>
      </c>
      <c r="H116" s="1521">
        <f ca="1">G116/G$110</f>
        <v>0.38119999999999998</v>
      </c>
      <c r="I116" s="267"/>
    </row>
    <row r="117" spans="1:18" x14ac:dyDescent="0.25">
      <c r="A117" s="1311" t="s">
        <v>951</v>
      </c>
      <c r="B117" s="1513"/>
      <c r="C117" s="1513"/>
      <c r="D117" s="1513"/>
      <c r="E117" s="722"/>
      <c r="F117" s="722"/>
      <c r="G117" s="1528">
        <f ca="1">H93-G116</f>
        <v>48.94</v>
      </c>
      <c r="H117" s="1529">
        <f ca="1">G117/G$110</f>
        <v>0.61880000000000002</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147" t="s">
        <v>1093</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1094</v>
      </c>
      <c r="B124" s="2296"/>
      <c r="C124" s="2296"/>
      <c r="D124" s="2296"/>
      <c r="E124" s="2296"/>
      <c r="F124" s="2296"/>
      <c r="G124" s="2296"/>
      <c r="H124" s="2296"/>
      <c r="I124" s="3154"/>
    </row>
    <row r="125" spans="1:18" ht="15.75" customHeight="1" x14ac:dyDescent="0.25">
      <c r="A125" s="3150" t="s">
        <v>1095</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150" t="s">
        <v>1096</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2"/>
      <c r="G138" s="1536" t="s">
        <v>361</v>
      </c>
      <c r="H138" s="1537">
        <f ca="1">TODAY()</f>
        <v>46142</v>
      </c>
      <c r="I138" s="1538">
        <f ca="1">NOW()</f>
        <v>46142.649680092603</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39" t="s">
        <v>437</v>
      </c>
      <c r="B141" s="1540"/>
      <c r="C141" s="1541"/>
      <c r="D141" s="1542" t="str">
        <f ca="1">MID(CELL("Dateiname"),SEARCH("[",CELL("Dateiname"))+1,SEARCH("]",CELL("Dateiname"))-SEARCH("[",CELL("Dateiname"))-1)</f>
        <v>K3-Blatt_Baunebengewerbe_Hafner-_Platten-_Fliesenleger_(V4.0g).xlsx</v>
      </c>
      <c r="E141" s="1542"/>
      <c r="F141" s="1542"/>
      <c r="G141" s="1542"/>
      <c r="H141" s="1543"/>
      <c r="I141" s="1544"/>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[hafner_platten_fliesenl_26].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5"/>
      <c r="D143" s="3063"/>
      <c r="E143" s="3064"/>
      <c r="F143" s="3064"/>
      <c r="G143" s="3064"/>
      <c r="H143" s="3064"/>
      <c r="I143" s="3065"/>
    </row>
    <row r="144" spans="1:9" ht="15.95" customHeight="1" x14ac:dyDescent="0.25">
      <c r="A144" s="3117"/>
      <c r="B144" s="3118"/>
      <c r="C144" s="1545"/>
      <c r="D144" s="3063"/>
      <c r="E144" s="3064"/>
      <c r="F144" s="3064"/>
      <c r="G144" s="3064"/>
      <c r="H144" s="3064"/>
      <c r="I144" s="3065"/>
    </row>
    <row r="145" spans="1:11" ht="15.95" customHeight="1" x14ac:dyDescent="0.25">
      <c r="A145" s="3117"/>
      <c r="B145" s="3118"/>
      <c r="C145" s="1545"/>
      <c r="D145" s="3063"/>
      <c r="E145" s="3064"/>
      <c r="F145" s="3064"/>
      <c r="G145" s="3064"/>
      <c r="H145" s="3064"/>
      <c r="I145" s="3065"/>
    </row>
    <row r="146" spans="1:11" ht="15.95" customHeight="1" x14ac:dyDescent="0.25">
      <c r="A146" s="3117"/>
      <c r="B146" s="3118"/>
      <c r="C146" s="1545"/>
      <c r="D146" s="3063"/>
      <c r="E146" s="3064"/>
      <c r="F146" s="3064"/>
      <c r="G146" s="3064"/>
      <c r="H146" s="3064"/>
      <c r="I146" s="3065"/>
    </row>
    <row r="147" spans="1:11" ht="15.95" customHeight="1" x14ac:dyDescent="0.25">
      <c r="A147" s="3117"/>
      <c r="B147" s="3118"/>
      <c r="C147" s="1545"/>
      <c r="D147" s="3063"/>
      <c r="E147" s="3064"/>
      <c r="F147" s="3064"/>
      <c r="G147" s="3064"/>
      <c r="H147" s="3064"/>
      <c r="I147" s="3065"/>
    </row>
    <row r="148" spans="1:11" ht="15.95" customHeight="1" x14ac:dyDescent="0.25">
      <c r="A148" s="3117"/>
      <c r="B148" s="3118"/>
      <c r="C148" s="1545"/>
      <c r="D148" s="3063"/>
      <c r="E148" s="3064"/>
      <c r="F148" s="3064"/>
      <c r="G148" s="3064"/>
      <c r="H148" s="3064"/>
      <c r="I148" s="3065"/>
    </row>
    <row r="149" spans="1:11" ht="15.95" customHeight="1" x14ac:dyDescent="0.25">
      <c r="A149" s="3119"/>
      <c r="B149" s="3120"/>
      <c r="C149" s="1546"/>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0"/>
      <c r="B151" s="1531"/>
      <c r="C151" s="1531"/>
      <c r="D151" s="1531"/>
      <c r="E151" s="1547" t="s">
        <v>404</v>
      </c>
      <c r="F151" s="3072" t="str">
        <f>"KALKULATION Punkt "&amp;K151</f>
        <v>KALKULATION Punkt A</v>
      </c>
      <c r="G151" s="3072"/>
      <c r="H151" s="1548" t="s">
        <v>402</v>
      </c>
      <c r="I151" s="1549" t="s">
        <v>403</v>
      </c>
      <c r="K151" s="1272" t="s">
        <v>6</v>
      </c>
    </row>
    <row r="152" spans="1:11" ht="18.399999999999999" customHeight="1" x14ac:dyDescent="0.25">
      <c r="A152" s="3060" t="str">
        <f ca="1">A403&amp;"
"&amp;A411&amp;"
"&amp;A415</f>
        <v>Die Kalkulation erfolgt für das Projekt [Musterprojekt Baunebengewerbe (Hafner-, Platten-, Fliesenleger].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0" t="s">
        <v>968</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072" t="str">
        <f>"KALKULATION Punkt "&amp;K160</f>
        <v>KALKULATION Punkt B1</v>
      </c>
      <c r="G160" s="3072"/>
      <c r="H160" s="1548" t="s">
        <v>402</v>
      </c>
      <c r="I160" s="1549" t="s">
        <v>408</v>
      </c>
      <c r="K160" s="1272" t="s">
        <v>742</v>
      </c>
    </row>
    <row r="161" spans="1:9" ht="15.75" customHeight="1" x14ac:dyDescent="0.25">
      <c r="A161" s="3060" t="str">
        <f ca="1">A428&amp;A447&amp;A454&amp;A461&amp;A466</f>
        <v xml:space="preserve">Der verwendete Kollektivvertrag (KollV) ist der [KollV Hafner, Platten- und Fliesenleger (ohne Kärnten)] mit dem Stichtag 01.05.2026. Im Bezug zum angegebenen Kalkulationsdatum liegt der KollV-Stichtag 0 Tage zuvor. Im Bezug zum heutigen Tag liegt der KollV-Stichtag 1 Tage in der Zukunft. 
Die durchschnittliche Arbeitsgruppe für die Mittelpersonalkosten ist mit 4 Personen angenommen (B1). Dabei sind folgende Beschäftigungsgruppen (Anteile in %) berücksichtigt: [Facharbeiter (&gt; 2Verwendungsjahr) (50%), Qualifizierter Helfer (50%)]. 
Das angesetzte höchste KV-Entgelt beträgt 18,75€/Std, das niedrigste 15,96€/Std. Im gewichteten Mittel beträgt das KV-Entgelt 18,00€. Darauf ist eine durchschnittliche Überzahlung (AKV-Entgelt) in Hv 2,60€ bzw 14,4% aufgeschlagen. Wegen der vorgenommenen Umlage von unproduktivem Personal (B2.a) kann der zuvor angegebene AKV-Wert vom im K3-Blatt dargestellten Wert abweichen. Er liegt (gewichtet über produktivem und unproduktivem Personal) bei 14,5%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3"/>
      <c r="B178" s="1554"/>
      <c r="C178" s="1554"/>
      <c r="D178" s="1554"/>
      <c r="E178" s="1555" t="s">
        <v>404</v>
      </c>
      <c r="F178" s="3072" t="str">
        <f>"KALKULATION Punkt "&amp;K178</f>
        <v>KALKULATION Punkt B2</v>
      </c>
      <c r="G178" s="3072"/>
      <c r="H178" s="1556" t="s">
        <v>402</v>
      </c>
      <c r="I178" s="1557" t="s">
        <v>405</v>
      </c>
      <c r="K178" s="1272"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0,40 Person(en) / Köpfe und setzt sich wie folgt zusammen: [Facharbeiter (&gt; 2Verwendungsjahr)]. Die 'produktiv' tätige Personenanzahl, jenes Personal das die verkaufbare Leistung erbringt, beträgt 3,60 (Köpfe). Der Umlageprozentsatz nach 'Köpfen' beträgt 11,11% (die wertmäßige Umlage kann davon abweichen). 
Es ist kein Ansatz für sonstige unproduktive Zeiten (B2.b) vorgenommen. 
Die Ansätze für unproduktives Personal (B2.a) und/oder sonstige unproduktive Zeiten (B2.b) ergeben einen Aufschlag nach 'Köpfen' von 11,11% bzw kalkulatorisch einen monetären Aufschlag in Höhe von 11,57%.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0"/>
      <c r="B206" s="1531"/>
      <c r="C206" s="1531"/>
      <c r="D206" s="1531"/>
      <c r="E206" s="1547" t="s">
        <v>404</v>
      </c>
      <c r="F206" s="3072" t="str">
        <f>"KALKULATION Punkt "&amp;K206</f>
        <v>KALKULATION Punkt C</v>
      </c>
      <c r="G206" s="3072"/>
      <c r="H206" s="1548" t="s">
        <v>402</v>
      </c>
      <c r="I206" s="1549" t="s">
        <v>406</v>
      </c>
      <c r="K206" s="1272"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41 Std pro Woche angesetzt (kollektivvertragliche Arbeitszeit gem Stammdaten/Quelldatei ist 39 Std/Wo). 
Als Differenz zur KV-Arbeitszeit bestehen 2,00 Std. Diese ergeben sich aus [Überstunde 50% für 2,00 Std]. Die Hinzurechnung für Mehrarbeit/Überstunden beträgt 2,82% bzw 0,56€. Die Berechnung erfolgt auf Basis des jeweiligen Überstundenzuschlags und des KV-Entgelts  zuzüglich 15,50%, die sich aus Entgeltüberzahlungen und zuzüglich  0,00%, die sich aus Erhöhungsfaktoren gem KollV ergeben. Es sind keine Verrechnungsstunden (zB für Nacht- oder Schichtarbeit) angesetzt. 
Insgesamt (C1 und C2) ergibt sich eine Hinzurechnung in Hv 2,90% bzw ein Betrag für Arbeitszeitzuschläge in Hv 0,58€/Std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0"/>
      <c r="B225" s="1531"/>
      <c r="C225" s="1531"/>
      <c r="D225" s="1531"/>
      <c r="E225" s="1547" t="s">
        <v>404</v>
      </c>
      <c r="F225" s="3072" t="str">
        <f>"KALKULATION Punkt "&amp;K225</f>
        <v>KALKULATION Punkt D</v>
      </c>
      <c r="G225" s="3072"/>
      <c r="H225" s="1548" t="s">
        <v>402</v>
      </c>
      <c r="I225" s="1549" t="s">
        <v>407</v>
      </c>
      <c r="K225" s="1272"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0,90%. 
Für das UNPRODUKTIVE PERSONAL (gem B2.a) sind Zulagen im Gesamtausmaß von 1,00% in Ansatz gebracht. Dieser Ansatz entspricht jenem des produktiven Personals. Das kalkulatorische Rechenergebnis zur Berücksichtigung der Zulagen für das unproduktive Personal beträgt 0,10%. 
Insgesamt sind Zulagen mit einer Auswirkung in Hv 0,20€ (K3 Zeile 7) in die Kalkulation eingeflossen (1,00%).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0"/>
      <c r="B251" s="1531"/>
      <c r="C251" s="1531"/>
      <c r="D251" s="1531"/>
      <c r="E251" s="1547" t="s">
        <v>404</v>
      </c>
      <c r="F251" s="3072" t="str">
        <f>"KALKULATION Punkt "&amp;K251</f>
        <v>KALKULATION Punkt E</v>
      </c>
      <c r="G251" s="3072"/>
      <c r="H251" s="1548" t="s">
        <v>402</v>
      </c>
      <c r="I251" s="1549" t="s">
        <v>409</v>
      </c>
      <c r="K251" s="1272" t="s">
        <v>9</v>
      </c>
    </row>
    <row r="252" spans="1:11" ht="15.75" customHeight="1" x14ac:dyDescent="0.25">
      <c r="A252" s="3060" t="str">
        <f ca="1">A700&amp;A716&amp;A775&amp;A790&amp;A795&amp;A799</f>
        <v>Für abgabepflichtige sonstige Entgelte und Entschädigungen sind Kosten in Hv 2,80€/Std und für nicht abgabepflichtige (abgabefreie) Entschädigungen sind Kosten in Hv 1,20€/Std in Ansatz gebracht (K3 Zeile 9 bzw 11). 
Es finden sich folgende Entschädigungen bzw Entgeltbestandteile (Prozent der Anspruchsberechtigten jeweils in Klammer) in der Kalkulation: 
-- An Entschädigungen mit ANSPRUCH PRO TAG ist/sind [Taggeld (100%)] berücksichtigt (E2). Daraus ergeben sich Kosten pro Woche in Hv 0,00€ (abgabepflichtig) bzw 41,50€ (abgabefrei). 
-- An zusätzlichen VERRECHNUNGSSTUNDEN ist/sind [1,00 Verrechnungsstunde(n) pro Tag (100%) ] berücksichtigt (E4). Daraus ergeben sich Kosten pro Woche in Hv 103,00€ (abgabepflichtig). 
Für unproduktive Zeiten ist ein Zuschlag in Hv 11,11%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072" t="str">
        <f>"KALKULATION Punkt "&amp;K279</f>
        <v>KALKULATION Punkt F</v>
      </c>
      <c r="G279" s="3072"/>
      <c r="H279" s="1548" t="s">
        <v>402</v>
      </c>
      <c r="I279" s="1549" t="s">
        <v>410</v>
      </c>
      <c r="K279" s="1272" t="s">
        <v>10</v>
      </c>
    </row>
    <row r="280" spans="1:11" ht="15.75" customHeight="1" x14ac:dyDescent="0.25">
      <c r="A280" s="3060" t="str">
        <f ca="1">A812&amp;A820&amp;A832&amp;A841&amp;A865&amp;A869&amp;A876</f>
        <v xml:space="preserve">Die DIREKTEN Personalnebenkosten (DPNK) sind in Hv 28,00%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72,00% angesetzt. Der Wert ergibt sich aus dem Blatt STAMMDATEN; dort ist er mit 86,80% angegeben. Folgende Ansätze/Annahmen sind für die Anpassung von 86,80% auf 72,00%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
Weitere Personalnebenkosten (WPNK) sind in Hv 0,27% bzw 0,07€ (K3 Zeile 14) in Ansatz gebracht. 
Die gesamten Personalnebenkosten betragen 100,27% bzw 26,07€. Das Verhältnis von DPNK zu UPNK beträgt 1 zu 2,6.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072" t="str">
        <f>"KALKULATION Punkt "&amp;K304</f>
        <v>KALKULATION Punkt G</v>
      </c>
      <c r="G304" s="3072"/>
      <c r="H304" s="1548" t="s">
        <v>402</v>
      </c>
      <c r="I304" s="1549" t="s">
        <v>411</v>
      </c>
      <c r="K304" s="1272" t="s">
        <v>11</v>
      </c>
    </row>
    <row r="305" spans="1:11" x14ac:dyDescent="0.25">
      <c r="A305" s="3060" t="str">
        <f ca="1">A890&amp;A898&amp;"
"&amp;A902&amp;A907</f>
        <v xml:space="preserve">Personalgemeinkosten sind in Hv 6,64€/Std in Ansatz gebracht. Es entfallen 3,18€ auf Werte die als % eingetragen sind, und daher variabel zu den Personalkosten sind, und 3,46€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072" t="str">
        <f>"KALKULATION Punkt "&amp;K317</f>
        <v>KALKULATION Punkt H</v>
      </c>
      <c r="G317" s="3072"/>
      <c r="H317" s="1556" t="s">
        <v>402</v>
      </c>
      <c r="I317" s="1557" t="s">
        <v>412</v>
      </c>
      <c r="K317" s="1272" t="s">
        <v>12</v>
      </c>
    </row>
    <row r="318" spans="1:11" x14ac:dyDescent="0.25">
      <c r="A318" s="3060" t="str">
        <f ca="1">IF(' K3 PP'!M39=0,"",A915&amp;A932&amp;A936&amp;A939)</f>
        <v xml:space="preserve">Es sind keine Umlagen (Hinzurechnungen) vorgesehen. </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072" t="str">
        <f>"KALKULATION Punkt "&amp;K329</f>
        <v>KALKULATION Punkt I</v>
      </c>
      <c r="G329" s="3072"/>
      <c r="H329" s="1548" t="s">
        <v>402</v>
      </c>
      <c r="I329" s="1549" t="s">
        <v>413</v>
      </c>
      <c r="K329" s="1272"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17,30€. 
GZ auf Umlagen: Der Wert liegt außerhalb der im Blatt REPORT festgelegten Richtwerte. Bei öffentlichen Aufträgen (BVergG) auf die Erklärbarkeit und Plausibilität der Werte achten.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072" t="str">
        <f>"KALKULATION Punkt "&amp;K343</f>
        <v>KALKULATION Punkt J</v>
      </c>
      <c r="G343" s="3072"/>
      <c r="H343" s="1556" t="s">
        <v>402</v>
      </c>
      <c r="I343" s="1557" t="s">
        <v>420</v>
      </c>
      <c r="K343" s="1272" t="s">
        <v>13</v>
      </c>
    </row>
    <row r="344" spans="1:11" x14ac:dyDescent="0.25">
      <c r="A344" s="3060" t="str">
        <f ca="1">A992&amp;A999&amp;A975&amp;A980&amp;A986</f>
        <v>Das Ergebnis für den PERSONALPREIS GESAMT [Mittellohnpreis] beträgt 
76,94 €/Std.
Wenn Sie die Kalkulation auf PREIS-Basis fortsetzen (K7-Blätter), ist dieses Ergebnis relevant. Der GZ ist nicht mehr zu berücksichtigen. 
Das Ergebnis für die PERSONALKOSTEN GESAMT [Mittellohnkosten] beträgt 
59,64 €/Std.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060"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17,30€/Std bzw 2553€ pro Woche (bei der kalkulierten Arbeitszeit und Beschäftigtenzahl; ohne Berücksichtigung von Feiertagen - daher maximal) ergeben. Die Deckungsbeiträge erwirtschaften sich im Detail wie folgt: 
- aus dem Ansatz für GGK in Hv 10,44€/Std bzw 1541€ pro Woche
- aus dem Ansatz für Finanzierungskosten in Hv 1,40€/Std bzw 207€ pro Woche
- aus dem Ansatz für Wagnis in Hv 2,15€/Std bzw 317€ pro Woche
- aus dem Ansatz für Gewinn in Hv 3,32€/Std bzw 490€ pro Woche.
Betreffend Herleitung siehe auch www.bauwesen.at/tools (Nr 08)!
</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Baunebengewerbe (Hafner-, Platten-, Fliesenleger].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3"/>
      <c r="B414" s="1573"/>
      <c r="C414" s="1573"/>
      <c r="D414" s="1573"/>
      <c r="E414" s="1573"/>
      <c r="F414" s="1573"/>
      <c r="G414" s="1573"/>
      <c r="H414" s="1573"/>
      <c r="I414" s="1573"/>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986</v>
      </c>
      <c r="E424" s="1589" t="s">
        <v>353</v>
      </c>
      <c r="F424" s="1589" t="s">
        <v>987</v>
      </c>
      <c r="G424" s="1589" t="s">
        <v>354</v>
      </c>
      <c r="H424" s="1591"/>
      <c r="I424" s="1589"/>
    </row>
    <row r="425" spans="1:9" ht="15.75" hidden="1" customHeight="1" x14ac:dyDescent="0.25">
      <c r="A425" s="1592"/>
      <c r="B425" s="1589"/>
      <c r="C425" s="1590">
        <f ca="1">' K3 PP'!O8</f>
        <v>46143</v>
      </c>
      <c r="D425" s="1590">
        <f>' K3 PP'!M6</f>
        <v>46143</v>
      </c>
      <c r="E425" s="1590">
        <f ca="1">TODAY()</f>
        <v>46142</v>
      </c>
      <c r="F425" s="1589">
        <f ca="1">C425-D425</f>
        <v>0</v>
      </c>
      <c r="G425" s="1589">
        <f ca="1">C425-E425</f>
        <v>1</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 Tage in der Zukunft.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Hafner, Platten- und Fliesenleger (ohne Kärnten)] mit dem Stichtag 01.05.2026. Im Bezug zum angegebenen Kalkulationsdatum liegt der KollV-Stichtag 0 Tage zuvor. Im Bezug zum heutigen Tag liegt der KollV-Stichtag 1 Tage in der Zukunft.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Facharbeiter (&gt; 2Verwendungsjahr) (50%),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Qualifizierter Helfer (50%),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Facharbeiter (&gt; 2Verwendungsjahr) (50%), Qualifizierter Helfer (50%), </v>
      </c>
      <c r="B443" s="1597"/>
      <c r="C443" s="1597"/>
      <c r="D443" s="1597"/>
      <c r="E443" s="1597"/>
      <c r="F443" s="1597"/>
      <c r="G443" s="1597"/>
      <c r="H443" s="1597"/>
      <c r="I443" s="1598"/>
    </row>
    <row r="444" spans="1:9" ht="15.75" hidden="1" customHeight="1" x14ac:dyDescent="0.25">
      <c r="A444" s="1596">
        <f ca="1">LEN(A443)</f>
        <v>70</v>
      </c>
      <c r="B444" s="1597"/>
      <c r="C444" s="1597"/>
      <c r="D444" s="1597"/>
      <c r="E444" s="1597"/>
      <c r="F444" s="1597"/>
      <c r="G444" s="1597"/>
      <c r="H444" s="1597"/>
      <c r="I444" s="1598"/>
    </row>
    <row r="445" spans="1:9" ht="15.75" hidden="1" customHeight="1" x14ac:dyDescent="0.25">
      <c r="A445" s="1602" t="str">
        <f ca="1">IF(A444&gt;0,MID(A443,1,A444-2),"")</f>
        <v>Facharbeiter (&gt; 2Verwendungsjahr) (50%), Qualifizierter Helfer (50%)</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[Facharbeiter (&gt; 2Verwendungsjahr) (50%), Qualifizierter Helfer (50%)].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3" t="s">
        <v>372</v>
      </c>
      <c r="B453" s="1604">
        <f ca="1">MAX(KALKULATION!D36:D44)</f>
        <v>18.75</v>
      </c>
      <c r="C453" s="1605" t="s">
        <v>291</v>
      </c>
      <c r="D453" s="1606">
        <f t="array" aca="1" ref="D453" ca="1">MIN(IF(KALKULATION!D36:D44&gt;0,KALKULATION!D36:D44))</f>
        <v>15.96</v>
      </c>
      <c r="E453" s="1607" t="s">
        <v>72</v>
      </c>
      <c r="F453" s="1606">
        <f ca="1">KALKULATION!G45</f>
        <v>18</v>
      </c>
      <c r="G453" s="1605" t="s">
        <v>73</v>
      </c>
      <c r="H453" s="1606">
        <f ca="1">KALKULATION!H45</f>
        <v>2.6</v>
      </c>
      <c r="I453" s="1608">
        <f ca="1">H453/F453</f>
        <v>0.1444</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18,75€/Std, das niedrigste 15,96€/Std. Im gewichteten Mittel beträgt das KV-Entgelt 18,00€. Darauf ist eine durchschnittliche Überzahlung (AKV-Entgelt) in Hv 2,60€ bzw 14,4%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14,5%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0"/>
      <c r="B465" s="1610"/>
      <c r="C465" s="1610"/>
      <c r="D465" s="1610"/>
      <c r="E465" s="1610"/>
      <c r="F465" s="1610"/>
      <c r="G465" s="1610"/>
      <c r="H465" s="1610"/>
      <c r="I465" s="1610"/>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2"/>
      <c r="B476" s="1573"/>
      <c r="C476" s="1573"/>
      <c r="D476" s="1573"/>
      <c r="E476" s="1573"/>
      <c r="F476" s="1573"/>
      <c r="G476" s="1573"/>
      <c r="H476" s="1573"/>
      <c r="I476" s="1619"/>
    </row>
    <row r="477" spans="1:9" ht="15.75" hidden="1" customHeight="1" x14ac:dyDescent="0.25">
      <c r="A477" s="3069" t="str">
        <f>IFERROR(KALKULATION!J50,$K$6)</f>
        <v>Die Festlegung des unprod. Personals erfolgt gem B2.a als (Auswahl (3)) Anteil an der in B1 festgelegten Gesamtanzahl. Durch den relativen Bezug ändert sich die Anzahl des unprod. Personals bei Änderung der Anzahl in Pkt B1.</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Facharbeiter (&gt; 2Verwendungsjahr)</v>
      </c>
      <c r="B484" s="1594"/>
      <c r="C484" s="1594"/>
      <c r="D484" s="1595"/>
      <c r="E484" s="1594"/>
      <c r="F484" s="1594"/>
      <c r="G484" s="1594"/>
      <c r="H484" s="1594"/>
      <c r="I484" s="1595"/>
    </row>
    <row r="485" spans="1:9" ht="15.75" hidden="1" customHeight="1" x14ac:dyDescent="0.25">
      <c r="A485" s="1602" t="s">
        <v>453</v>
      </c>
      <c r="B485" s="1600"/>
      <c r="C485" s="1624">
        <f ca="1">KALKULATION!H57/KALKULATION!G57</f>
        <v>0.1111</v>
      </c>
      <c r="D485" s="1600"/>
      <c r="E485" s="1600"/>
      <c r="F485" s="1600"/>
      <c r="G485" s="1600"/>
      <c r="H485" s="1600"/>
      <c r="I485" s="1601"/>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0,40 Person(en) / Köpfe und setzt sich wie folgt zusammen: [Facharbeiter (&gt; 2Verwendungsjahr)]. Die 'produktiv' tätige Personenanzahl, jenes Personal das die verkaufbare Leistung erbringt, beträgt 3,60 (Köpfe). Der Umlageprozentsatz nach 'Köpfen' beträgt 11,11%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1"/>
      <c r="B491" s="1518"/>
      <c r="C491" s="1518"/>
      <c r="D491" s="1518"/>
      <c r="E491" s="1518"/>
      <c r="F491" s="1518"/>
      <c r="G491" s="1518"/>
      <c r="H491" s="1518"/>
      <c r="I491" s="1518"/>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2"/>
      <c r="B505" s="1573"/>
      <c r="C505" s="1573"/>
      <c r="D505" s="1573"/>
      <c r="E505" s="1573"/>
      <c r="F505" s="1573"/>
      <c r="G505" s="1573"/>
      <c r="H505" s="1573"/>
      <c r="I505" s="1573"/>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7"/>
      <c r="B508" s="1578"/>
      <c r="C508" s="1578"/>
      <c r="D508" s="1578"/>
      <c r="E508" s="1578"/>
      <c r="F508" s="1578"/>
      <c r="G508" s="1578"/>
      <c r="H508" s="1578"/>
      <c r="I508" s="1578"/>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11,11% bzw kalkulatorisch einen monetären Aufschlag in Höhe von 11,57%.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8"/>
      <c r="B514" s="1578"/>
      <c r="C514" s="1578"/>
      <c r="D514" s="1578"/>
      <c r="E514" s="1578"/>
      <c r="F514" s="1578"/>
      <c r="G514" s="1578"/>
      <c r="H514" s="1578"/>
      <c r="I514" s="1578"/>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8"/>
      <c r="B518" s="1578"/>
      <c r="C518" s="1578"/>
      <c r="D518" s="1578"/>
      <c r="E518" s="1578"/>
      <c r="F518" s="1578"/>
      <c r="G518" s="1578"/>
      <c r="H518" s="1578"/>
      <c r="I518" s="1578"/>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53" t="str">
        <f ca="1">IFERROR("Die Arbeitszeit ist mit "&amp;' K3 PP'!P19&amp;" Std pro Woche angesetzt (kollektivvertragliche Arbeitszeit gem Stammdaten/Quelldatei ist "&amp;' K3 PP'!P9&amp;" Std/Wo). ",$K$6)</f>
        <v xml:space="preserve">Die Arbeitszeit ist mit 41 Std pro Woche angesetzt (kollektivvertragliche Arbeitszeit gem Stammdaten/Quelldatei ist 39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39</v>
      </c>
      <c r="B534" s="1638">
        <v>0</v>
      </c>
      <c r="C534" s="1639">
        <f ca="1">C535*A535/A534</f>
        <v>2.94</v>
      </c>
      <c r="D534" s="1640">
        <f ca="1">D535-B535-C535+B534+C534</f>
        <v>25.58</v>
      </c>
      <c r="E534" s="1641">
        <f ca="1">E535-I540+G540</f>
        <v>1.1445000000000001</v>
      </c>
      <c r="F534" s="1642">
        <f ca="1">D534*(1+E534)</f>
        <v>54.86</v>
      </c>
      <c r="G534" s="1642">
        <f ca="1">G535*A535/A534</f>
        <v>1.26</v>
      </c>
      <c r="H534" s="1642">
        <f ca="1">F534+G534</f>
        <v>56.12</v>
      </c>
      <c r="I534" s="1643">
        <f ca="1">H534-H535</f>
        <v>2.85</v>
      </c>
    </row>
    <row r="535" spans="1:9" hidden="1" x14ac:dyDescent="0.25">
      <c r="A535" s="1644">
        <f ca="1">' K3 PP'!P19</f>
        <v>41</v>
      </c>
      <c r="B535" s="1645">
        <f ca="1">G542</f>
        <v>0.56000000000000005</v>
      </c>
      <c r="C535" s="1646">
        <f ca="1">' K3 PP'!O27</f>
        <v>2.8</v>
      </c>
      <c r="D535" s="1645">
        <f ca="1">' K3 PP'!O28</f>
        <v>26</v>
      </c>
      <c r="E535" s="1647">
        <f ca="1">SUM(' K3 PP'!K30:L32)</f>
        <v>1.0026999999999999</v>
      </c>
      <c r="F535" s="1648">
        <f ca="1">D535*(1+E535)</f>
        <v>52.07</v>
      </c>
      <c r="G535" s="1645">
        <f ca="1">' K3 PP'!O29</f>
        <v>1.2</v>
      </c>
      <c r="H535" s="1648">
        <f ca="1">F535+G535</f>
        <v>53.27</v>
      </c>
      <c r="I535" s="1649"/>
    </row>
    <row r="536" spans="1:9" hidden="1" x14ac:dyDescent="0.25">
      <c r="A536" s="1650" t="s">
        <v>476</v>
      </c>
      <c r="B536" s="1651">
        <f ca="1">KALKULATION!D256</f>
        <v>0.22900000000000001</v>
      </c>
      <c r="C536" s="1651">
        <f ca="1">KALKULATION!E256</f>
        <v>0.13800000000000001</v>
      </c>
      <c r="D536" s="1651">
        <f ca="1">KALKULATION!F256</f>
        <v>0</v>
      </c>
      <c r="E536" s="1652">
        <f ca="1">KALKULATION!G256</f>
        <v>0.501</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0.98380000000000001</v>
      </c>
      <c r="E539" s="1657">
        <f ca="1">D539</f>
        <v>0.98380000000000001</v>
      </c>
      <c r="F539" s="1653">
        <f ca="1">KALKULATION!H251</f>
        <v>6.48</v>
      </c>
      <c r="G539" s="1653">
        <f ca="1">F539-G542</f>
        <v>5.92</v>
      </c>
      <c r="H539" s="1653">
        <f ca="1">KALKULATION!S235</f>
        <v>26</v>
      </c>
      <c r="I539" s="1653">
        <f ca="1">H539-B535-C535+C534</f>
        <v>25.58</v>
      </c>
    </row>
    <row r="540" spans="1:9" hidden="1" x14ac:dyDescent="0.25">
      <c r="A540" s="1662" t="s">
        <v>477</v>
      </c>
      <c r="B540" s="1663">
        <f ca="1">B536*B537</f>
        <v>0.22900000000000001</v>
      </c>
      <c r="C540" s="1663">
        <f ca="1">C536*C537*C538</f>
        <v>0.13800000000000001</v>
      </c>
      <c r="D540" s="1663">
        <f ca="1">D536*D537*D539</f>
        <v>0</v>
      </c>
      <c r="E540" s="1664">
        <f ca="1">E536*E537*E538*E539</f>
        <v>0.4929</v>
      </c>
      <c r="F540" s="883" t="s">
        <v>912</v>
      </c>
      <c r="G540" s="1665">
        <f ca="1">SUM(B540:E540)</f>
        <v>0.8599</v>
      </c>
      <c r="H540" s="1666" t="s">
        <v>478</v>
      </c>
      <c r="I540" s="1664">
        <f ca="1">KALKULATION!H260</f>
        <v>0.71809999999999996</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2</v>
      </c>
      <c r="B542" s="1668"/>
      <c r="C542" s="1669" t="s">
        <v>295</v>
      </c>
      <c r="D542" s="1669"/>
      <c r="E542" s="1670">
        <f ca="1">KALKULATION!H95/KALKULATION!C95</f>
        <v>2.8199999999999999E-2</v>
      </c>
      <c r="F542" s="1642">
        <f ca="1">' K3 PP'!O23</f>
        <v>20</v>
      </c>
      <c r="G542" s="1671">
        <f ca="1">E542*F542</f>
        <v>0.56000000000000005</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20</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0.155</v>
      </c>
      <c r="C545" s="1682">
        <f>AVERAGE(KALKULATION!G90:G94)-1</f>
        <v>0</v>
      </c>
      <c r="D545" s="1683"/>
      <c r="E545" s="1684"/>
      <c r="F545" s="1684"/>
      <c r="G545" s="1684"/>
      <c r="H545" s="1684"/>
      <c r="I545" s="1683"/>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2,00 Std. Diese ergeben sich aus [Überstunde 50% für 2,00 Std]. Die Hinzurechnung für Mehrarbeit/Überstunden beträgt 2,82% bzw 0,56€. Die Berechnung erfolgt auf Basis des jeweiligen Überstundenzuschlags und des KV-Entgelts  zuzüglich 15,50%, die sich aus Entgeltüberzahlungen und zuzüglich  0,00%,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2,00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2,00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2,00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4</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4</v>
      </c>
      <c r="E570" s="1692">
        <f>MAX(B565:B569)</f>
        <v>4</v>
      </c>
      <c r="F570" s="1573"/>
      <c r="G570" s="1573"/>
      <c r="H570" s="1573"/>
      <c r="I570" s="1573"/>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3"/>
      <c r="G599" s="1573"/>
      <c r="H599" s="1573"/>
      <c r="I599" s="1573"/>
    </row>
    <row r="600" spans="1:9" hidden="1" x14ac:dyDescent="0.25">
      <c r="F600" s="1573"/>
      <c r="G600" s="1573"/>
      <c r="H600" s="1573"/>
      <c r="I600" s="1573"/>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2,90% bzw ein Betrag für Arbeitszeitzuschläge in Hv 0,58€/Std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3"/>
      <c r="B608" s="1573"/>
      <c r="C608" s="1573"/>
      <c r="D608" s="1573"/>
      <c r="E608" s="1573"/>
      <c r="F608" s="1573"/>
      <c r="G608" s="1573"/>
      <c r="H608" s="1573"/>
      <c r="I608" s="1573"/>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c>
      <c r="B631" s="1706"/>
      <c r="C631" s="1706"/>
      <c r="D631" s="1706"/>
      <c r="E631" s="1706"/>
      <c r="F631" s="1706"/>
      <c r="G631" s="1706"/>
      <c r="H631" s="1706"/>
      <c r="I631" s="1707"/>
    </row>
    <row r="632" spans="1:9" hidden="1" x14ac:dyDescent="0.25">
      <c r="A632" s="1705">
        <f>LEN(A631)</f>
        <v>0</v>
      </c>
      <c r="B632" s="1706"/>
      <c r="C632" s="1706"/>
      <c r="D632" s="1706"/>
      <c r="E632" s="1706"/>
      <c r="F632" s="1706"/>
      <c r="G632" s="1706"/>
      <c r="H632" s="1706"/>
      <c r="I632" s="1707"/>
    </row>
    <row r="633" spans="1:9" hidden="1" x14ac:dyDescent="0.25">
      <c r="A633" s="1711" t="str">
        <f>IF(A632&gt;0,MID(A631,1,A632-2),"")</f>
        <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0,90%.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73" t="str">
        <f ca="1">IFERROR(IF(KALKULATION!H130&lt;&gt;0,"
Als Basis für Zulagen in % ist gem Auswahl in D1.a1 ["&amp;KALKULATION!F131&amp;"] herangezogen. ",""),$K$6)</f>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3"/>
      <c r="B647" s="1573"/>
      <c r="C647" s="1573"/>
      <c r="D647" s="1573"/>
      <c r="E647" s="1573"/>
      <c r="F647" s="1573"/>
      <c r="G647" s="1573"/>
      <c r="H647" s="1573"/>
      <c r="I647" s="1573"/>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0,90%.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1,00% in Ansatz gebracht. Dieser Ansatz entspricht jenem des produktiven Personals. Das kalkulatorische Rechenergebnis zur Berücksichtigung der Zulagen für das unproduktive Personal beträgt 0,10%.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3"/>
      <c r="B674" s="1573"/>
      <c r="C674" s="1573"/>
      <c r="D674" s="1573"/>
      <c r="E674" s="1573"/>
      <c r="F674" s="1573"/>
      <c r="G674" s="1573"/>
      <c r="H674" s="1573"/>
      <c r="I674" s="1573"/>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0,10%.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3"/>
      <c r="B684" s="1573"/>
      <c r="C684" s="1573"/>
      <c r="D684" s="1573"/>
      <c r="E684" s="1573"/>
      <c r="F684" s="1573"/>
      <c r="G684" s="1573"/>
      <c r="H684" s="1573"/>
      <c r="I684" s="1573"/>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0,20€ (K3 Zeile 7) in die Kalkulation eingeflossen (1,00%).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0.2</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26</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59.64</v>
      </c>
      <c r="E693" s="1718">
        <f ca="1">D693/D692</f>
        <v>2.29</v>
      </c>
      <c r="F693" s="1679" t="s">
        <v>471</v>
      </c>
      <c r="G693" s="1717">
        <f ca="1">C691*E693</f>
        <v>0.46</v>
      </c>
      <c r="H693" s="1679"/>
      <c r="I693" s="1680"/>
      <c r="K693" s="2113"/>
      <c r="L693" s="2113"/>
      <c r="M693" s="2113"/>
      <c r="N693" s="2113"/>
      <c r="O693" s="2113"/>
      <c r="P693" s="2113"/>
      <c r="Q693" s="2113"/>
      <c r="R693" s="2113"/>
    </row>
    <row r="694" spans="1:18" hidden="1" x14ac:dyDescent="0.25">
      <c r="A694" s="1719"/>
      <c r="B694" s="1720"/>
      <c r="C694" s="1720"/>
      <c r="D694" s="1721">
        <f ca="1">' K3 PP'!O44</f>
        <v>76.94</v>
      </c>
      <c r="E694" s="1722">
        <f ca="1">D694/D692</f>
        <v>2.96</v>
      </c>
      <c r="F694" s="1720" t="s">
        <v>472</v>
      </c>
      <c r="G694" s="1721">
        <f ca="1">C691*E694</f>
        <v>0.59</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2.8</v>
      </c>
      <c r="C696" s="1728">
        <f ca="1">B696/F696</f>
        <v>0.7</v>
      </c>
      <c r="D696" s="1727">
        <f ca="1">H696-KALKULATION!E177-KALKULATION!G214/KALKULATION!C95</f>
        <v>1.2</v>
      </c>
      <c r="E696" s="1729">
        <f ca="1">D696/F696</f>
        <v>0.3</v>
      </c>
      <c r="F696" s="1730">
        <f ca="1">B696+D696</f>
        <v>4</v>
      </c>
      <c r="G696" s="1731"/>
      <c r="H696" s="1732">
        <f ca="1">' K3 PP'!O29</f>
        <v>1.2</v>
      </c>
      <c r="I696" s="1733"/>
    </row>
    <row r="697" spans="1:18" hidden="1" x14ac:dyDescent="0.25">
      <c r="A697" s="1734" t="s">
        <v>294</v>
      </c>
      <c r="B697" s="1735">
        <f ca="1">Stammdaten!B99</f>
        <v>30</v>
      </c>
      <c r="C697" s="1736">
        <f ca="1">' K3 PP'!P19</f>
        <v>41</v>
      </c>
      <c r="D697" s="1737">
        <v>5</v>
      </c>
      <c r="E697" s="1738">
        <f ca="1">B697/(C697/5)</f>
        <v>3.66</v>
      </c>
      <c r="F697" s="1737">
        <v>4</v>
      </c>
      <c r="G697" s="1738">
        <f ca="1">B697/(C697/F697)</f>
        <v>2.93</v>
      </c>
      <c r="H697" s="1737"/>
      <c r="I697" s="1739"/>
    </row>
    <row r="698" spans="1:18" hidden="1" x14ac:dyDescent="0.25">
      <c r="A698" s="1740" t="s">
        <v>473</v>
      </c>
      <c r="B698" s="1741"/>
      <c r="C698" s="1742">
        <f ca="1">KALKULATION!G189/ROUNDDOWN(AVERAGE(KALKULATION!F184:F188),0)</f>
        <v>8.3000000000000007</v>
      </c>
      <c r="D698" s="1741"/>
      <c r="E698" s="1743"/>
      <c r="F698" s="1744"/>
      <c r="G698" s="1745"/>
      <c r="H698" s="1746"/>
      <c r="I698" s="1747"/>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2,80€/Std und für nicht abgabepflichtige (abgabefreie) Entschädigungen sind Kosten in Hv 1,20€/Std in Ansatz gebracht (K3 Zeile 9 bzw 11). </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8"/>
      <c r="B707" s="1518"/>
      <c r="C707" s="1518"/>
      <c r="D707" s="1518"/>
      <c r="E707" s="1518"/>
      <c r="F707" s="1518"/>
      <c r="G707" s="1518"/>
      <c r="H707" s="1518"/>
      <c r="I707" s="1623"/>
    </row>
    <row r="708" spans="1:9" hidden="1" x14ac:dyDescent="0.25">
      <c r="A708" s="3161"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0</v>
      </c>
      <c r="F727" s="1751"/>
      <c r="G727" s="1751"/>
      <c r="H727" s="1751"/>
      <c r="I727" s="1753"/>
    </row>
    <row r="728" spans="1:9" ht="15.75" hidden="1" customHeight="1" x14ac:dyDescent="0.25">
      <c r="A728" s="3095" t="str">
        <f>IFERROR(IF(A726&lt;&gt;"","
-- An Entschädigungen mit ANSPRUCH PRO STUNDE ist/sind ["&amp;A726&amp;"] berücksichtigt (E1). Daraus ergeben sich Kosten pro Woche in Hv "&amp;TEXT(E727,"0,00€")&amp;" (abgabepflichtig) bzw "&amp;TEXT(D727,"0,00€")&amp;" (abgabefrei). ",""),$K$6)</f>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Taggeld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Taggeld (100%), </v>
      </c>
      <c r="B738" s="1760"/>
      <c r="C738" s="1760"/>
      <c r="D738" s="1760"/>
      <c r="E738" s="1760"/>
      <c r="F738" s="1760"/>
      <c r="G738" s="1760"/>
      <c r="H738" s="1760"/>
      <c r="I738" s="1761"/>
    </row>
    <row r="739" spans="1:9" hidden="1" x14ac:dyDescent="0.25">
      <c r="A739" s="1759">
        <f>LEN(A738)</f>
        <v>16</v>
      </c>
      <c r="B739" s="1760"/>
      <c r="C739" s="1760"/>
      <c r="D739" s="1760"/>
      <c r="E739" s="1760"/>
      <c r="F739" s="1760"/>
      <c r="G739" s="1760"/>
      <c r="H739" s="1760"/>
      <c r="I739" s="1761"/>
    </row>
    <row r="740" spans="1:9" hidden="1" x14ac:dyDescent="0.25">
      <c r="A740" s="1762" t="str">
        <f>IF(A739&gt;0,MID(A738,1,A739-2),"")</f>
        <v>Taggeld (100%)</v>
      </c>
      <c r="B740" s="1760"/>
      <c r="C740" s="1760"/>
      <c r="D740" s="1760"/>
      <c r="E740" s="1760"/>
      <c r="F740" s="1760"/>
      <c r="G740" s="1760"/>
      <c r="H740" s="1760"/>
      <c r="I740" s="1761"/>
    </row>
    <row r="741" spans="1:9" hidden="1" x14ac:dyDescent="0.25">
      <c r="A741" s="1759" t="s">
        <v>369</v>
      </c>
      <c r="B741" s="1760"/>
      <c r="C741" s="1763"/>
      <c r="D741" s="1764">
        <f ca="1">KALKULATION!G189</f>
        <v>41.5</v>
      </c>
      <c r="E741" s="1764">
        <f ca="1">KALKULATION!H189</f>
        <v>0</v>
      </c>
      <c r="F741" s="1760"/>
      <c r="G741" s="1760"/>
      <c r="H741" s="1760"/>
      <c r="I741" s="1761"/>
    </row>
    <row r="742" spans="1:9" hidden="1" x14ac:dyDescent="0.25">
      <c r="A742" s="3095"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[Taggeld (100%)] berücksichtigt (E2). Daraus ergeben sich Kosten pro Woche in Hv 0,00€ (abgabepflichtig) bzw 41,50€ (abgabefrei).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xml:space="preserve">1,00 Verrechnungsstunde(n) pro Tag (100%)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103</v>
      </c>
      <c r="F763" s="1781" t="str">
        <f>KALKULATION!G207</f>
        <v>abgabepflichtig</v>
      </c>
      <c r="G763" s="1760"/>
      <c r="H763" s="1760"/>
      <c r="I763" s="1761"/>
    </row>
    <row r="764" spans="1:9" hidden="1" x14ac:dyDescent="0.25">
      <c r="A764" s="3095"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(100%) ] berücksichtigt (E4). Daraus ergeben sich Kosten pro Woche in Hv 103,00€ (abgabepflichtig).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TAG ist/sind [Taggeld (100%)] berücksichtigt (E2). Daraus ergeben sich Kosten pro Woche in Hv 0,00€ (abgabepflichtig) bzw 41,50€ (abgabefrei). 
-- An zusätzlichen VERRECHNUNGSSTUNDEN ist/sind [1,00 Verrechnungsstunde(n) pro Tag (100%) ] berücksichtigt (E4). Daraus ergeben sich Kosten pro Woche in Hv 103,00€ (abgabepflichtig).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0"/>
      <c r="B789" s="1510"/>
      <c r="C789" s="1510"/>
      <c r="D789" s="1510"/>
      <c r="E789" s="1510"/>
      <c r="F789" s="1510"/>
      <c r="G789" s="1510"/>
      <c r="H789" s="1510"/>
      <c r="I789" s="1788"/>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11,11%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3"/>
      <c r="B798" s="1573"/>
      <c r="C798" s="1573"/>
      <c r="D798" s="1573"/>
      <c r="E798" s="1573"/>
      <c r="F798" s="1573"/>
      <c r="G798" s="1573"/>
      <c r="H798" s="1573"/>
      <c r="I798" s="1619"/>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2.8</v>
      </c>
      <c r="F804" s="1714"/>
      <c r="G804" s="1714" t="s">
        <v>475</v>
      </c>
      <c r="H804" s="1714">
        <f ca="1">' K3 PP'!O29</f>
        <v>1.2</v>
      </c>
      <c r="I804" s="1715"/>
    </row>
    <row r="805" spans="1:9" hidden="1" x14ac:dyDescent="0.25">
      <c r="A805" s="1716"/>
      <c r="B805" s="1717">
        <f ca="1">' K3 PP'!$O$28</f>
        <v>26</v>
      </c>
      <c r="C805" s="1679"/>
      <c r="D805" s="1679"/>
      <c r="E805" s="1679"/>
      <c r="H805" s="1679"/>
      <c r="I805" s="1680"/>
    </row>
    <row r="806" spans="1:9" hidden="1" x14ac:dyDescent="0.25">
      <c r="A806" s="1716"/>
      <c r="B806" s="1717">
        <f ca="1">' K3 PP'!$O$39</f>
        <v>59.64</v>
      </c>
      <c r="C806" s="1718">
        <f ca="1">B806/B805</f>
        <v>2.29</v>
      </c>
      <c r="D806" s="1679" t="s">
        <v>471</v>
      </c>
      <c r="E806" s="1717">
        <f ca="1">E804*C806</f>
        <v>6.41</v>
      </c>
      <c r="H806" s="1679"/>
      <c r="I806" s="1680"/>
    </row>
    <row r="807" spans="1:9" hidden="1" x14ac:dyDescent="0.25">
      <c r="A807" s="1719"/>
      <c r="B807" s="1721">
        <f ca="1">' K3 PP'!$O$44</f>
        <v>76.94</v>
      </c>
      <c r="C807" s="1722">
        <f ca="1">B807/B805</f>
        <v>2.96</v>
      </c>
      <c r="D807" s="1720" t="s">
        <v>472</v>
      </c>
      <c r="E807" s="1721">
        <f ca="1">E804*C807</f>
        <v>8.2899999999999991</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28,00%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2"/>
      <c r="B816" s="1793"/>
      <c r="C816" s="1794" t="s">
        <v>222</v>
      </c>
      <c r="D816" s="1795" t="s">
        <v>986</v>
      </c>
      <c r="E816" s="1794" t="s">
        <v>353</v>
      </c>
      <c r="F816" s="1794" t="s">
        <v>987</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5"/>
      <c r="B828" s="1616"/>
      <c r="C828" s="1616"/>
      <c r="D828" s="1616"/>
      <c r="E828" s="1616"/>
      <c r="F828" s="1616"/>
      <c r="G828" s="1616"/>
      <c r="H828" s="1616"/>
      <c r="I828" s="1806"/>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72,00% angesetzt. Der Wert ergibt sich aus dem Blatt STAMMDATEN; dort ist er mit 86,80%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8"/>
      <c r="C840" s="1518"/>
      <c r="D840" s="1518"/>
      <c r="E840" s="1518"/>
      <c r="F840" s="1518"/>
      <c r="G840" s="1518"/>
      <c r="H840" s="1518"/>
      <c r="I840" s="1518"/>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Folgende Ansätze/Annahmen sind für die Anpassung von 86,80% auf 72,00%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xml:space="preserve">
-- Der UPNK-Wert der Stammdaten ist wegen der angesetzten Mehrarbeit verändert (F2.a).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8"/>
      <c r="B853" s="1808"/>
      <c r="C853" s="1808"/>
      <c r="D853" s="1808"/>
      <c r="E853" s="1808"/>
      <c r="F853" s="1808"/>
      <c r="G853" s="1808"/>
      <c r="H853" s="1808"/>
      <c r="I853" s="1808"/>
    </row>
    <row r="854" spans="1:9" hidden="1" x14ac:dyDescent="0.25">
      <c r="A854" s="3207" t="str">
        <f ca="1">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xml:space="preserve">
-- Der UPNK-Wert der Stammdaten ist wegen dem kalkulierten Mehrentgelt verändert (F2.b2). Die Veränderung wegen des Mehrentgelts basiert auf der Differenz zw abgabepflichtigen Personalkosten zum KV-Entgelt (F2.b2).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der Differenz zw abgabepflichtigen Personalkosten zum KV-Entgelt (F2.b2).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1"/>
      <c r="B861" s="1621"/>
      <c r="C861" s="1621"/>
      <c r="D861" s="1621"/>
      <c r="E861" s="1621"/>
      <c r="F861" s="1621"/>
      <c r="G861" s="1621"/>
      <c r="H861" s="1621"/>
      <c r="I861" s="1621"/>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8"/>
      <c r="C868" s="1628"/>
      <c r="D868" s="1628"/>
      <c r="E868" s="1628"/>
      <c r="F868" s="1628"/>
      <c r="G868" s="1628"/>
      <c r="H868" s="1628"/>
      <c r="I868" s="1791"/>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0,27%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2"/>
      <c r="B872" s="1573"/>
      <c r="C872" s="1573"/>
      <c r="D872" s="1573"/>
      <c r="E872" s="1573"/>
      <c r="F872" s="1573"/>
      <c r="G872" s="1573"/>
      <c r="H872" s="1573"/>
      <c r="I872" s="1619"/>
    </row>
    <row r="873" spans="1:9" hidden="1" x14ac:dyDescent="0.25">
      <c r="A873" s="1620"/>
      <c r="B873" s="1809">
        <f ca="1">KALKULATION!H236</f>
        <v>0.28000000000000003</v>
      </c>
      <c r="C873" s="1809">
        <f ca="1">KALKULATION!H265</f>
        <v>0.72</v>
      </c>
      <c r="D873" s="1809">
        <f ca="1">KALKULATION!H277</f>
        <v>2.7000000000000001E-3</v>
      </c>
      <c r="E873" s="1809">
        <f ca="1">SUM(B873:D873)</f>
        <v>1.0026999999999999</v>
      </c>
      <c r="F873" s="1810">
        <f ca="1">SUM(' K3 PP'!O30:P32)</f>
        <v>26.07</v>
      </c>
      <c r="G873" s="1621"/>
      <c r="H873" s="1621"/>
      <c r="I873" s="1622"/>
    </row>
    <row r="874" spans="1:9" hidden="1" x14ac:dyDescent="0.25">
      <c r="A874" s="1620"/>
      <c r="B874" s="1811">
        <f ca="1">B873/$E$873</f>
        <v>0.2792</v>
      </c>
      <c r="C874" s="1811">
        <f t="shared" ref="C874:D874" ca="1" si="9">C873/$E$873</f>
        <v>0.71809999999999996</v>
      </c>
      <c r="D874" s="1811">
        <f t="shared" ca="1" si="9"/>
        <v>2.7000000000000001E-3</v>
      </c>
      <c r="E874" s="1621"/>
      <c r="F874" s="1621"/>
      <c r="G874" s="1621"/>
      <c r="H874" s="1621"/>
      <c r="I874" s="1622"/>
    </row>
    <row r="875" spans="1:9" hidden="1" x14ac:dyDescent="0.25">
      <c r="A875" s="1620"/>
      <c r="B875" s="1812">
        <v>1</v>
      </c>
      <c r="C875" s="1812">
        <f ca="1">C873/B873</f>
        <v>2.57</v>
      </c>
      <c r="D875" s="1621"/>
      <c r="E875" s="1621"/>
      <c r="F875" s="1621"/>
      <c r="G875" s="1621"/>
      <c r="H875" s="1621"/>
      <c r="I875" s="1622"/>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100,27% bzw 26,07€. Das Verhältnis von DPNK zu UPNK beträgt 1 zu 2,6.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6,64€/Std in Ansatz gebracht. </v>
      </c>
      <c r="B883" s="1820"/>
      <c r="C883" s="1820"/>
      <c r="D883" s="1821"/>
      <c r="E883" s="1821"/>
      <c r="F883" s="1821"/>
      <c r="G883" s="1821"/>
      <c r="H883" s="1821"/>
      <c r="I883" s="1822"/>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3,18€ auf Werte die als % eingetragen sind, und daher variabel zu den Personalkosten sind, und 3,46€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6,64€/Std in Ansatz gebracht. Es entfallen 3,18€ auf Werte die als % eingetragen sind, und daher variabel zu den Personalkosten sind, und 3,46€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1"/>
      <c r="B897" s="1518"/>
      <c r="C897" s="1518"/>
      <c r="D897" s="1518"/>
      <c r="E897" s="1518"/>
      <c r="F897" s="1518"/>
      <c r="G897" s="1518"/>
      <c r="H897" s="1518"/>
      <c r="I897" s="1623"/>
    </row>
    <row r="898" spans="1:9" ht="17.850000000000001" hidden="1" customHeight="1" x14ac:dyDescent="0.25">
      <c r="A898" s="3055"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55"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3"/>
      <c r="B919" s="1573"/>
      <c r="C919" s="1573"/>
      <c r="D919" s="1573"/>
      <c r="E919" s="1573"/>
      <c r="F919" s="1573"/>
      <c r="G919" s="1573"/>
      <c r="H919" s="1573"/>
      <c r="I919" s="1573"/>
    </row>
    <row r="920" spans="1:9" hidden="1" x14ac:dyDescent="0.25">
      <c r="A920" s="1573" t="str">
        <f>IF(KALKULATION!A336="","",KALKULATION!A336)</f>
        <v/>
      </c>
      <c r="B920" s="1573">
        <f>IF(KALKULATION!F336="",0,KALKULATION!F336)</f>
        <v>0</v>
      </c>
      <c r="C920" s="1573">
        <f>IF(KALKULATION!G336="",0,KALKULATION!G336)</f>
        <v>0</v>
      </c>
      <c r="D920" s="1573" t="str">
        <f>IF(AND(B920&lt;&gt;0,C920&lt;&gt;0),TEXT(B920,"0,00€")&amp;" und "&amp;TEXT(C920,"0,00%"),IF(B920&lt;&gt;0,TEXT(B920,"0,00€"),IF(C920&lt;&gt;0,TEXT(C920,"0,00%"),"")))</f>
        <v/>
      </c>
      <c r="E920" s="1573"/>
      <c r="F920" s="1573">
        <f>IF(A920="",0,1)</f>
        <v>0</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0</v>
      </c>
      <c r="G923" s="1827" t="str">
        <f>IF(F923=1,"ist "&amp;TEXT(F923,"0")&amp;" Umlage","sind "&amp;TEXT(F923,"0")&amp;" Umlagen")</f>
        <v>sind 0 Umlagen</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IF(A920&amp;D920="","",A920&amp;" ("&amp;D920&amp;"), ")</f>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A926&amp;A927&amp;A928</f>
        <v/>
      </c>
      <c r="B929" s="1573"/>
      <c r="C929" s="1573"/>
      <c r="D929" s="1573"/>
      <c r="E929" s="1573"/>
      <c r="F929" s="1573"/>
      <c r="G929" s="1573"/>
      <c r="H929" s="1573"/>
      <c r="I929" s="1619"/>
    </row>
    <row r="930" spans="1:9" hidden="1" x14ac:dyDescent="0.25">
      <c r="A930" s="1705">
        <f>LEN(A929)</f>
        <v>0</v>
      </c>
      <c r="B930" s="1573"/>
      <c r="C930" s="1573"/>
      <c r="D930" s="1573"/>
      <c r="E930" s="1573"/>
      <c r="F930" s="1573"/>
      <c r="G930" s="1573"/>
      <c r="H930" s="1573"/>
      <c r="I930" s="1619"/>
    </row>
    <row r="931" spans="1:9" hidden="1" x14ac:dyDescent="0.25">
      <c r="A931" s="1711" t="str">
        <f>IF(A930&gt;0,MID(A929,1,A930-2),"")</f>
        <v/>
      </c>
      <c r="B931" s="1247"/>
      <c r="C931" s="1247"/>
      <c r="D931" s="1247"/>
      <c r="E931" s="1247"/>
      <c r="F931" s="1247"/>
      <c r="G931" s="1247"/>
      <c r="H931" s="1247"/>
      <c r="I931" s="1248"/>
    </row>
    <row r="932" spans="1:9" hidden="1" x14ac:dyDescent="0.25">
      <c r="A932" s="3055" t="str">
        <f>IFERROR(IF(SUM(KALKULATION!F339:G339)&lt;&gt;0,"
Die Umlagen sind wie folgt bezeichnet (und wertmäßig angegeben): ["&amp;A931&amp;"]. ",""),$K$6)</f>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2"/>
      <c r="B935" s="1518"/>
      <c r="C935" s="1518"/>
      <c r="D935" s="1518"/>
      <c r="E935" s="1518"/>
      <c r="F935" s="1518"/>
      <c r="G935" s="1518"/>
      <c r="H935" s="1518"/>
      <c r="I935" s="1623"/>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2"/>
      <c r="B938" s="1518"/>
      <c r="C938" s="1518"/>
      <c r="D938" s="1518"/>
      <c r="E938" s="1518"/>
      <c r="F938" s="1518"/>
      <c r="G938" s="1518"/>
      <c r="H938" s="1518"/>
      <c r="I938" s="1623"/>
    </row>
    <row r="939" spans="1:9" hidden="1" x14ac:dyDescent="0.25">
      <c r="A939" s="3092" t="str">
        <f ca="1">IFERROR(IF(SUM(KALKULATION!F339,KALKULATION!H339)&gt;0,"
"&amp;K5,""),$K$6)</f>
        <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17,30€.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4"/>
      <c r="B949" s="1814"/>
      <c r="C949" s="1814"/>
      <c r="D949" s="1814"/>
      <c r="E949" s="1814"/>
      <c r="F949" s="1814"/>
      <c r="G949" s="1814"/>
      <c r="H949" s="1814"/>
      <c r="I949" s="1815"/>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7"/>
      <c r="B954" s="1628"/>
      <c r="C954" s="1628"/>
      <c r="D954" s="1628"/>
      <c r="E954" s="1628"/>
      <c r="F954" s="1628"/>
      <c r="G954" s="1628"/>
      <c r="H954" s="1628"/>
      <c r="I954" s="1791"/>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59.64</v>
      </c>
      <c r="C962" s="883" t="str">
        <f>' K3 PP'!M39</f>
        <v/>
      </c>
      <c r="D962" s="883" t="e">
        <f ca="1">C962+B962</f>
        <v>#VALUE!</v>
      </c>
      <c r="E962" s="883" t="str">
        <f>IF(KALKULATION!F354="Kosten","   ← gerundet","")</f>
        <v/>
      </c>
      <c r="F962" s="883" t="str">
        <f ca="1">IF(' K3 PP'!M40="","","; in K3 vermerkt")</f>
        <v/>
      </c>
    </row>
    <row r="963" spans="1:13" hidden="1" x14ac:dyDescent="0.25">
      <c r="A963" s="883" t="s">
        <v>418</v>
      </c>
      <c r="B963" s="883">
        <f ca="1">' K3 PP'!O43</f>
        <v>17.3</v>
      </c>
      <c r="C963" s="883" t="str">
        <f ca="1">' K3 PP'!M43</f>
        <v/>
      </c>
      <c r="D963" s="883" t="e">
        <f ca="1">C963+B963</f>
        <v>#VALUE!</v>
      </c>
    </row>
    <row r="964" spans="1:13" hidden="1" x14ac:dyDescent="0.25">
      <c r="A964" s="883" t="s">
        <v>417</v>
      </c>
      <c r="B964" s="883">
        <f ca="1">SUM(B962:B963)</f>
        <v>76.94</v>
      </c>
      <c r="C964" s="883">
        <f t="shared" ref="C964" ca="1" si="13">SUM(C962:C963)</f>
        <v>0</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t="str">
        <f ca="1">KALKULATION!G346</f>
        <v/>
      </c>
      <c r="D965" s="883" t="e">
        <f ca="1">D963/D962</f>
        <v>#VALUE!</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e">
        <f ca="1">"Kosten          "&amp;TEXT(B962,"000,00€")&amp;"                               "&amp;TEXT(C962,"00,00€")&amp;"                              "&amp;TEXT(D962,"000,00€")&amp;E962&amp;F962</f>
        <v>#VALUE!</v>
      </c>
    </row>
    <row r="971" spans="1:13" hidden="1" x14ac:dyDescent="0.25">
      <c r="A971" s="883" t="e">
        <f ca="1">"GZ                 "&amp;TEXT(B963,"000,00€")&amp;" ("&amp;TEXT(B965,"00,000%")&amp;")           "&amp;TEXT(C963,"00,00€")&amp;" ("&amp;TEXT(C965,"00,000%")&amp;")           "&amp;TEXT(D963,"000,00€")</f>
        <v>#VALUE!</v>
      </c>
    </row>
    <row r="972" spans="1:13" hidden="1" x14ac:dyDescent="0.25">
      <c r="A972" s="883" t="str">
        <f ca="1">"Preis            "&amp;TEXT(B964,"0,00€")&amp;"                               "&amp;TEXT(C964,"0,00€")&amp;"                               "&amp;TEXT(D964,"0,00€")&amp;E964&amp;F964</f>
        <v xml:space="preserve">Preis            76,94€                               0,00€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xml:space="preserve">
Die K3-Blätter sind gegenüber dem Muster in der ÖNORM B 2061 erweitert dargestellt (J2).</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8"/>
      <c r="B979" s="1578"/>
      <c r="C979" s="1578"/>
      <c r="D979" s="1578"/>
      <c r="E979" s="1578"/>
      <c r="F979" s="1578"/>
      <c r="G979" s="1578"/>
      <c r="H979" s="1578"/>
      <c r="I979" s="1578"/>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3"/>
      <c r="B985" s="1573"/>
      <c r="C985" s="1573"/>
      <c r="D985" s="1573"/>
      <c r="E985" s="1573"/>
      <c r="F985" s="1573"/>
      <c r="G985" s="1573"/>
      <c r="H985" s="1573"/>
      <c r="I985" s="1573"/>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76,94 €/Std.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59,64 €/Std.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2" t="str">
        <f>' K3 PP'!B40</f>
        <v>Mittellohnkosten</v>
      </c>
    </row>
    <row r="1001" spans="1:11" hidden="1" x14ac:dyDescent="0.25">
      <c r="A1001" s="3054"/>
      <c r="B1001" s="3054"/>
      <c r="C1001" s="3054"/>
      <c r="D1001" s="3054"/>
      <c r="E1001" s="3054"/>
      <c r="F1001" s="3054"/>
      <c r="G1001" s="3054"/>
      <c r="H1001" s="3054"/>
      <c r="I1001" s="3054"/>
      <c r="K1001" s="1272" t="str">
        <f ca="1">' K3 PP'!N40</f>
        <v>59,64 €/Std</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17.3</v>
      </c>
      <c r="C1038" s="518"/>
      <c r="D1038" s="1837">
        <f ca="1">$B1038*D1037</f>
        <v>0</v>
      </c>
      <c r="E1038" s="1837">
        <f t="shared" ref="E1038:I1038" ca="1" si="15">$B1038*E1037</f>
        <v>10.44</v>
      </c>
      <c r="F1038" s="1837">
        <f t="shared" ca="1" si="15"/>
        <v>1.4</v>
      </c>
      <c r="G1038" s="1837">
        <f t="shared" ca="1" si="15"/>
        <v>2.15</v>
      </c>
      <c r="H1038" s="1837">
        <f t="shared" ca="1" si="15"/>
        <v>3.32</v>
      </c>
      <c r="I1038" s="1837">
        <f t="shared" ca="1" si="15"/>
        <v>17.3</v>
      </c>
    </row>
    <row r="1039" spans="1:9" hidden="1" x14ac:dyDescent="0.25">
      <c r="A1039" s="518"/>
      <c r="B1039" s="1836">
        <f ca="1">B1038*KALKULATION!C$95*KALKULATION!F$63</f>
        <v>2553.48</v>
      </c>
      <c r="C1039" s="518"/>
      <c r="D1039" s="1837">
        <f ca="1">$B1039*D1037</f>
        <v>0</v>
      </c>
      <c r="E1039" s="1837">
        <f t="shared" ref="E1039:I1039" ca="1" si="16">$B1039*E1037</f>
        <v>1540.77</v>
      </c>
      <c r="F1039" s="1837">
        <f t="shared" ca="1" si="16"/>
        <v>206.83</v>
      </c>
      <c r="G1039" s="1837">
        <f t="shared" ca="1" si="16"/>
        <v>316.89</v>
      </c>
      <c r="H1039" s="1837">
        <f t="shared" ca="1" si="16"/>
        <v>489.5</v>
      </c>
      <c r="I1039" s="1837">
        <f t="shared" ca="1" si="16"/>
        <v>2553.48</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10,44€/Std bzw 1541€ pro Woche</v>
      </c>
      <c r="F1040" s="518" t="str">
        <f ca="1">"
- aus dem Ansatz für "&amp;F1035&amp;" in Hv "&amp;TEXT(F1038,"0,00€")&amp;"/Std bzw "&amp;TEXT(F1039,"0€")&amp;" pro Woche"</f>
        <v xml:space="preserve">
- aus dem Ansatz für Finanzierungskosten in Hv 1,40€/Std bzw 207€ pro Woche</v>
      </c>
      <c r="G1040" s="518" t="str">
        <f ca="1">"
- aus dem Ansatz für "&amp;G1035&amp;" in Hv "&amp;TEXT(G1038,"0,00€")&amp;"/Std bzw "&amp;TEXT(G1039,"0€")&amp;" pro Woche"</f>
        <v xml:space="preserve">
- aus dem Ansatz für Wagnis in Hv 2,15€/Std bzw 317€ pro Woche</v>
      </c>
      <c r="H1040" s="518" t="str">
        <f ca="1">"
- aus dem Ansatz für "&amp;H1035&amp;" in Hv "&amp;TEXT(H1038,"0,00€")&amp;"/Std bzw "&amp;TEXT(H1039,"0€")&amp;" pro Woche."</f>
        <v xml:space="preserve">
- aus dem Ansatz für Gewinn in Hv 3,32€/Std bzw 490€ pro Woche.</v>
      </c>
      <c r="I1040" s="518" t="str">
        <f ca="1">TEXT(I1038,"0,00€")&amp;"/Std bzw "&amp;TEXT(I1039,"0€")&amp;" pro Woche"</f>
        <v>17,30€/Std bzw 2553€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17,30€/Std bzw 2553€ pro Woche (bei der kalkulierten Arbeitszeit und Beschäftigtenzahl; ohne Berücksichtigung von Feiertagen - daher maximal) ergeben. Die Deckungsbeiträge erwirtschaften sich im Detail wie folgt: 
- aus dem Ansatz für GGK in Hv 10,44€/Std bzw 1541€ pro Woche
- aus dem Ansatz für Finanzierungskosten in Hv 1,40€/Std bzw 207€ pro Woche
- aus dem Ansatz für Wagnis in Hv 2,15€/Std bzw 317€ pro Woche
- aus dem Ansatz für Gewinn in Hv 3,32€/Std bzw 490€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t="str">
        <f ca="1">' K3 PP'!M43</f>
        <v/>
      </c>
      <c r="C1056" s="518"/>
      <c r="D1056" s="1838" t="e">
        <f ca="1">$B1056*D1055</f>
        <v>#VALUE!</v>
      </c>
      <c r="E1056" s="1838" t="e">
        <f t="shared" ref="E1056" ca="1" si="22">$B1056*E1055</f>
        <v>#VALUE!</v>
      </c>
      <c r="F1056" s="1838" t="e">
        <f t="shared" ref="F1056" ca="1" si="23">$B1056*F1055</f>
        <v>#VALUE!</v>
      </c>
      <c r="G1056" s="1838" t="e">
        <f t="shared" ref="G1056" ca="1" si="24">$B1056*G1055</f>
        <v>#VALUE!</v>
      </c>
      <c r="H1056" s="1838" t="e">
        <f t="shared" ref="H1056" ca="1" si="25">$B1056*H1055</f>
        <v>#VALUE!</v>
      </c>
      <c r="I1056" s="1838" t="e">
        <f t="shared" ref="I1056" ca="1" si="26">$B1056*I1055</f>
        <v>#VALUE!</v>
      </c>
    </row>
    <row r="1057" spans="1:9" hidden="1" x14ac:dyDescent="0.25">
      <c r="A1057" s="518"/>
      <c r="B1057" s="1836" t="e">
        <f ca="1">B1056*KALKULATION!C$95*KALKULATION!F$63</f>
        <v>#VALUE!</v>
      </c>
      <c r="C1057" s="518"/>
      <c r="D1057" s="1838" t="e">
        <f ca="1">$B1057*D1055</f>
        <v>#VALUE!</v>
      </c>
      <c r="E1057" s="1838" t="e">
        <f t="shared" ref="E1057:I1057" ca="1" si="27">$B1057*E1055</f>
        <v>#VALUE!</v>
      </c>
      <c r="F1057" s="1838" t="e">
        <f t="shared" ca="1" si="27"/>
        <v>#VALUE!</v>
      </c>
      <c r="G1057" s="1838" t="e">
        <f t="shared" ca="1" si="27"/>
        <v>#VALUE!</v>
      </c>
      <c r="H1057" s="1838" t="e">
        <f t="shared" ca="1" si="27"/>
        <v>#VALUE!</v>
      </c>
      <c r="I1057" s="1838"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Musterprojekt Baunebengewerbe (Hafner-, Platten-, Fliesenleger</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46143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1114</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0"/>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8"/>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29"/>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29"/>
      <c r="R22" s="3252" t="str">
        <f ca="1">IFERROR(' K3 PP'!N45,"Noch nicht errechenbar!")</f>
        <v>76,94 €/Std</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3" t="s">
        <v>525</v>
      </c>
      <c r="P23" s="1134" t="s">
        <v>192</v>
      </c>
      <c r="Q23" s="1229"/>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3" t="s">
        <v>444</v>
      </c>
      <c r="P24" s="1133" t="s">
        <v>445</v>
      </c>
      <c r="Q24" s="1230"/>
      <c r="R24" s="323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4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Musterprojekt Baunebengewerbe (Hafner-, Platten-, Fliesenleger</v>
      </c>
      <c r="G1" s="3352"/>
      <c r="H1" s="3352"/>
      <c r="I1" s="3352"/>
      <c r="J1" s="3352"/>
      <c r="K1" s="3352"/>
      <c r="L1" s="3352"/>
      <c r="M1" s="273"/>
      <c r="O1" s="427"/>
      <c r="P1" s="427"/>
      <c r="Q1" s="427" t="s">
        <v>975</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926</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46143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2" t="s">
        <v>925</v>
      </c>
      <c r="R5" s="427"/>
      <c r="S5" s="427"/>
    </row>
    <row r="6" spans="1:19" s="175" customFormat="1" ht="25.35" customHeight="1" x14ac:dyDescent="0.2">
      <c r="A6" s="183"/>
      <c r="B6" s="3312"/>
      <c r="C6" s="3313"/>
      <c r="D6" s="3338"/>
      <c r="E6" s="3310" t="s">
        <v>995</v>
      </c>
      <c r="F6" s="3311"/>
      <c r="G6" s="3337"/>
      <c r="H6" s="3310" t="s">
        <v>994</v>
      </c>
      <c r="I6" s="3311"/>
      <c r="J6" s="3337"/>
      <c r="K6" s="3310" t="s">
        <v>996</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926</v>
      </c>
      <c r="F18" s="3370"/>
      <c r="G18" s="3370"/>
      <c r="H18" s="3371"/>
      <c r="I18" s="3299" t="s">
        <v>301</v>
      </c>
      <c r="J18" s="3300"/>
      <c r="K18" s="3301"/>
      <c r="L18" s="1213"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997</v>
      </c>
      <c r="E20" s="3311"/>
      <c r="F20" s="3310" t="s">
        <v>998</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76,94 €/Std</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509" t="s">
        <v>22</v>
      </c>
      <c r="C1" s="3509"/>
      <c r="D1" s="3509"/>
      <c r="E1" s="3510"/>
      <c r="F1" s="424" t="s">
        <v>187</v>
      </c>
      <c r="G1" s="3505" t="str">
        <f>IF(KALKULATION!D14="","N.N.",KALKULATION!D14)</f>
        <v>Musterprojekt Baunebengewerbe (Hafner-, Platten-, Fliesenleger</v>
      </c>
      <c r="H1" s="3505"/>
      <c r="I1" s="3505"/>
      <c r="J1" s="3505"/>
      <c r="K1" s="3505"/>
      <c r="L1" s="3505"/>
      <c r="M1" s="3505"/>
      <c r="N1" s="3505"/>
      <c r="O1" s="3505"/>
      <c r="P1" s="3506"/>
      <c r="Q1" s="734"/>
      <c r="R1" s="787"/>
      <c r="S1" s="734"/>
      <c r="T1" s="734"/>
    </row>
    <row r="2" spans="1:20" x14ac:dyDescent="0.2">
      <c r="A2" s="3378"/>
      <c r="B2" s="3402" t="s">
        <v>57</v>
      </c>
      <c r="C2" s="3403"/>
      <c r="D2" s="3403"/>
      <c r="E2" s="3403"/>
      <c r="F2" s="3404" t="str">
        <f>IF(KALKULATION!D16="","N.N.",KALKULATION!D16)</f>
        <v xml:space="preserve">MLP Baunebengewerbe </v>
      </c>
      <c r="G2" s="3404"/>
      <c r="H2" s="3404"/>
      <c r="I2" s="3404"/>
      <c r="J2" s="3405"/>
      <c r="K2" s="3374" t="s">
        <v>24</v>
      </c>
      <c r="L2" s="3375"/>
      <c r="M2" s="3375"/>
      <c r="N2" s="3375"/>
      <c r="O2" s="3375"/>
      <c r="P2" s="3389"/>
      <c r="Q2" s="563"/>
      <c r="R2" s="788"/>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89"/>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0"/>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0"/>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46143</v>
      </c>
      <c r="N6" s="3408"/>
      <c r="O6" s="3408"/>
      <c r="P6" s="3409"/>
      <c r="Q6" s="735"/>
      <c r="R6" s="791"/>
      <c r="S6" s="735"/>
      <c r="T6" s="735"/>
    </row>
    <row r="7" spans="1:20" x14ac:dyDescent="0.2">
      <c r="A7" s="3378"/>
      <c r="B7" s="3410" t="s">
        <v>126</v>
      </c>
      <c r="C7" s="3411"/>
      <c r="D7" s="3411"/>
      <c r="E7" s="3411"/>
      <c r="F7" s="3418"/>
      <c r="G7" s="3412"/>
      <c r="H7" s="3412"/>
      <c r="I7" s="3412"/>
      <c r="J7" s="3413"/>
      <c r="K7" s="3412" t="s">
        <v>140</v>
      </c>
      <c r="L7" s="3412"/>
      <c r="M7" s="3412"/>
      <c r="N7" s="3412"/>
      <c r="O7" s="3412"/>
      <c r="P7" s="3413"/>
      <c r="Q7" s="560"/>
      <c r="R7" s="792"/>
      <c r="S7" s="560"/>
      <c r="T7" s="560"/>
    </row>
    <row r="8" spans="1:20" ht="15.75" thickBot="1" x14ac:dyDescent="0.25">
      <c r="A8" s="3378"/>
      <c r="B8" s="3386" t="str">
        <f ca="1">Stammdaten!B3</f>
        <v>KollV Hafner, Platten- und Fliesenleger (ohne Kärnten)</v>
      </c>
      <c r="C8" s="3387"/>
      <c r="D8" s="3387"/>
      <c r="E8" s="3387"/>
      <c r="F8" s="3387"/>
      <c r="G8" s="3387"/>
      <c r="H8" s="3387"/>
      <c r="I8" s="3387"/>
      <c r="J8" s="3387"/>
      <c r="K8" s="3387"/>
      <c r="L8" s="3388"/>
      <c r="M8" s="3390" t="s">
        <v>26</v>
      </c>
      <c r="N8" s="3391"/>
      <c r="O8" s="3419">
        <f ca="1">Stammdaten!B4</f>
        <v>46143</v>
      </c>
      <c r="P8" s="3420"/>
      <c r="Q8" s="406"/>
      <c r="R8" s="793"/>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Q9" s="736"/>
      <c r="R9" s="794"/>
      <c r="S9" s="736"/>
      <c r="T9" s="736"/>
    </row>
    <row r="10" spans="1:20" x14ac:dyDescent="0.2">
      <c r="A10" s="43" t="s">
        <v>29</v>
      </c>
      <c r="B10" s="3392" t="str">
        <f>IF(KALKULATION!A36=0,"",KALKULATION!A36)</f>
        <v>Facharbeiter (&gt; 2Verwendungsjahr)</v>
      </c>
      <c r="C10" s="3393"/>
      <c r="D10" s="3393"/>
      <c r="E10" s="3446"/>
      <c r="F10" s="3513">
        <f ca="1">IFERROR((VLOOKUP(B10,Stammdaten!A$7:D$33,4,FALSE)),"")</f>
        <v>18.75</v>
      </c>
      <c r="G10" s="3513"/>
      <c r="H10" s="149">
        <f ca="1">IF(KALKULATION!F36=0,"",KALKULATION!F36)</f>
        <v>0.5</v>
      </c>
      <c r="I10" s="3382">
        <f ca="1">IFERROR(IF(PRODUCT(F10,H10)=0,"",F10*H10),"")</f>
        <v>9.3800000000000008</v>
      </c>
      <c r="J10" s="3385"/>
      <c r="K10" s="3379" t="s">
        <v>141</v>
      </c>
      <c r="L10" s="3379"/>
      <c r="M10" s="3379"/>
      <c r="N10" s="3379"/>
      <c r="O10" s="466" t="s">
        <v>30</v>
      </c>
      <c r="P10" s="470" t="s">
        <v>18</v>
      </c>
      <c r="Q10" s="737"/>
      <c r="R10" s="795"/>
      <c r="S10" s="737"/>
      <c r="T10" s="737"/>
    </row>
    <row r="11" spans="1:20" x14ac:dyDescent="0.2">
      <c r="A11" s="43" t="s">
        <v>31</v>
      </c>
      <c r="B11" s="3380" t="str">
        <f>IF(KALKULATION!A37=0,"",KALKULATION!A37)</f>
        <v>Qualifizierter Helfer</v>
      </c>
      <c r="C11" s="3381"/>
      <c r="D11" s="3381"/>
      <c r="E11" s="3384"/>
      <c r="F11" s="3382">
        <f ca="1">IFERROR((VLOOKUP(B11,Stammdaten!A$7:D$33,4,FALSE)),"")</f>
        <v>15.96</v>
      </c>
      <c r="G11" s="3385"/>
      <c r="H11" s="149">
        <f ca="1">IF(KALKULATION!F37=0,"",KALKULATION!F37)</f>
        <v>0.5</v>
      </c>
      <c r="I11" s="3382">
        <f t="shared" ref="I11:I18" ca="1" si="0">IFERROR(IF(PRODUCT(F11,H11)=0,"",F11*H11),"")</f>
        <v>7.98</v>
      </c>
      <c r="J11" s="3383"/>
      <c r="K11" s="3392" t="str">
        <f ca="1">IF(KALKULATION!S80="","",KALKULATION!S80)</f>
        <v>Überstunde 50%</v>
      </c>
      <c r="L11" s="3393"/>
      <c r="M11" s="3393"/>
      <c r="N11" s="3393"/>
      <c r="O11" s="471">
        <f ca="1">IF(OR(K11="",KALKULATION!U80=""),"",KALKULATION!U80)</f>
        <v>0.5</v>
      </c>
      <c r="P11" s="467">
        <f ca="1">IF(OR(K11="",KALKULATION!T80=""),"",KALKULATION!T80)</f>
        <v>2</v>
      </c>
      <c r="Q11" s="738"/>
      <c r="R11" s="796"/>
      <c r="S11" s="738"/>
      <c r="T11" s="738"/>
    </row>
    <row r="12" spans="1:20" x14ac:dyDescent="0.2">
      <c r="A12" s="43" t="s">
        <v>32</v>
      </c>
      <c r="B12" s="3380" t="str">
        <f>IF(KALKULATION!A38=0,"",KALKULATION!A38)</f>
        <v/>
      </c>
      <c r="C12" s="3381"/>
      <c r="D12" s="3381"/>
      <c r="E12" s="3384"/>
      <c r="F12" s="3382" t="str">
        <f ca="1">IFERROR((VLOOKUP(B12,Stammdaten!A$7:D$33,4,FALSE)),"")</f>
        <v/>
      </c>
      <c r="G12" s="3385"/>
      <c r="H12" s="149" t="str">
        <f ca="1">IF(KALKULATION!F38=0,"",KALKULATION!F38)</f>
        <v/>
      </c>
      <c r="I12" s="3382" t="str">
        <f t="shared" ca="1" si="0"/>
        <v/>
      </c>
      <c r="J12" s="3383"/>
      <c r="K12" s="3380" t="str">
        <f ca="1">IF(KALKULATION!S81="","",KALKULATION!S81)</f>
        <v/>
      </c>
      <c r="L12" s="3381"/>
      <c r="M12" s="3381"/>
      <c r="N12" s="3381"/>
      <c r="O12" s="472" t="str">
        <f ca="1">IF(OR(K12="",KALKULATION!U81=""),"",KALKULATION!U81)</f>
        <v/>
      </c>
      <c r="P12" s="468" t="str">
        <f ca="1">IF(OR(K12="",KALKULATION!T81=""),"",KALKULATION!T81)</f>
        <v/>
      </c>
      <c r="Q12" s="738"/>
      <c r="R12" s="796"/>
      <c r="S12" s="738"/>
      <c r="T12" s="738"/>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8"/>
      <c r="R13" s="796"/>
      <c r="S13" s="738"/>
      <c r="T13" s="738"/>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8"/>
      <c r="R14" s="796"/>
      <c r="S14" s="738"/>
      <c r="T14" s="738"/>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8"/>
      <c r="R15" s="796"/>
      <c r="S15" s="738"/>
      <c r="T15" s="738"/>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39"/>
      <c r="R16" s="797"/>
      <c r="S16" s="739"/>
      <c r="T16" s="738"/>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39"/>
      <c r="R17" s="797"/>
      <c r="S17" s="739"/>
      <c r="T17" s="738"/>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39"/>
      <c r="R18" s="797"/>
      <c r="S18" s="739"/>
      <c r="T18" s="738"/>
    </row>
    <row r="19" spans="1:21" x14ac:dyDescent="0.2">
      <c r="A19" s="43">
        <v>2</v>
      </c>
      <c r="B19" s="3424" t="s">
        <v>39</v>
      </c>
      <c r="C19" s="3425"/>
      <c r="D19" s="3425"/>
      <c r="E19" s="3425"/>
      <c r="F19" s="3425"/>
      <c r="G19" s="3425"/>
      <c r="H19" s="1167">
        <f ca="1">SUM(H10:H18)</f>
        <v>1</v>
      </c>
      <c r="I19" s="3376">
        <f ca="1">IF(AND(_OK?="OK!",_OK_KV?="OK_KV!"),SUM(I10:J18),KALKULATION!G45)</f>
        <v>18</v>
      </c>
      <c r="J19" s="3377"/>
      <c r="K19" s="3441" t="s">
        <v>265</v>
      </c>
      <c r="L19" s="3441"/>
      <c r="M19" s="3441"/>
      <c r="N19" s="3441"/>
      <c r="O19" s="3441"/>
      <c r="P19" s="1168">
        <f ca="1">KALKULATION!C95</f>
        <v>41</v>
      </c>
      <c r="Q19" s="742"/>
      <c r="R19" s="798"/>
      <c r="S19" s="739"/>
      <c r="T19" s="738"/>
    </row>
    <row r="20" spans="1:21" x14ac:dyDescent="0.2">
      <c r="A20" s="43"/>
      <c r="B20" s="2726"/>
      <c r="C20" s="3440"/>
      <c r="D20" s="3440"/>
      <c r="E20" s="3440"/>
      <c r="F20" s="3440"/>
      <c r="G20" s="3440"/>
      <c r="H20" s="3440"/>
      <c r="I20" s="3440"/>
      <c r="J20" s="3440"/>
      <c r="K20" s="3440"/>
      <c r="L20" s="2727"/>
      <c r="M20" s="3433" t="s">
        <v>6</v>
      </c>
      <c r="N20" s="3434"/>
      <c r="O20" s="3435" t="s">
        <v>7</v>
      </c>
      <c r="P20" s="3434"/>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36">
        <f ca="1">I19/H19</f>
        <v>18</v>
      </c>
      <c r="P21" s="3437"/>
      <c r="Q21" s="740"/>
      <c r="R21" s="800"/>
      <c r="S21" s="739"/>
      <c r="T21" s="738"/>
    </row>
    <row r="22" spans="1:21" ht="15.75" thickBot="1" x14ac:dyDescent="0.25">
      <c r="A22" s="43">
        <v>4</v>
      </c>
      <c r="B22" s="3442" t="s">
        <v>40</v>
      </c>
      <c r="C22" s="3443"/>
      <c r="D22" s="3443"/>
      <c r="E22" s="3443"/>
      <c r="F22" s="3443"/>
      <c r="G22" s="3443"/>
      <c r="H22" s="3450" t="s">
        <v>41</v>
      </c>
      <c r="I22" s="3450"/>
      <c r="J22" s="3451"/>
      <c r="K22" s="3470">
        <f ca="1">KALKULATION!G72</f>
        <v>0.11600000000000001</v>
      </c>
      <c r="L22" s="3471"/>
      <c r="M22" s="3444"/>
      <c r="N22" s="3445"/>
      <c r="O22" s="3438">
        <f ca="1">IF(_OK?="OK!",K22*O21,ROUND(K22*O21,0))</f>
        <v>2</v>
      </c>
      <c r="P22" s="3439"/>
      <c r="Q22" s="562"/>
      <c r="R22" s="801"/>
      <c r="S22" s="739"/>
      <c r="T22" s="738"/>
    </row>
    <row r="23" spans="1:21" x14ac:dyDescent="0.2">
      <c r="A23" s="43">
        <v>5</v>
      </c>
      <c r="B23" s="3459" t="s">
        <v>142</v>
      </c>
      <c r="C23" s="3460"/>
      <c r="D23" s="3460"/>
      <c r="E23" s="3460"/>
      <c r="F23" s="3460"/>
      <c r="G23" s="3460"/>
      <c r="H23" s="3452" t="s">
        <v>181</v>
      </c>
      <c r="I23" s="3453"/>
      <c r="J23" s="3453"/>
      <c r="K23" s="3453"/>
      <c r="L23" s="3453"/>
      <c r="M23" s="3453"/>
      <c r="N23" s="3454"/>
      <c r="O23" s="3396">
        <f ca="1">SUM(O21:P22)</f>
        <v>20</v>
      </c>
      <c r="P23" s="3397"/>
      <c r="Q23" s="740"/>
      <c r="R23" s="800"/>
      <c r="S23" s="739"/>
      <c r="T23" s="738"/>
    </row>
    <row r="24" spans="1:21" x14ac:dyDescent="0.2">
      <c r="A24" s="43">
        <v>6</v>
      </c>
      <c r="B24" s="3374" t="s">
        <v>109</v>
      </c>
      <c r="C24" s="3375"/>
      <c r="D24" s="3375"/>
      <c r="E24" s="3375"/>
      <c r="F24" s="3375"/>
      <c r="G24" s="3375"/>
      <c r="H24" s="3455" t="s">
        <v>87</v>
      </c>
      <c r="I24" s="3455"/>
      <c r="J24" s="3456"/>
      <c r="K24" s="3429">
        <f ca="1">KALKULATION!H73</f>
        <v>0.14499999999999999</v>
      </c>
      <c r="L24" s="3430"/>
      <c r="M24" s="3457"/>
      <c r="N24" s="3458"/>
      <c r="O24" s="3382">
        <f ca="1">K24*O23</f>
        <v>2.9</v>
      </c>
      <c r="P24" s="3385"/>
      <c r="Q24" s="562"/>
      <c r="R24" s="801"/>
      <c r="S24" s="739"/>
      <c r="T24" s="738"/>
    </row>
    <row r="25" spans="1:21" x14ac:dyDescent="0.2">
      <c r="A25" s="43">
        <v>7</v>
      </c>
      <c r="B25" s="3374" t="s">
        <v>136</v>
      </c>
      <c r="C25" s="3375"/>
      <c r="D25" s="3375"/>
      <c r="E25" s="3375"/>
      <c r="F25" s="3375"/>
      <c r="G25" s="3375"/>
      <c r="H25" s="3455" t="s">
        <v>87</v>
      </c>
      <c r="I25" s="3455"/>
      <c r="J25" s="3456"/>
      <c r="K25" s="3431">
        <f ca="1">KALKULATION!H167</f>
        <v>0.01</v>
      </c>
      <c r="L25" s="3432"/>
      <c r="M25" s="3457"/>
      <c r="N25" s="3458"/>
      <c r="O25" s="3382">
        <f ca="1">K25*O23</f>
        <v>0.2</v>
      </c>
      <c r="P25" s="3385"/>
      <c r="Q25" s="562"/>
      <c r="R25" s="801"/>
      <c r="S25" s="739"/>
      <c r="T25" s="738"/>
    </row>
    <row r="26" spans="1:21" x14ac:dyDescent="0.2">
      <c r="A26" s="43">
        <v>8</v>
      </c>
      <c r="B26" s="3374" t="s">
        <v>67</v>
      </c>
      <c r="C26" s="3375"/>
      <c r="D26" s="3375"/>
      <c r="E26" s="3375"/>
      <c r="F26" s="3375"/>
      <c r="G26" s="3375"/>
      <c r="H26" s="3455" t="s">
        <v>87</v>
      </c>
      <c r="I26" s="3455"/>
      <c r="J26" s="3456"/>
      <c r="K26" s="3431">
        <f ca="1">KALKULATION!H115</f>
        <v>2.9000000000000001E-2</v>
      </c>
      <c r="L26" s="3432"/>
      <c r="M26" s="3457"/>
      <c r="N26" s="3458"/>
      <c r="O26" s="3382">
        <f ca="1">K26*O23</f>
        <v>0.57999999999999996</v>
      </c>
      <c r="P26" s="3385"/>
      <c r="Q26" s="562"/>
      <c r="R26" s="801"/>
      <c r="S26" s="739"/>
      <c r="T26" s="738"/>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2.8</v>
      </c>
      <c r="P27" s="3428"/>
      <c r="Q27" s="562"/>
      <c r="R27" s="801"/>
      <c r="S27" s="739"/>
      <c r="T27" s="738"/>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26</v>
      </c>
      <c r="P28" s="3397"/>
      <c r="Q28" s="740"/>
      <c r="R28" s="800"/>
      <c r="S28" s="739"/>
      <c r="T28" s="738"/>
    </row>
    <row r="29" spans="1:21" x14ac:dyDescent="0.2">
      <c r="A29" s="43">
        <v>11</v>
      </c>
      <c r="B29" s="3480" t="s">
        <v>104</v>
      </c>
      <c r="C29" s="2280"/>
      <c r="D29" s="2280"/>
      <c r="E29" s="2280"/>
      <c r="F29" s="2280"/>
      <c r="G29" s="2280"/>
      <c r="H29" s="2280"/>
      <c r="I29" s="2280"/>
      <c r="J29" s="2280"/>
      <c r="K29" s="2280"/>
      <c r="L29" s="2280"/>
      <c r="M29" s="2280"/>
      <c r="N29" s="2280"/>
      <c r="O29" s="3382">
        <f ca="1">KALKULATION!G227</f>
        <v>1.2</v>
      </c>
      <c r="P29" s="3385"/>
      <c r="Q29" s="562"/>
      <c r="R29" s="801"/>
      <c r="S29" s="562"/>
      <c r="T29" s="738"/>
    </row>
    <row r="30" spans="1:21" x14ac:dyDescent="0.2">
      <c r="A30" s="43">
        <v>12</v>
      </c>
      <c r="B30" s="3374" t="s">
        <v>43</v>
      </c>
      <c r="C30" s="3375"/>
      <c r="D30" s="3375"/>
      <c r="E30" s="3375"/>
      <c r="F30" s="3375"/>
      <c r="G30" s="3375"/>
      <c r="H30" s="3455" t="s">
        <v>44</v>
      </c>
      <c r="I30" s="3455"/>
      <c r="J30" s="3456"/>
      <c r="K30" s="3431">
        <f ca="1">KALKULATION!H236</f>
        <v>0.28000000000000003</v>
      </c>
      <c r="L30" s="3432"/>
      <c r="M30" s="3457"/>
      <c r="N30" s="3458"/>
      <c r="O30" s="3382">
        <f ca="1">K30*O28</f>
        <v>7.28</v>
      </c>
      <c r="P30" s="3385"/>
      <c r="Q30" s="562"/>
      <c r="R30" s="801"/>
      <c r="S30" s="562"/>
      <c r="T30" s="738"/>
    </row>
    <row r="31" spans="1:21" ht="15.75" x14ac:dyDescent="0.25">
      <c r="A31" s="43">
        <v>13</v>
      </c>
      <c r="B31" s="3374" t="s">
        <v>45</v>
      </c>
      <c r="C31" s="3375"/>
      <c r="D31" s="3375"/>
      <c r="E31" s="3375"/>
      <c r="F31" s="3375"/>
      <c r="G31" s="3375"/>
      <c r="H31" s="3455" t="s">
        <v>44</v>
      </c>
      <c r="I31" s="3455"/>
      <c r="J31" s="3456"/>
      <c r="K31" s="3431">
        <f ca="1">KALKULATION!H265</f>
        <v>0.72</v>
      </c>
      <c r="L31" s="3432"/>
      <c r="M31" s="3457"/>
      <c r="N31" s="3458"/>
      <c r="O31" s="3382">
        <f ca="1">K31*O28</f>
        <v>18.72</v>
      </c>
      <c r="P31" s="3385"/>
      <c r="Q31" s="562"/>
      <c r="R31" s="801"/>
      <c r="S31" s="562"/>
      <c r="T31" s="738"/>
      <c r="U31" s="1831" t="s">
        <v>392</v>
      </c>
    </row>
    <row r="32" spans="1:21" ht="15.75" thickBot="1" x14ac:dyDescent="0.25">
      <c r="A32" s="43">
        <v>14</v>
      </c>
      <c r="B32" s="3473" t="s">
        <v>46</v>
      </c>
      <c r="C32" s="3474"/>
      <c r="D32" s="3474"/>
      <c r="E32" s="3474"/>
      <c r="F32" s="3474"/>
      <c r="G32" s="3474"/>
      <c r="H32" s="3475" t="s">
        <v>44</v>
      </c>
      <c r="I32" s="3475"/>
      <c r="J32" s="3476"/>
      <c r="K32" s="3470">
        <f ca="1">O32/O28</f>
        <v>2.7000000000000001E-3</v>
      </c>
      <c r="L32" s="3471"/>
      <c r="M32" s="3497"/>
      <c r="N32" s="3498"/>
      <c r="O32" s="3394">
        <f ca="1">KALKULATION!H276</f>
        <v>7.0000000000000007E-2</v>
      </c>
      <c r="P32" s="3428"/>
      <c r="Q32" s="562"/>
      <c r="R32" s="801"/>
      <c r="S32" s="562"/>
      <c r="T32" s="738"/>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53</v>
      </c>
      <c r="P33" s="3397"/>
      <c r="Q33" s="740"/>
      <c r="R33" s="800"/>
      <c r="S33" s="562"/>
      <c r="T33" s="738"/>
    </row>
    <row r="34" spans="1:27" x14ac:dyDescent="0.2">
      <c r="A34" s="43">
        <v>16</v>
      </c>
      <c r="B34" s="3499" t="s">
        <v>48</v>
      </c>
      <c r="C34" s="3500"/>
      <c r="D34" s="3500"/>
      <c r="E34" s="3500"/>
      <c r="F34" s="3500"/>
      <c r="G34" s="3500"/>
      <c r="H34" s="3481" t="str">
        <f>IF(_Anzeige_Prozent=_Nein,"in % auf B15","in % auf B15 + in € = ∑")</f>
        <v>in % auf B15 + in € = ∑</v>
      </c>
      <c r="I34" s="3481"/>
      <c r="J34" s="3482"/>
      <c r="K34" s="3495">
        <f>IF(_Anzeige_Prozent=_Nein,SUM(KALKULATION!E306,KALKULATION!F308/' K3 PP'!O33),KALKULATION!E306)</f>
        <v>0.06</v>
      </c>
      <c r="L34" s="3496"/>
      <c r="M34" s="3382">
        <f ca="1">IF(_Anzeige_Prozent=_Nein,"",KALKULATION!F308)</f>
        <v>3.46</v>
      </c>
      <c r="N34" s="3385"/>
      <c r="O34" s="3487">
        <f ca="1">KALKULATION!H308</f>
        <v>6.64</v>
      </c>
      <c r="P34" s="3488"/>
      <c r="Q34" s="562"/>
      <c r="R34" s="801"/>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1"/>
      <c r="S35" s="562"/>
      <c r="T35" s="562"/>
    </row>
    <row r="36" spans="1:27" x14ac:dyDescent="0.2">
      <c r="A36" s="79" t="s">
        <v>49</v>
      </c>
      <c r="B36" s="3392" t="str">
        <f>IF(SUM(K36:N36)=0,"",KALKULATION!A336)</f>
        <v/>
      </c>
      <c r="C36" s="3393"/>
      <c r="D36" s="3393"/>
      <c r="E36" s="3393"/>
      <c r="F36" s="3393"/>
      <c r="G36" s="3393"/>
      <c r="H36" s="3393"/>
      <c r="I36" s="3393"/>
      <c r="J36" s="3446"/>
      <c r="K36" s="3518" t="str">
        <f>IF(KALKULATION!A336="","",IF(_Anzeige_Prozent=_Nein,"",KALKULATION!G336))</f>
        <v/>
      </c>
      <c r="L36" s="3519"/>
      <c r="M36" s="3489" t="str">
        <f>IF(KALKULATION!A336="","",SUM(KALKULATION!F336,KALKULATION!H336))</f>
        <v/>
      </c>
      <c r="N36" s="3490"/>
      <c r="O36" s="3382"/>
      <c r="P36" s="3385"/>
      <c r="Q36" s="562"/>
      <c r="R36" s="801"/>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1"/>
      <c r="S37" s="562"/>
      <c r="T37" s="562"/>
      <c r="V37" s="1849" t="s">
        <v>614</v>
      </c>
      <c r="X37" s="1850" t="s">
        <v>551</v>
      </c>
      <c r="Y37" s="1850" t="s">
        <v>616</v>
      </c>
      <c r="Z37" s="1272"/>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372" t="str">
        <f>IF(SUM(M36:N38)&gt;0,SUM(M36:N38),"")</f>
        <v/>
      </c>
      <c r="N39" s="3373"/>
      <c r="O39" s="3372">
        <f ca="1">IF(KALKULATION!C392="",SUM(' K3 PP'!O33:P34),KALKULATION!C392)</f>
        <v>59.64</v>
      </c>
      <c r="P39" s="3373"/>
      <c r="Q39" s="740"/>
      <c r="R39" s="800"/>
      <c r="S39" s="740"/>
      <c r="T39" s="740"/>
      <c r="U39" s="1853">
        <f ca="1">SUM(O33,O34)</f>
        <v>59.64</v>
      </c>
      <c r="V39" s="1854" t="str">
        <f>KALKULATION!H384</f>
        <v/>
      </c>
      <c r="W39" s="1853">
        <f ca="1">SUM(O33,O34)</f>
        <v>59.64</v>
      </c>
      <c r="X39" s="1855">
        <f ca="1">O39-W39</f>
        <v>0</v>
      </c>
      <c r="Z39" s="1272"/>
      <c r="AA39" s="1272"/>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3" t="str">
        <f ca="1">IF(X39=0,"","ge-rundet")</f>
        <v/>
      </c>
      <c r="N40" s="3507" t="str">
        <f ca="1">IF(ABS(X45)&lt;0.02,Y42&amp;Z42&amp;AA42,KALKULATION!$M$287)</f>
        <v>59,64 €/Std</v>
      </c>
      <c r="O40" s="3507"/>
      <c r="P40" s="3508"/>
      <c r="Q40" s="744"/>
      <c r="R40" s="802"/>
      <c r="S40" s="744"/>
      <c r="T40" s="744"/>
      <c r="U40" s="1853">
        <f ca="1">SUM(M39:P39)</f>
        <v>59.64</v>
      </c>
      <c r="V40" s="1853"/>
      <c r="W40" s="1853"/>
      <c r="X40" s="1856"/>
      <c r="Z40" s="1857">
        <f ca="1">U40/60</f>
        <v>0.99399999999999999</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5"/>
      <c r="R42" s="804"/>
      <c r="S42" s="745"/>
      <c r="T42" s="745"/>
      <c r="U42" s="1858"/>
      <c r="X42" s="1856"/>
      <c r="Y42" s="1859" t="str">
        <f ca="1">TEXT(U40,"0,00")&amp;" €/Std"</f>
        <v>59,64 €/Std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73"/>
      <c r="C43" s="3474"/>
      <c r="D43" s="3474"/>
      <c r="E43" s="3474"/>
      <c r="F43" s="3474"/>
      <c r="G43" s="3474"/>
      <c r="H43" s="3479"/>
      <c r="I43" s="3516" t="str">
        <f>IF(M39="","",KALKULATION!G346)</f>
        <v/>
      </c>
      <c r="J43" s="3517"/>
      <c r="K43" s="3516">
        <f>KALKULATION!G345</f>
        <v>0.28999999999999998</v>
      </c>
      <c r="L43" s="3517"/>
      <c r="M43" s="3438" t="str">
        <f ca="1">IF(KALKULATION!G346="","",I43*M39)</f>
        <v/>
      </c>
      <c r="N43" s="3439"/>
      <c r="O43" s="3438">
        <f ca="1">K43*O39</f>
        <v>17.3</v>
      </c>
      <c r="P43" s="3439"/>
      <c r="Q43" s="562"/>
      <c r="R43" s="801"/>
      <c r="S43" s="562"/>
      <c r="T43" s="562"/>
      <c r="U43" s="1860">
        <f ca="1">K43*O39</f>
        <v>17.3</v>
      </c>
      <c r="W43" s="1853">
        <f ca="1">K43*W39</f>
        <v>17.3</v>
      </c>
      <c r="X43" s="1861"/>
      <c r="Z43" s="1858"/>
      <c r="AA43" s="1272"/>
    </row>
    <row r="44" spans="1:27" ht="15.75" x14ac:dyDescent="0.25">
      <c r="A44" s="43">
        <v>21</v>
      </c>
      <c r="B44" s="1152" t="s">
        <v>897</v>
      </c>
      <c r="C44" s="1158"/>
      <c r="D44" s="1158"/>
      <c r="E44" s="1158"/>
      <c r="F44" s="1158"/>
      <c r="G44" s="1159"/>
      <c r="H44" s="1155"/>
      <c r="I44" s="1156"/>
      <c r="J44" s="1156"/>
      <c r="K44" s="1156"/>
      <c r="L44" s="1157"/>
      <c r="M44" s="3372" t="str">
        <f>IFERROR(IF(M39="","",SUM(M39,M43)),"")</f>
        <v/>
      </c>
      <c r="N44" s="3373"/>
      <c r="O44" s="3372">
        <f ca="1">IF(V44="",SUM(O39,O43),V44)</f>
        <v>76.94</v>
      </c>
      <c r="P44" s="3373"/>
      <c r="Q44" s="740"/>
      <c r="R44" s="800"/>
      <c r="S44" s="740"/>
      <c r="T44" s="740"/>
      <c r="U44" s="1850">
        <f ca="1">SUM(O39,O43)</f>
        <v>76.94</v>
      </c>
      <c r="V44" s="1854" t="str">
        <f>KALKULATION!H386</f>
        <v/>
      </c>
      <c r="W44" s="1853">
        <f ca="1">SUM(W39,W43)</f>
        <v>76.94</v>
      </c>
      <c r="X44" s="1855">
        <f ca="1">ABS(W44-O44)</f>
        <v>0</v>
      </c>
      <c r="Z44" s="1858"/>
      <c r="AA44" s="1272"/>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3" t="str">
        <f ca="1">IF(X44=0,"","ge-rundet")</f>
        <v/>
      </c>
      <c r="N45" s="3507" t="str">
        <f ca="1">IF(ABS(X45)&lt;0.02,Y47&amp;Z47&amp;AA47,KALKULATION!$M$287)</f>
        <v>76,94 €/Std</v>
      </c>
      <c r="O45" s="3507"/>
      <c r="P45" s="3508"/>
      <c r="Q45" s="744"/>
      <c r="R45" s="802"/>
      <c r="S45" s="744"/>
      <c r="T45" s="744"/>
      <c r="U45" s="1853">
        <f ca="1">SUM(M44:P44)</f>
        <v>76.94</v>
      </c>
      <c r="V45" s="1853" t="str">
        <f>KALKULATION!G386</f>
        <v/>
      </c>
      <c r="W45" s="1853" t="str">
        <f>KALKULATION!C393</f>
        <v/>
      </c>
      <c r="X45" s="1855">
        <f>IF(KALKULATION!F360="",0,MAX(X39,X44))</f>
        <v>0</v>
      </c>
      <c r="Z45" s="1857">
        <f ca="1">U45/60</f>
        <v>1.282</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2"/>
      <c r="S47" s="560"/>
      <c r="T47" s="560"/>
      <c r="U47" s="1858"/>
      <c r="V47" s="1858"/>
      <c r="Y47" s="1859" t="str">
        <f ca="1">TEXT(U45,"0,00")&amp;" €/Std"</f>
        <v>76,94 €/Std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76,94 €/Std</v>
      </c>
      <c r="Z48" s="1857" t="str">
        <f>IF(Z47="",""," | "&amp;Z47)</f>
        <v/>
      </c>
      <c r="AA48" s="1857"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Baunebengewerbe (Hafner-, Platten-, Fliesenleger</v>
      </c>
      <c r="H1" s="3605"/>
      <c r="I1" s="3605"/>
      <c r="J1" s="3605"/>
      <c r="K1" s="3605"/>
      <c r="L1" s="3605"/>
      <c r="M1" s="3605"/>
      <c r="N1" s="3605"/>
      <c r="O1" s="3605"/>
      <c r="P1" s="3606"/>
      <c r="R1" s="781"/>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1"/>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1"/>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1"/>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1"/>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1"/>
    </row>
    <row r="7" spans="1:18" x14ac:dyDescent="0.2">
      <c r="A7" s="3600"/>
      <c r="B7" s="2726" t="s">
        <v>126</v>
      </c>
      <c r="C7" s="3440"/>
      <c r="D7" s="3440"/>
      <c r="E7" s="3440"/>
      <c r="F7" s="3597" t="s">
        <v>25</v>
      </c>
      <c r="G7" s="3598"/>
      <c r="H7" s="3598"/>
      <c r="I7" s="3598"/>
      <c r="J7" s="3599"/>
      <c r="K7" s="3412" t="s">
        <v>140</v>
      </c>
      <c r="L7" s="3412"/>
      <c r="M7" s="3412"/>
      <c r="N7" s="3412"/>
      <c r="O7" s="3412"/>
      <c r="P7" s="3413"/>
      <c r="R7" s="781"/>
    </row>
    <row r="8" spans="1:18" ht="15.75" thickBot="1" x14ac:dyDescent="0.25">
      <c r="A8" s="3600"/>
      <c r="B8" s="3591" t="str">
        <f ca="1">Stammdaten!B3</f>
        <v>KollV Hafner, Platten- und Fliesenleger (ohne Kärnten)</v>
      </c>
      <c r="C8" s="3592"/>
      <c r="D8" s="3592"/>
      <c r="E8" s="3592"/>
      <c r="F8" s="3592"/>
      <c r="G8" s="3592"/>
      <c r="H8" s="3592"/>
      <c r="I8" s="3592"/>
      <c r="J8" s="3592"/>
      <c r="K8" s="3592"/>
      <c r="L8" s="3593"/>
      <c r="M8" s="3390" t="s">
        <v>26</v>
      </c>
      <c r="N8" s="3391"/>
      <c r="O8" s="3587">
        <f ca="1">Stammdaten!B4</f>
        <v>46143</v>
      </c>
      <c r="P8" s="3588"/>
      <c r="R8" s="781"/>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1"/>
    </row>
    <row r="10" spans="1:18" x14ac:dyDescent="0.2">
      <c r="A10" s="43" t="s">
        <v>29</v>
      </c>
      <c r="B10" s="3607" t="str">
        <f>KALKULATION!A421</f>
        <v>Facharbeiter (&gt; 2Verwendungsjahr)</v>
      </c>
      <c r="C10" s="3607"/>
      <c r="D10" s="3607"/>
      <c r="E10" s="3608"/>
      <c r="F10" s="3609">
        <f ca="1">IFERROR((VLOOKUP(B10,Stammdaten!A$7:D$33,4,FALSE)),"")</f>
        <v>18.75</v>
      </c>
      <c r="G10" s="3609"/>
      <c r="H10" s="30">
        <f>KALKULATION!F421</f>
        <v>1</v>
      </c>
      <c r="I10" s="3547">
        <f ca="1">IF(PRODUCT(F10,H10)=0,"",F10*H10)</f>
        <v>18.75</v>
      </c>
      <c r="J10" s="3548"/>
      <c r="K10" s="3583" t="s">
        <v>141</v>
      </c>
      <c r="L10" s="3583"/>
      <c r="M10" s="3583"/>
      <c r="N10" s="3584"/>
      <c r="O10" s="29" t="s">
        <v>30</v>
      </c>
      <c r="P10" s="6" t="s">
        <v>18</v>
      </c>
      <c r="R10" s="781"/>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4" t="str">
        <f>KALKULATION!P448</f>
        <v/>
      </c>
      <c r="P11" s="163">
        <v>1</v>
      </c>
      <c r="R11" s="781"/>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1"/>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1"/>
    </row>
    <row r="14" spans="1:18" x14ac:dyDescent="0.2">
      <c r="A14" s="43" t="s">
        <v>34</v>
      </c>
      <c r="B14" s="3572"/>
      <c r="C14" s="3572"/>
      <c r="D14" s="3572"/>
      <c r="E14" s="3573"/>
      <c r="F14" s="3574"/>
      <c r="G14" s="3574"/>
      <c r="H14" s="33"/>
      <c r="I14" s="3575"/>
      <c r="J14" s="3576"/>
      <c r="K14" s="3577"/>
      <c r="L14" s="3578"/>
      <c r="M14" s="3578"/>
      <c r="N14" s="3579"/>
      <c r="O14" s="34"/>
      <c r="P14" s="35"/>
      <c r="R14" s="781"/>
    </row>
    <row r="15" spans="1:18" x14ac:dyDescent="0.2">
      <c r="A15" s="43" t="s">
        <v>35</v>
      </c>
      <c r="B15" s="3572"/>
      <c r="C15" s="3572"/>
      <c r="D15" s="3572"/>
      <c r="E15" s="3573"/>
      <c r="F15" s="3574"/>
      <c r="G15" s="3574"/>
      <c r="H15" s="33"/>
      <c r="I15" s="3575"/>
      <c r="J15" s="3576"/>
      <c r="K15" s="3572"/>
      <c r="L15" s="3572"/>
      <c r="M15" s="3572"/>
      <c r="N15" s="3573"/>
      <c r="O15" s="34"/>
      <c r="P15" s="35"/>
      <c r="R15" s="781"/>
    </row>
    <row r="16" spans="1:18" x14ac:dyDescent="0.2">
      <c r="A16" s="43" t="s">
        <v>36</v>
      </c>
      <c r="B16" s="3572"/>
      <c r="C16" s="3572"/>
      <c r="D16" s="3572"/>
      <c r="E16" s="3573"/>
      <c r="F16" s="3574"/>
      <c r="G16" s="3574"/>
      <c r="H16" s="33"/>
      <c r="I16" s="3575"/>
      <c r="J16" s="3576"/>
      <c r="K16" s="3577"/>
      <c r="L16" s="3578"/>
      <c r="M16" s="3578"/>
      <c r="N16" s="3579"/>
      <c r="O16" s="36"/>
      <c r="P16" s="37"/>
      <c r="R16" s="781"/>
    </row>
    <row r="17" spans="1:18" x14ac:dyDescent="0.2">
      <c r="A17" s="43" t="s">
        <v>37</v>
      </c>
      <c r="B17" s="3572"/>
      <c r="C17" s="3572"/>
      <c r="D17" s="3572"/>
      <c r="E17" s="3573"/>
      <c r="F17" s="3574"/>
      <c r="G17" s="3574"/>
      <c r="H17" s="33"/>
      <c r="I17" s="3575"/>
      <c r="J17" s="3576"/>
      <c r="K17" s="3577"/>
      <c r="L17" s="3578"/>
      <c r="M17" s="3578"/>
      <c r="N17" s="3579"/>
      <c r="O17" s="36"/>
      <c r="P17" s="37"/>
      <c r="R17" s="781"/>
    </row>
    <row r="18" spans="1:18" ht="15.75" thickBot="1" x14ac:dyDescent="0.25">
      <c r="A18" s="43" t="s">
        <v>38</v>
      </c>
      <c r="B18" s="3565"/>
      <c r="C18" s="3566"/>
      <c r="D18" s="3566"/>
      <c r="E18" s="3567"/>
      <c r="F18" s="3568"/>
      <c r="G18" s="3568"/>
      <c r="H18" s="38"/>
      <c r="I18" s="3569"/>
      <c r="J18" s="3570"/>
      <c r="K18" s="3580"/>
      <c r="L18" s="3581"/>
      <c r="M18" s="3581"/>
      <c r="N18" s="3582"/>
      <c r="O18" s="39"/>
      <c r="P18" s="40"/>
      <c r="R18" s="781"/>
    </row>
    <row r="19" spans="1:18" x14ac:dyDescent="0.2">
      <c r="A19" s="43">
        <v>2</v>
      </c>
      <c r="B19" s="1169" t="s">
        <v>39</v>
      </c>
      <c r="C19" s="1170"/>
      <c r="D19" s="1171"/>
      <c r="E19" s="1171"/>
      <c r="F19" s="1171"/>
      <c r="G19" s="1171"/>
      <c r="H19" s="1167">
        <f>SUM(H10:H18)</f>
        <v>1</v>
      </c>
      <c r="I19" s="3376">
        <f ca="1">IF(AND(_OK?="OK!",_OK_KV?="OK_KV!"),SUM(I10:J18),KALKULATION!G422)</f>
        <v>19</v>
      </c>
      <c r="J19" s="3377"/>
      <c r="K19" s="3571" t="s">
        <v>143</v>
      </c>
      <c r="L19" s="3571"/>
      <c r="M19" s="3571"/>
      <c r="N19" s="3571"/>
      <c r="O19" s="3571"/>
      <c r="P19" s="1173">
        <v>1</v>
      </c>
      <c r="R19" s="781"/>
    </row>
    <row r="20" spans="1:18" x14ac:dyDescent="0.2">
      <c r="A20" s="43"/>
      <c r="B20" s="3440"/>
      <c r="C20" s="3440"/>
      <c r="D20" s="3440"/>
      <c r="E20" s="3440"/>
      <c r="F20" s="3440"/>
      <c r="G20" s="3440"/>
      <c r="H20" s="3440"/>
      <c r="I20" s="3440"/>
      <c r="J20" s="3440"/>
      <c r="K20" s="3440"/>
      <c r="L20" s="2727"/>
      <c r="M20" s="3433" t="s">
        <v>6</v>
      </c>
      <c r="N20" s="3434"/>
      <c r="O20" s="3435" t="s">
        <v>7</v>
      </c>
      <c r="P20" s="3434"/>
      <c r="R20" s="781"/>
    </row>
    <row r="21" spans="1:18" x14ac:dyDescent="0.2">
      <c r="A21" s="43">
        <v>3</v>
      </c>
      <c r="B21" s="144" t="s">
        <v>39</v>
      </c>
      <c r="C21" s="145"/>
      <c r="D21" s="145"/>
      <c r="E21" s="145"/>
      <c r="F21" s="145"/>
      <c r="G21" s="145"/>
      <c r="H21" s="3563"/>
      <c r="I21" s="3563"/>
      <c r="J21" s="3563"/>
      <c r="K21" s="3563"/>
      <c r="L21" s="3563"/>
      <c r="M21" s="3563"/>
      <c r="N21" s="3564"/>
      <c r="O21" s="3436">
        <f ca="1">I19/H19</f>
        <v>19</v>
      </c>
      <c r="P21" s="3437"/>
      <c r="R21" s="781"/>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1"/>
    </row>
    <row r="23" spans="1:18" x14ac:dyDescent="0.2">
      <c r="A23" s="43">
        <v>5</v>
      </c>
      <c r="B23" s="3459" t="s">
        <v>142</v>
      </c>
      <c r="C23" s="3460"/>
      <c r="D23" s="3460"/>
      <c r="E23" s="3460"/>
      <c r="F23" s="3460"/>
      <c r="G23" s="3460"/>
      <c r="H23" s="3531" t="s">
        <v>180</v>
      </c>
      <c r="I23" s="3453"/>
      <c r="J23" s="3453"/>
      <c r="K23" s="3453"/>
      <c r="L23" s="3453"/>
      <c r="M23" s="3453"/>
      <c r="N23" s="147"/>
      <c r="O23" s="3396">
        <f ca="1">SUM(O21:O22)</f>
        <v>19</v>
      </c>
      <c r="P23" s="3397"/>
      <c r="R23" s="781"/>
    </row>
    <row r="24" spans="1:18" x14ac:dyDescent="0.2">
      <c r="A24" s="43">
        <v>6</v>
      </c>
      <c r="B24" s="3375" t="s">
        <v>109</v>
      </c>
      <c r="C24" s="3375"/>
      <c r="D24" s="3375"/>
      <c r="E24" s="3375"/>
      <c r="F24" s="3375"/>
      <c r="G24" s="3375"/>
      <c r="H24" s="3455" t="s">
        <v>87</v>
      </c>
      <c r="I24" s="3455"/>
      <c r="J24" s="3456"/>
      <c r="K24" s="3429">
        <f ca="1">KALKULATION!H434</f>
        <v>0.1479</v>
      </c>
      <c r="L24" s="3430"/>
      <c r="M24" s="3457"/>
      <c r="N24" s="3458"/>
      <c r="O24" s="3382">
        <f ca="1">K24*O23</f>
        <v>2.81</v>
      </c>
      <c r="P24" s="3385"/>
      <c r="R24" s="781"/>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1"/>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1"/>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2.8</v>
      </c>
      <c r="P27" s="3428"/>
      <c r="R27" s="781"/>
    </row>
    <row r="28" spans="1:18" x14ac:dyDescent="0.2">
      <c r="A28" s="43">
        <v>10</v>
      </c>
      <c r="B28" s="3459" t="s">
        <v>42</v>
      </c>
      <c r="C28" s="3460"/>
      <c r="D28" s="3460"/>
      <c r="E28" s="3460"/>
      <c r="F28" s="3460"/>
      <c r="G28" s="3460"/>
      <c r="H28" s="3531" t="s">
        <v>183</v>
      </c>
      <c r="I28" s="3453"/>
      <c r="J28" s="3453"/>
      <c r="K28" s="3453"/>
      <c r="L28" s="3453"/>
      <c r="M28" s="3453"/>
      <c r="N28" s="146"/>
      <c r="O28" s="3396">
        <f ca="1">SUM(O23:P27)</f>
        <v>24.61</v>
      </c>
      <c r="P28" s="3397"/>
      <c r="R28" s="781"/>
    </row>
    <row r="29" spans="1:18" x14ac:dyDescent="0.2">
      <c r="A29" s="43">
        <v>11</v>
      </c>
      <c r="B29" s="2280" t="s">
        <v>104</v>
      </c>
      <c r="C29" s="2280"/>
      <c r="D29" s="2280"/>
      <c r="E29" s="2280"/>
      <c r="F29" s="2280"/>
      <c r="G29" s="2280"/>
      <c r="H29" s="2280"/>
      <c r="I29" s="2280"/>
      <c r="J29" s="2280"/>
      <c r="K29" s="2280"/>
      <c r="L29" s="2280"/>
      <c r="M29" s="2280"/>
      <c r="N29" s="2280"/>
      <c r="O29" s="3382">
        <f ca="1">KALKULATION!H459</f>
        <v>1.1000000000000001</v>
      </c>
      <c r="P29" s="3385"/>
      <c r="R29" s="781"/>
    </row>
    <row r="30" spans="1:18" x14ac:dyDescent="0.2">
      <c r="A30" s="43">
        <v>12</v>
      </c>
      <c r="B30" s="3375" t="s">
        <v>43</v>
      </c>
      <c r="C30" s="3375"/>
      <c r="D30" s="3375"/>
      <c r="E30" s="3375"/>
      <c r="F30" s="3375"/>
      <c r="G30" s="3375"/>
      <c r="H30" s="3455" t="s">
        <v>44</v>
      </c>
      <c r="I30" s="3455"/>
      <c r="J30" s="3456"/>
      <c r="K30" s="3431">
        <f ca="1">KALKULATION!H460</f>
        <v>0.28000000000000003</v>
      </c>
      <c r="L30" s="3432"/>
      <c r="M30" s="3457"/>
      <c r="N30" s="3458"/>
      <c r="O30" s="3382">
        <f ca="1">K30*O28</f>
        <v>6.89</v>
      </c>
      <c r="P30" s="3385"/>
      <c r="R30" s="781"/>
    </row>
    <row r="31" spans="1:18" x14ac:dyDescent="0.2">
      <c r="A31" s="43">
        <v>13</v>
      </c>
      <c r="B31" s="3375" t="s">
        <v>45</v>
      </c>
      <c r="C31" s="3375"/>
      <c r="D31" s="3375"/>
      <c r="E31" s="3375"/>
      <c r="F31" s="3375"/>
      <c r="G31" s="3375"/>
      <c r="H31" s="3455" t="s">
        <v>44</v>
      </c>
      <c r="I31" s="3455"/>
      <c r="J31" s="3456"/>
      <c r="K31" s="3431">
        <f ca="1">KALKULATION!H461</f>
        <v>0.72</v>
      </c>
      <c r="L31" s="3432"/>
      <c r="M31" s="3457"/>
      <c r="N31" s="3458"/>
      <c r="O31" s="3382">
        <f ca="1">K31*O28</f>
        <v>17.72</v>
      </c>
      <c r="P31" s="3385"/>
      <c r="R31" s="781"/>
    </row>
    <row r="32" spans="1:18" ht="15.75" thickBot="1" x14ac:dyDescent="0.25">
      <c r="A32" s="43">
        <v>14</v>
      </c>
      <c r="B32" s="3473" t="s">
        <v>46</v>
      </c>
      <c r="C32" s="3474"/>
      <c r="D32" s="3474"/>
      <c r="E32" s="3474"/>
      <c r="F32" s="3474"/>
      <c r="G32" s="3474"/>
      <c r="H32" s="3475" t="s">
        <v>44</v>
      </c>
      <c r="I32" s="3475"/>
      <c r="J32" s="3476"/>
      <c r="K32" s="3470">
        <f ca="1">O32/O28</f>
        <v>2.8E-3</v>
      </c>
      <c r="L32" s="3471"/>
      <c r="M32" s="3497"/>
      <c r="N32" s="3498"/>
      <c r="O32" s="3394">
        <f ca="1">KALKULATION!H462</f>
        <v>7.0000000000000007E-2</v>
      </c>
      <c r="P32" s="3428"/>
      <c r="R32" s="781"/>
    </row>
    <row r="33" spans="1:19" x14ac:dyDescent="0.2">
      <c r="A33" s="43">
        <v>15</v>
      </c>
      <c r="B33" s="3459" t="s">
        <v>47</v>
      </c>
      <c r="C33" s="3460"/>
      <c r="D33" s="3460"/>
      <c r="E33" s="3460"/>
      <c r="F33" s="3460"/>
      <c r="G33" s="3460"/>
      <c r="H33" s="3531" t="s">
        <v>184</v>
      </c>
      <c r="I33" s="3453"/>
      <c r="J33" s="3453"/>
      <c r="K33" s="3453"/>
      <c r="L33" s="3453"/>
      <c r="M33" s="3453"/>
      <c r="N33" s="3453"/>
      <c r="O33" s="3396">
        <f ca="1">SUM(O28:P32)</f>
        <v>50.39</v>
      </c>
      <c r="P33" s="3397"/>
      <c r="R33" s="781"/>
    </row>
    <row r="34" spans="1:19"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IF(_Anzeige_Prozent=_Nein,KALKULATION!G463+KALKULATION!H463/O33,KALKULATION!G463)</f>
        <v>0.06</v>
      </c>
      <c r="L34" s="3496"/>
      <c r="M34" s="3487">
        <f ca="1">IF(_Anzeige_Prozent=_Nein,"",KALKULATION!H463)</f>
        <v>3.46</v>
      </c>
      <c r="N34" s="3488"/>
      <c r="O34" s="3487">
        <f ca="1">SUM(KALKULATION!H463,KALKULATION!G463*O33)</f>
        <v>6.48</v>
      </c>
      <c r="P34" s="3488"/>
      <c r="R34" s="781"/>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1"/>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1"/>
      <c r="S36" s="767"/>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1"/>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1"/>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56.87</v>
      </c>
      <c r="P39" s="3535"/>
      <c r="R39" s="781"/>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56.87</v>
      </c>
      <c r="O40" s="3559"/>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1"/>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16.489999999999998</v>
      </c>
      <c r="P43" s="3555"/>
      <c r="R43" s="781"/>
    </row>
    <row r="44" spans="1:19" x14ac:dyDescent="0.2">
      <c r="A44" s="43">
        <v>21</v>
      </c>
      <c r="B44" s="1152" t="s">
        <v>897</v>
      </c>
      <c r="C44" s="1158"/>
      <c r="D44" s="1158"/>
      <c r="E44" s="1158"/>
      <c r="F44" s="1158"/>
      <c r="G44" s="1158"/>
      <c r="H44" s="1158"/>
      <c r="I44" s="1156"/>
      <c r="J44" s="1156"/>
      <c r="K44" s="1156"/>
      <c r="L44" s="1157"/>
      <c r="M44" s="3372" t="str">
        <f>IFERROR(IF(M39="","",SUM(M39,M43)),"")</f>
        <v/>
      </c>
      <c r="N44" s="3373"/>
      <c r="O44" s="3372">
        <f ca="1">SUM(O39:P43)</f>
        <v>73.36</v>
      </c>
      <c r="P44" s="3373"/>
      <c r="R44" s="781"/>
    </row>
    <row r="45" spans="1:19" ht="27.95" customHeight="1" x14ac:dyDescent="0.2">
      <c r="A45" s="44">
        <v>22</v>
      </c>
      <c r="B45" s="3556" t="str">
        <f>KALKULATION!C475</f>
        <v>Regielohnpreis gesamt für [Facharbeiter (&gt; 2Verwendungsjahr)]</v>
      </c>
      <c r="C45" s="3557"/>
      <c r="D45" s="3557"/>
      <c r="E45" s="3557"/>
      <c r="F45" s="3557"/>
      <c r="G45" s="3557"/>
      <c r="H45" s="3557"/>
      <c r="I45" s="3557"/>
      <c r="J45" s="3558"/>
      <c r="K45" s="3472" t="s">
        <v>186</v>
      </c>
      <c r="L45" s="3044"/>
      <c r="M45" s="1165"/>
      <c r="N45" s="3553">
        <f ca="1">IFERROR(SUM(M44:P44),"??")</f>
        <v>73.36</v>
      </c>
      <c r="O45" s="3553"/>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2026-04-30T13:35:32Z</dcterms:modified>
  <cp:contentStatus/>
</cp:coreProperties>
</file>