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filterPrivacy="1" defaultThemeVersion="124226"/>
  <xr:revisionPtr revIDLastSave="0" documentId="13_ncr:1_{D0BB8666-C693-492A-8FD3-98521BAFC7DE}" xr6:coauthVersionLast="36" xr6:coauthVersionMax="36" xr10:uidLastSave="{00000000-0000-0000-0000-000000000000}"/>
  <workbookProtection workbookPassword="C5C3" lockStructure="1"/>
  <bookViews>
    <workbookView xWindow="0" yWindow="0" windowWidth="20520" windowHeight="10455" xr2:uid="{00000000-000D-0000-FFFF-FFFF00000000}"/>
  </bookViews>
  <sheets>
    <sheet name="Tabellen" sheetId="7" r:id="rId1"/>
    <sheet name="Basiswerte" sheetId="2" state="hidden" r:id="rId2"/>
    <sheet name="Diverses" sheetId="3" state="hidden" r:id="rId3"/>
  </sheets>
  <definedNames>
    <definedName name="_30">Basiswerte!$C$14</definedName>
    <definedName name="_Arbeitszeit">Basiswerte!$I$26:$I$27</definedName>
    <definedName name="_AW08" localSheetId="1">Basiswerte!$D$7</definedName>
    <definedName name="_AW08">Basiswerte!$D$7</definedName>
    <definedName name="_AW10">Basiswerte!$D$8</definedName>
    <definedName name="_AW12">Basiswerte!$D$9</definedName>
    <definedName name="_AW14">Basiswerte!$D$10</definedName>
    <definedName name="_AW16">Basiswerte!$D$11</definedName>
    <definedName name="_AW20">Basiswerte!$D$12</definedName>
    <definedName name="_AW26">Basiswerte!$D$13</definedName>
    <definedName name="_AW30">Basiswerte!$D$14</definedName>
    <definedName name="_AW36">Basiswerte!$D$15</definedName>
    <definedName name="_AW40">Basiswerte!$D$16</definedName>
    <definedName name="_Bauteilform">Basiswerte!$I$11:$I$13</definedName>
    <definedName name="_Bauwerksart">Basiswerte!$I$5:$I$8</definedName>
    <definedName name="_G08">Basiswerte!$B$7</definedName>
    <definedName name="_G10">Basiswerte!$B$8</definedName>
    <definedName name="_G12">Basiswerte!$B$9</definedName>
    <definedName name="_G14">Basiswerte!$B$10</definedName>
    <definedName name="_G16">Basiswerte!$B$11</definedName>
    <definedName name="_G20">Basiswerte!$B$12</definedName>
    <definedName name="_G26">Basiswerte!$B$13</definedName>
    <definedName name="_G30">Basiswerte!$B$14</definedName>
    <definedName name="_G36">Basiswerte!$B$15</definedName>
    <definedName name="_G40">Basiswerte!$B$16</definedName>
    <definedName name="_Geometrie">Basiswerte!$I$16:$I$18</definedName>
    <definedName name="_M08">Basiswerte!$C$7</definedName>
    <definedName name="_M10">Basiswerte!$C$8</definedName>
    <definedName name="_M12">Basiswerte!$C$9</definedName>
    <definedName name="_M14">Basiswerte!$C$10</definedName>
    <definedName name="_M16">Basiswerte!$C$11</definedName>
    <definedName name="_M20">Basiswerte!$C$12</definedName>
    <definedName name="_M26">Basiswerte!$C$13</definedName>
    <definedName name="_M30">Basiswerte!$C$14</definedName>
    <definedName name="_M36">Basiswerte!$C$15</definedName>
    <definedName name="_M40">Basiswerte!$C$16</definedName>
    <definedName name="_Projektgröße">Basiswerte!$I$34:$I$37</definedName>
    <definedName name="_Witterung">Basiswerte!$I$30:$I$31</definedName>
    <definedName name="_Zubringung">Basiswerte!$I$20:$I$23</definedName>
    <definedName name="AWS_08">Basiswerte!$F$7</definedName>
    <definedName name="AWS_10">Basiswerte!$F$8</definedName>
    <definedName name="AWS_12">Basiswerte!$F$9</definedName>
    <definedName name="AWS_14">Basiswerte!$F$10</definedName>
    <definedName name="AWS_16">Basiswerte!$F$11</definedName>
    <definedName name="AWS_20">Basiswerte!$F$12</definedName>
    <definedName name="AWS_26">Basiswerte!$F$13</definedName>
    <definedName name="AWS_30">Basiswerte!$F$14</definedName>
    <definedName name="AWS_36">Basiswerte!$F$15</definedName>
    <definedName name="AWS_40">Basiswerte!$F$16</definedName>
    <definedName name="bis_80kg_m3">Basiswerte!$J$5</definedName>
    <definedName name="M_30">Basiswerte!$C$14</definedName>
    <definedName name="Std_to">Basiswerte!$D$7</definedName>
  </definedNames>
  <calcPr calcId="191029"/>
</workbook>
</file>

<file path=xl/calcChain.xml><?xml version="1.0" encoding="utf-8"?>
<calcChain xmlns="http://schemas.openxmlformats.org/spreadsheetml/2006/main">
  <c r="D24" i="2" l="1"/>
  <c r="E26" i="2" s="1"/>
  <c r="E27" i="2" s="1"/>
  <c r="D23" i="2"/>
  <c r="D28" i="2" l="1"/>
  <c r="AC114" i="7" s="1"/>
  <c r="AC81" i="7" l="1"/>
  <c r="AC142" i="7"/>
  <c r="AE115" i="7"/>
  <c r="AC55" i="7"/>
  <c r="AE58" i="7"/>
  <c r="D53" i="7"/>
  <c r="D74" i="7" l="1"/>
  <c r="D84" i="7" s="1"/>
  <c r="D118" i="7" s="1"/>
  <c r="I69" i="7" l="1"/>
  <c r="L69" i="7"/>
  <c r="D3" i="2" s="1"/>
  <c r="M69" i="7"/>
  <c r="E3" i="2" s="1"/>
  <c r="G69" i="7" l="1"/>
  <c r="F69" i="7"/>
  <c r="L68" i="7"/>
  <c r="D4" i="2" s="1"/>
  <c r="S136" i="7" l="1"/>
  <c r="M68" i="7" l="1"/>
  <c r="E4" i="2" s="1"/>
  <c r="AE139" i="7"/>
  <c r="AE88" i="7"/>
  <c r="AE87" i="7"/>
  <c r="AE86" i="7"/>
  <c r="Z83" i="7"/>
  <c r="Z117" i="7" s="1"/>
  <c r="Q139" i="7" l="1"/>
  <c r="Q138" i="7"/>
  <c r="Q137" i="7"/>
  <c r="Q136" i="7"/>
  <c r="Q130" i="7"/>
  <c r="Q129" i="7"/>
  <c r="Q128" i="7"/>
  <c r="Q127" i="7"/>
  <c r="Q126" i="7"/>
  <c r="Q125" i="7"/>
  <c r="Q124" i="7"/>
  <c r="Q123" i="7"/>
  <c r="Q12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76" i="7"/>
  <c r="Q77" i="7"/>
  <c r="Q78" i="7"/>
  <c r="Q75" i="7"/>
  <c r="H63" i="7"/>
  <c r="E63" i="7"/>
  <c r="W136" i="7" l="1"/>
  <c r="V136" i="7"/>
  <c r="O129" i="7"/>
  <c r="P129" i="7"/>
  <c r="R129" i="7"/>
  <c r="S129" i="7"/>
  <c r="V129" i="7" s="1"/>
  <c r="O130" i="7"/>
  <c r="P130" i="7"/>
  <c r="R130" i="7"/>
  <c r="S130" i="7"/>
  <c r="V130" i="7" s="1"/>
  <c r="D140" i="7"/>
  <c r="S139" i="7"/>
  <c r="R139" i="7"/>
  <c r="P139" i="7"/>
  <c r="O139" i="7"/>
  <c r="S138" i="7"/>
  <c r="R138" i="7"/>
  <c r="P138" i="7"/>
  <c r="O138" i="7"/>
  <c r="S137" i="7"/>
  <c r="R137" i="7"/>
  <c r="P137" i="7"/>
  <c r="O137" i="7"/>
  <c r="R136" i="7"/>
  <c r="P136" i="7"/>
  <c r="O136" i="7"/>
  <c r="S128" i="7"/>
  <c r="W128" i="7" s="1"/>
  <c r="R128" i="7"/>
  <c r="P128" i="7"/>
  <c r="O128" i="7"/>
  <c r="S127" i="7"/>
  <c r="W127" i="7" s="1"/>
  <c r="R127" i="7"/>
  <c r="P127" i="7"/>
  <c r="O127" i="7"/>
  <c r="S126" i="7"/>
  <c r="V126" i="7" s="1"/>
  <c r="R126" i="7"/>
  <c r="P126" i="7"/>
  <c r="O126" i="7"/>
  <c r="S125" i="7"/>
  <c r="V125" i="7" s="1"/>
  <c r="R125" i="7"/>
  <c r="P125" i="7"/>
  <c r="O125" i="7"/>
  <c r="S124" i="7"/>
  <c r="V124" i="7" s="1"/>
  <c r="R124" i="7"/>
  <c r="P124" i="7"/>
  <c r="O124" i="7"/>
  <c r="S123" i="7"/>
  <c r="V123" i="7" s="1"/>
  <c r="R123" i="7"/>
  <c r="P123" i="7"/>
  <c r="O123" i="7"/>
  <c r="S122" i="7"/>
  <c r="W122" i="7" s="1"/>
  <c r="R122" i="7"/>
  <c r="P122" i="7"/>
  <c r="O122" i="7"/>
  <c r="D112" i="7"/>
  <c r="S111" i="7"/>
  <c r="R111" i="7"/>
  <c r="P111" i="7"/>
  <c r="O111" i="7"/>
  <c r="S110" i="7"/>
  <c r="R110" i="7"/>
  <c r="P110" i="7"/>
  <c r="O110" i="7"/>
  <c r="S109" i="7"/>
  <c r="R109" i="7"/>
  <c r="P109" i="7"/>
  <c r="O109" i="7"/>
  <c r="S108" i="7"/>
  <c r="R108" i="7"/>
  <c r="P108" i="7"/>
  <c r="O108" i="7"/>
  <c r="S107" i="7"/>
  <c r="R107" i="7"/>
  <c r="P107" i="7"/>
  <c r="O107" i="7"/>
  <c r="S106" i="7"/>
  <c r="R106" i="7"/>
  <c r="P106" i="7"/>
  <c r="O106" i="7"/>
  <c r="S105" i="7"/>
  <c r="R105" i="7"/>
  <c r="P105" i="7"/>
  <c r="O105" i="7"/>
  <c r="S104" i="7"/>
  <c r="R104" i="7"/>
  <c r="P104" i="7"/>
  <c r="O104" i="7"/>
  <c r="S103" i="7"/>
  <c r="R103" i="7"/>
  <c r="P103" i="7"/>
  <c r="O103" i="7"/>
  <c r="S102" i="7"/>
  <c r="R102" i="7"/>
  <c r="P102" i="7"/>
  <c r="O102" i="7"/>
  <c r="S101" i="7"/>
  <c r="R101" i="7"/>
  <c r="P101" i="7"/>
  <c r="O101" i="7"/>
  <c r="S100" i="7"/>
  <c r="R100" i="7"/>
  <c r="P100" i="7"/>
  <c r="O100" i="7"/>
  <c r="S99" i="7"/>
  <c r="R99" i="7"/>
  <c r="P99" i="7"/>
  <c r="O99" i="7"/>
  <c r="S98" i="7"/>
  <c r="R98" i="7"/>
  <c r="P98" i="7"/>
  <c r="O98" i="7"/>
  <c r="S97" i="7"/>
  <c r="R97" i="7"/>
  <c r="P97" i="7"/>
  <c r="O97" i="7"/>
  <c r="S96" i="7"/>
  <c r="R96" i="7"/>
  <c r="P96" i="7"/>
  <c r="O96" i="7"/>
  <c r="S95" i="7"/>
  <c r="R95" i="7"/>
  <c r="P95" i="7"/>
  <c r="O95" i="7"/>
  <c r="S94" i="7"/>
  <c r="R94" i="7"/>
  <c r="P94" i="7"/>
  <c r="O94" i="7"/>
  <c r="S93" i="7"/>
  <c r="R93" i="7"/>
  <c r="P93" i="7"/>
  <c r="O93" i="7"/>
  <c r="S92" i="7"/>
  <c r="R92" i="7"/>
  <c r="P92" i="7"/>
  <c r="O92" i="7"/>
  <c r="S91" i="7"/>
  <c r="R91" i="7"/>
  <c r="P91" i="7"/>
  <c r="O91" i="7"/>
  <c r="S90" i="7"/>
  <c r="R90" i="7"/>
  <c r="P90" i="7"/>
  <c r="O90" i="7"/>
  <c r="S89" i="7"/>
  <c r="R89" i="7"/>
  <c r="P89" i="7"/>
  <c r="O89" i="7"/>
  <c r="S88" i="7"/>
  <c r="R88" i="7"/>
  <c r="P88" i="7"/>
  <c r="O88" i="7"/>
  <c r="S87" i="7"/>
  <c r="R87" i="7"/>
  <c r="P87" i="7"/>
  <c r="O87" i="7"/>
  <c r="S86" i="7"/>
  <c r="R86" i="7"/>
  <c r="P86" i="7"/>
  <c r="O86" i="7"/>
  <c r="S85" i="7"/>
  <c r="R85" i="7"/>
  <c r="P85" i="7"/>
  <c r="O85" i="7"/>
  <c r="D79" i="7"/>
  <c r="S78" i="7"/>
  <c r="R78" i="7"/>
  <c r="P78" i="7"/>
  <c r="O78" i="7"/>
  <c r="S77" i="7"/>
  <c r="R77" i="7"/>
  <c r="P77" i="7"/>
  <c r="O77" i="7"/>
  <c r="S76" i="7"/>
  <c r="R76" i="7"/>
  <c r="P76" i="7"/>
  <c r="O76" i="7"/>
  <c r="S75" i="7"/>
  <c r="R75" i="7"/>
  <c r="P75" i="7"/>
  <c r="O75" i="7"/>
  <c r="E62" i="7"/>
  <c r="E61" i="7"/>
  <c r="S52" i="7"/>
  <c r="R52" i="7"/>
  <c r="S51" i="7"/>
  <c r="W137" i="7" l="1"/>
  <c r="V137" i="7"/>
  <c r="W138" i="7"/>
  <c r="V138" i="7"/>
  <c r="W139" i="7"/>
  <c r="V139" i="7"/>
  <c r="W130" i="7"/>
  <c r="W129" i="7"/>
  <c r="V122" i="7"/>
  <c r="W124" i="7"/>
  <c r="W123" i="7"/>
  <c r="Y130" i="7"/>
  <c r="X130" i="7"/>
  <c r="Y129" i="7"/>
  <c r="X129" i="7"/>
  <c r="V128" i="7"/>
  <c r="V127" i="7"/>
  <c r="W126" i="7"/>
  <c r="W125" i="7"/>
  <c r="Y123" i="7"/>
  <c r="X123" i="7"/>
  <c r="Y124" i="7"/>
  <c r="X124" i="7"/>
  <c r="Y125" i="7"/>
  <c r="X125" i="7"/>
  <c r="Y126" i="7"/>
  <c r="X126" i="7"/>
  <c r="Y127" i="7"/>
  <c r="X127" i="7"/>
  <c r="Y128" i="7"/>
  <c r="X128" i="7"/>
  <c r="Y122" i="7"/>
  <c r="X122" i="7"/>
  <c r="E68" i="7"/>
  <c r="F68" i="7" s="1"/>
  <c r="Y52" i="7"/>
  <c r="X52" i="7"/>
  <c r="Y51" i="7"/>
  <c r="AC51" i="7" s="1"/>
  <c r="X51" i="7"/>
  <c r="AB51" i="7" s="1"/>
  <c r="H61" i="7"/>
  <c r="H68" i="7" s="1"/>
  <c r="AE51" i="7" l="1"/>
  <c r="J68" i="7"/>
  <c r="I68" i="7"/>
  <c r="X76" i="7"/>
  <c r="Z76" i="7" s="1"/>
  <c r="X77" i="7"/>
  <c r="Z77" i="7" s="1"/>
  <c r="X78" i="7"/>
  <c r="Z78" i="7" s="1"/>
  <c r="Z51" i="7"/>
  <c r="Z52" i="7"/>
  <c r="AB52" i="7"/>
  <c r="AA52" i="7"/>
  <c r="AC52" i="7"/>
  <c r="AA51" i="7"/>
  <c r="Z127" i="7"/>
  <c r="Z128" i="7"/>
  <c r="X75" i="7"/>
  <c r="Z75" i="7" s="1"/>
  <c r="Z130" i="7"/>
  <c r="Z129" i="7"/>
  <c r="Z125" i="7"/>
  <c r="Z122" i="7"/>
  <c r="X99" i="7"/>
  <c r="Z99" i="7" s="1"/>
  <c r="X139" i="7"/>
  <c r="Z139" i="7" s="1"/>
  <c r="Z123" i="7"/>
  <c r="X104" i="7"/>
  <c r="Z104" i="7" s="1"/>
  <c r="X103" i="7"/>
  <c r="Z103" i="7" s="1"/>
  <c r="X97" i="7"/>
  <c r="Z97" i="7" s="1"/>
  <c r="X98" i="7"/>
  <c r="Z98" i="7" s="1"/>
  <c r="X109" i="7"/>
  <c r="Z109" i="7" s="1"/>
  <c r="X93" i="7"/>
  <c r="Z93" i="7" s="1"/>
  <c r="X100" i="7"/>
  <c r="Z100" i="7" s="1"/>
  <c r="X110" i="7"/>
  <c r="Z110" i="7" s="1"/>
  <c r="X94" i="7"/>
  <c r="Z94" i="7" s="1"/>
  <c r="X85" i="7"/>
  <c r="Z85" i="7" s="1"/>
  <c r="X96" i="7"/>
  <c r="Z96" i="7" s="1"/>
  <c r="X136" i="7"/>
  <c r="Z136" i="7" s="1"/>
  <c r="X91" i="7"/>
  <c r="Z91" i="7" s="1"/>
  <c r="X95" i="7"/>
  <c r="Z95" i="7" s="1"/>
  <c r="X105" i="7"/>
  <c r="Z105" i="7" s="1"/>
  <c r="X89" i="7"/>
  <c r="Z89" i="7" s="1"/>
  <c r="X92" i="7"/>
  <c r="Z92" i="7" s="1"/>
  <c r="X106" i="7"/>
  <c r="Z106" i="7" s="1"/>
  <c r="X90" i="7"/>
  <c r="Z90" i="7" s="1"/>
  <c r="X87" i="7"/>
  <c r="Z87" i="7" s="1"/>
  <c r="Z126" i="7"/>
  <c r="X101" i="7"/>
  <c r="Z101" i="7" s="1"/>
  <c r="X102" i="7"/>
  <c r="Z102" i="7" s="1"/>
  <c r="X86" i="7"/>
  <c r="Z86" i="7" s="1"/>
  <c r="X108" i="7"/>
  <c r="Z108" i="7" s="1"/>
  <c r="X88" i="7"/>
  <c r="Z88" i="7" s="1"/>
  <c r="Z124" i="7"/>
  <c r="X138" i="7"/>
  <c r="Z138" i="7" s="1"/>
  <c r="X111" i="7"/>
  <c r="Z111" i="7" s="1"/>
  <c r="G68" i="7"/>
  <c r="X107" i="7"/>
  <c r="Z107" i="7" s="1"/>
  <c r="X137" i="7"/>
  <c r="Z137" i="7" s="1"/>
  <c r="B26" i="3"/>
  <c r="C26" i="3"/>
  <c r="D26" i="3"/>
  <c r="C25" i="3"/>
  <c r="D25" i="3"/>
  <c r="B25" i="3"/>
  <c r="C23" i="3"/>
  <c r="C27" i="3" s="1"/>
  <c r="D23" i="3"/>
  <c r="D27" i="3" s="1"/>
  <c r="B23" i="3"/>
  <c r="B27" i="3" s="1"/>
  <c r="B28" i="3" s="1"/>
  <c r="D28" i="3" l="1"/>
  <c r="C28" i="3"/>
  <c r="AE52" i="7"/>
  <c r="AE53" i="7" s="1"/>
  <c r="AD54" i="7" s="1"/>
  <c r="V75" i="7"/>
  <c r="AB75" i="7" s="1"/>
  <c r="V97" i="7"/>
  <c r="AB97" i="7" s="1"/>
  <c r="AE97" i="7" s="1"/>
  <c r="V78" i="7"/>
  <c r="AB78" i="7" s="1"/>
  <c r="V90" i="7"/>
  <c r="AB90" i="7" s="1"/>
  <c r="V86" i="7"/>
  <c r="AB86" i="7" s="1"/>
  <c r="V99" i="7"/>
  <c r="AB99" i="7" s="1"/>
  <c r="AE99" i="7" s="1"/>
  <c r="V95" i="7"/>
  <c r="AB95" i="7" s="1"/>
  <c r="AE95" i="7" s="1"/>
  <c r="V106" i="7"/>
  <c r="AB106" i="7" s="1"/>
  <c r="AE106" i="7" s="1"/>
  <c r="V76" i="7"/>
  <c r="AB76" i="7" s="1"/>
  <c r="V104" i="7"/>
  <c r="AB104" i="7" s="1"/>
  <c r="AE104" i="7" s="1"/>
  <c r="V111" i="7"/>
  <c r="AB111" i="7" s="1"/>
  <c r="AE111" i="7" s="1"/>
  <c r="V110" i="7"/>
  <c r="AB110" i="7" s="1"/>
  <c r="AE110" i="7" s="1"/>
  <c r="V107" i="7"/>
  <c r="AB107" i="7" s="1"/>
  <c r="V92" i="7"/>
  <c r="AB92" i="7" s="1"/>
  <c r="AE92" i="7" s="1"/>
  <c r="V87" i="7"/>
  <c r="AB87" i="7" s="1"/>
  <c r="V89" i="7"/>
  <c r="AB89" i="7" s="1"/>
  <c r="V102" i="7"/>
  <c r="AB102" i="7" s="1"/>
  <c r="AE102" i="7" s="1"/>
  <c r="V100" i="7"/>
  <c r="AB100" i="7" s="1"/>
  <c r="AE100" i="7" s="1"/>
  <c r="V98" i="7"/>
  <c r="AB98" i="7" s="1"/>
  <c r="AE98" i="7" s="1"/>
  <c r="V108" i="7"/>
  <c r="AB108" i="7" s="1"/>
  <c r="AE108" i="7" s="1"/>
  <c r="V77" i="7"/>
  <c r="AB77" i="7" s="1"/>
  <c r="V96" i="7"/>
  <c r="AB96" i="7" s="1"/>
  <c r="AE96" i="7" s="1"/>
  <c r="V103" i="7"/>
  <c r="AB103" i="7" s="1"/>
  <c r="AE103" i="7" s="1"/>
  <c r="V105" i="7"/>
  <c r="AB105" i="7" s="1"/>
  <c r="AE105" i="7" s="1"/>
  <c r="V101" i="7"/>
  <c r="AB101" i="7" s="1"/>
  <c r="AE101" i="7" s="1"/>
  <c r="V93" i="7"/>
  <c r="AB93" i="7" s="1"/>
  <c r="AE93" i="7" s="1"/>
  <c r="V91" i="7"/>
  <c r="AB91" i="7" s="1"/>
  <c r="AE91" i="7" s="1"/>
  <c r="V88" i="7"/>
  <c r="AB88" i="7" s="1"/>
  <c r="V94" i="7"/>
  <c r="AB94" i="7" s="1"/>
  <c r="AE94" i="7" s="1"/>
  <c r="V85" i="7"/>
  <c r="AB85" i="7" s="1"/>
  <c r="AE85" i="7" s="1"/>
  <c r="V109" i="7"/>
  <c r="AB109" i="7" s="1"/>
  <c r="AE109" i="7" s="1"/>
  <c r="W106" i="7"/>
  <c r="W77" i="7"/>
  <c r="W99" i="7"/>
  <c r="W76" i="7"/>
  <c r="W100" i="7"/>
  <c r="W98" i="7"/>
  <c r="W93" i="7"/>
  <c r="W91" i="7"/>
  <c r="W107" i="7"/>
  <c r="W89" i="7"/>
  <c r="W92" i="7"/>
  <c r="W108" i="7"/>
  <c r="W110" i="7"/>
  <c r="W97" i="7"/>
  <c r="W85" i="7"/>
  <c r="W109" i="7"/>
  <c r="W94" i="7"/>
  <c r="W75" i="7"/>
  <c r="W86" i="7"/>
  <c r="W87" i="7"/>
  <c r="W88" i="7"/>
  <c r="W102" i="7"/>
  <c r="W105" i="7"/>
  <c r="W104" i="7"/>
  <c r="W90" i="7"/>
  <c r="W101" i="7"/>
  <c r="W111" i="7"/>
  <c r="W78" i="7"/>
  <c r="W95" i="7"/>
  <c r="W96" i="7"/>
  <c r="W103" i="7"/>
  <c r="Y78" i="7"/>
  <c r="AA78" i="7" s="1"/>
  <c r="Y77" i="7"/>
  <c r="AA77" i="7" s="1"/>
  <c r="Y76" i="7"/>
  <c r="AA76" i="7" s="1"/>
  <c r="Z53" i="7"/>
  <c r="Z54" i="7" s="1"/>
  <c r="AA53" i="7"/>
  <c r="AA54" i="7" s="1"/>
  <c r="AB124" i="7"/>
  <c r="AB137" i="7"/>
  <c r="AB138" i="7"/>
  <c r="AE138" i="7" s="1"/>
  <c r="AB139" i="7"/>
  <c r="AB136" i="7"/>
  <c r="AB125" i="7"/>
  <c r="AB126" i="7"/>
  <c r="AB127" i="7"/>
  <c r="AB129" i="7"/>
  <c r="AB128" i="7"/>
  <c r="AB123" i="7"/>
  <c r="AE123" i="7" s="1"/>
  <c r="AB122" i="7"/>
  <c r="AB130" i="7"/>
  <c r="AA122" i="7"/>
  <c r="AA130" i="7"/>
  <c r="AA129" i="7"/>
  <c r="Y139" i="7"/>
  <c r="AA139" i="7" s="1"/>
  <c r="Y138" i="7"/>
  <c r="AA138" i="7" s="1"/>
  <c r="Y137" i="7"/>
  <c r="AA137" i="7" s="1"/>
  <c r="Y136" i="7"/>
  <c r="AA136" i="7" s="1"/>
  <c r="AA128" i="7"/>
  <c r="AA124" i="7"/>
  <c r="AA127" i="7"/>
  <c r="AA123" i="7"/>
  <c r="AA126" i="7"/>
  <c r="AA125" i="7"/>
  <c r="Y111" i="7"/>
  <c r="AA111" i="7" s="1"/>
  <c r="Y107" i="7"/>
  <c r="AA107" i="7" s="1"/>
  <c r="Y103" i="7"/>
  <c r="AA103" i="7" s="1"/>
  <c r="Y99" i="7"/>
  <c r="AA99" i="7" s="1"/>
  <c r="Y95" i="7"/>
  <c r="AA95" i="7" s="1"/>
  <c r="Y91" i="7"/>
  <c r="AA91" i="7" s="1"/>
  <c r="Y87" i="7"/>
  <c r="AA87" i="7" s="1"/>
  <c r="Y105" i="7"/>
  <c r="AA105" i="7" s="1"/>
  <c r="Y85" i="7"/>
  <c r="AA85" i="7" s="1"/>
  <c r="Y104" i="7"/>
  <c r="AA104" i="7" s="1"/>
  <c r="Y110" i="7"/>
  <c r="AA110" i="7" s="1"/>
  <c r="Y106" i="7"/>
  <c r="AA106" i="7" s="1"/>
  <c r="Y102" i="7"/>
  <c r="AA102" i="7" s="1"/>
  <c r="Y98" i="7"/>
  <c r="AA98" i="7" s="1"/>
  <c r="Y94" i="7"/>
  <c r="AA94" i="7" s="1"/>
  <c r="Y90" i="7"/>
  <c r="AA90" i="7" s="1"/>
  <c r="Y86" i="7"/>
  <c r="AA86" i="7" s="1"/>
  <c r="Y109" i="7"/>
  <c r="AA109" i="7" s="1"/>
  <c r="Y101" i="7"/>
  <c r="AA101" i="7" s="1"/>
  <c r="Y97" i="7"/>
  <c r="AA97" i="7" s="1"/>
  <c r="Y93" i="7"/>
  <c r="AA93" i="7" s="1"/>
  <c r="Y89" i="7"/>
  <c r="AA89" i="7" s="1"/>
  <c r="Y108" i="7"/>
  <c r="AA108" i="7" s="1"/>
  <c r="Y100" i="7"/>
  <c r="AA100" i="7" s="1"/>
  <c r="Y96" i="7"/>
  <c r="AA96" i="7" s="1"/>
  <c r="Y92" i="7"/>
  <c r="AA92" i="7" s="1"/>
  <c r="Y88" i="7"/>
  <c r="AA88" i="7" s="1"/>
  <c r="Y75" i="7"/>
  <c r="AA75" i="7" s="1"/>
  <c r="Z140" i="7"/>
  <c r="Z141" i="7" s="1"/>
  <c r="Z79" i="7"/>
  <c r="Z80" i="7" s="1"/>
  <c r="Z112" i="7"/>
  <c r="Z113" i="7" s="1"/>
  <c r="F5" i="3"/>
  <c r="G5" i="3" s="1"/>
  <c r="C5" i="3"/>
  <c r="D5" i="3" s="1"/>
  <c r="F6" i="3"/>
  <c r="C6" i="3"/>
  <c r="F7" i="3"/>
  <c r="C7" i="3"/>
  <c r="D7" i="3" s="1"/>
  <c r="F8" i="3"/>
  <c r="C8" i="3"/>
  <c r="G8" i="3" s="1"/>
  <c r="F9" i="3"/>
  <c r="G9" i="3" s="1"/>
  <c r="C9" i="3"/>
  <c r="F10" i="3"/>
  <c r="C10" i="3"/>
  <c r="F11" i="3"/>
  <c r="C11" i="3"/>
  <c r="G11" i="3"/>
  <c r="F12" i="3"/>
  <c r="C12" i="3"/>
  <c r="D12" i="3" s="1"/>
  <c r="F13" i="3"/>
  <c r="C13" i="3"/>
  <c r="D13" i="3" s="1"/>
  <c r="F14" i="3"/>
  <c r="G14" i="3" s="1"/>
  <c r="C14" i="3"/>
  <c r="D14" i="3" s="1"/>
  <c r="E15" i="3"/>
  <c r="D11" i="3"/>
  <c r="D10" i="3"/>
  <c r="D9" i="3"/>
  <c r="D6" i="3"/>
  <c r="C8" i="2"/>
  <c r="E8" i="2" s="1"/>
  <c r="C9" i="2"/>
  <c r="E9" i="2" s="1"/>
  <c r="C10" i="2"/>
  <c r="E10" i="2" s="1"/>
  <c r="C11" i="2"/>
  <c r="E11" i="2" s="1"/>
  <c r="C12" i="2"/>
  <c r="E12" i="2" s="1"/>
  <c r="C13" i="2"/>
  <c r="E13" i="2" s="1"/>
  <c r="C14" i="2"/>
  <c r="E14" i="2" s="1"/>
  <c r="C15" i="2"/>
  <c r="E15" i="2" s="1"/>
  <c r="C16" i="2"/>
  <c r="E16" i="2" s="1"/>
  <c r="C7" i="2"/>
  <c r="E7" i="2" s="1"/>
  <c r="F15" i="3" l="1"/>
  <c r="G12" i="3"/>
  <c r="D8" i="3"/>
  <c r="AC139" i="7"/>
  <c r="AC137" i="7"/>
  <c r="AE137" i="7" s="1"/>
  <c r="AC136" i="7"/>
  <c r="AE136" i="7" s="1"/>
  <c r="AC130" i="7"/>
  <c r="AE130" i="7" s="1"/>
  <c r="AC138" i="7"/>
  <c r="AC127" i="7"/>
  <c r="AE127" i="7" s="1"/>
  <c r="AC124" i="7"/>
  <c r="AE124" i="7" s="1"/>
  <c r="AC129" i="7"/>
  <c r="AE129" i="7" s="1"/>
  <c r="AC126" i="7"/>
  <c r="AE126" i="7" s="1"/>
  <c r="AC125" i="7"/>
  <c r="AE125" i="7" s="1"/>
  <c r="AC122" i="7"/>
  <c r="AE122" i="7" s="1"/>
  <c r="AC123" i="7"/>
  <c r="AC128" i="7"/>
  <c r="AE128" i="7" s="1"/>
  <c r="AC88" i="7"/>
  <c r="AC104" i="7"/>
  <c r="AC89" i="7"/>
  <c r="AE89" i="7" s="1"/>
  <c r="AC97" i="7"/>
  <c r="AC105" i="7"/>
  <c r="AC85" i="7"/>
  <c r="AC90" i="7"/>
  <c r="AE90" i="7" s="1"/>
  <c r="AC98" i="7"/>
  <c r="AC106" i="7"/>
  <c r="AC91" i="7"/>
  <c r="AC99" i="7"/>
  <c r="AC107" i="7"/>
  <c r="AE107" i="7" s="1"/>
  <c r="AC87" i="7"/>
  <c r="AC92" i="7"/>
  <c r="AC100" i="7"/>
  <c r="AC108" i="7"/>
  <c r="AC93" i="7"/>
  <c r="AC101" i="7"/>
  <c r="AC109" i="7"/>
  <c r="AC96" i="7"/>
  <c r="AC86" i="7"/>
  <c r="AC94" i="7"/>
  <c r="AC102" i="7"/>
  <c r="AC110" i="7"/>
  <c r="AC95" i="7"/>
  <c r="AC103" i="7"/>
  <c r="AC111" i="7"/>
  <c r="AC76" i="7"/>
  <c r="AE76" i="7" s="1"/>
  <c r="AC78" i="7"/>
  <c r="AE78" i="7" s="1"/>
  <c r="AC77" i="7"/>
  <c r="AE77" i="7" s="1"/>
  <c r="AC75" i="7"/>
  <c r="AE75" i="7" s="1"/>
  <c r="G13" i="3"/>
  <c r="G10" i="3"/>
  <c r="G6" i="3"/>
  <c r="AA79" i="7"/>
  <c r="AA80" i="7" s="1"/>
  <c r="AA112" i="7"/>
  <c r="AA113" i="7" s="1"/>
  <c r="AA140" i="7"/>
  <c r="AA141" i="7" s="1"/>
  <c r="G7" i="3"/>
  <c r="G15" i="3" l="1"/>
  <c r="AE140" i="7"/>
  <c r="AD141" i="7" s="1"/>
  <c r="AE112" i="7"/>
  <c r="AD113" i="7" s="1"/>
  <c r="AE79" i="7"/>
  <c r="AD80" i="7" s="1"/>
  <c r="G16" i="3"/>
  <c r="G17" i="3" s="1"/>
</calcChain>
</file>

<file path=xl/sharedStrings.xml><?xml version="1.0" encoding="utf-8"?>
<sst xmlns="http://schemas.openxmlformats.org/spreadsheetml/2006/main" count="372" uniqueCount="234">
  <si>
    <t>12 mm</t>
  </si>
  <si>
    <t>Std/to</t>
  </si>
  <si>
    <t>16 mm</t>
  </si>
  <si>
    <t>8 mm</t>
  </si>
  <si>
    <t>10 mm</t>
  </si>
  <si>
    <t>14 mm</t>
  </si>
  <si>
    <t>20 mm</t>
  </si>
  <si>
    <t>26 mm</t>
  </si>
  <si>
    <t>30 mm</t>
  </si>
  <si>
    <t>36 mm</t>
  </si>
  <si>
    <t>40 mm</t>
  </si>
  <si>
    <t>kg/m</t>
  </si>
  <si>
    <t>m/to</t>
  </si>
  <si>
    <t>Std/m</t>
  </si>
  <si>
    <t>AW</t>
  </si>
  <si>
    <t>DN</t>
  </si>
  <si>
    <t>Faktor</t>
  </si>
  <si>
    <t>Arbeitszeit</t>
  </si>
  <si>
    <t>Zubringmöglichkeit</t>
  </si>
  <si>
    <t>Witterung</t>
  </si>
  <si>
    <t>Untere Variable</t>
  </si>
  <si>
    <t>Obere Variable</t>
  </si>
  <si>
    <t>von</t>
  </si>
  <si>
    <t>bis</t>
  </si>
  <si>
    <t>3: Kran beigestellt</t>
  </si>
  <si>
    <t>1: Normal-AZ</t>
  </si>
  <si>
    <t>2: Tag- und Nacht</t>
  </si>
  <si>
    <t>1: ganzjährig</t>
  </si>
  <si>
    <t>2: ohne Winterarbeit</t>
  </si>
  <si>
    <t>070105V</t>
  </si>
  <si>
    <t>Bewehrung Stabst.Betonfundament</t>
  </si>
  <si>
    <t>070103V</t>
  </si>
  <si>
    <t>Bewehrung Stabst.Unterbeton</t>
  </si>
  <si>
    <t>070107V</t>
  </si>
  <si>
    <t>Bewehrung Stabst.Fundamentplatte</t>
  </si>
  <si>
    <t>070113V</t>
  </si>
  <si>
    <t>Bewehrung Stabst.Unterfangung-Fundamente</t>
  </si>
  <si>
    <t>070201V</t>
  </si>
  <si>
    <t>Bewehrung Stabst.Betonwand b.3,2m</t>
  </si>
  <si>
    <t>070203V</t>
  </si>
  <si>
    <t>070209V</t>
  </si>
  <si>
    <t>Bewehrung Stabst.Beton Brüstung/Schürze</t>
  </si>
  <si>
    <t>070214T</t>
  </si>
  <si>
    <t>Bewehrung Stabst.Beton Stützen b.3,2m</t>
  </si>
  <si>
    <t>070215T</t>
  </si>
  <si>
    <t>070218V</t>
  </si>
  <si>
    <t>Bewehrung Stabst.Beton Balk/Rost b.3,2m</t>
  </si>
  <si>
    <t>070219V</t>
  </si>
  <si>
    <t>070234U</t>
  </si>
  <si>
    <t>Bewehrung Stabst.f.Wandsockel</t>
  </si>
  <si>
    <t>070301V</t>
  </si>
  <si>
    <t>Bewehrung Stabst.D/Kragpl.b.3,2m</t>
  </si>
  <si>
    <t>070302V</t>
  </si>
  <si>
    <t>070313V</t>
  </si>
  <si>
    <t>Bewehrung Stabst.Plattenbalkend.b.3,2m</t>
  </si>
  <si>
    <t>070314V</t>
  </si>
  <si>
    <t>070316V</t>
  </si>
  <si>
    <t>Bewehrung Stabst.KassettenD b.3,2m</t>
  </si>
  <si>
    <t>070317V</t>
  </si>
  <si>
    <t>Bewehrung Stabst.KassettenD ü.3,2m:</t>
  </si>
  <si>
    <t>070319V</t>
  </si>
  <si>
    <t>Bewehrung Stabst.Platte Aufzugsschacht</t>
  </si>
  <si>
    <t>070325V</t>
  </si>
  <si>
    <t>Bewehrung Stabst.Stiege b.3,2m</t>
  </si>
  <si>
    <t>070326V</t>
  </si>
  <si>
    <t>070405V</t>
  </si>
  <si>
    <t>Bewehrung Stabst.Sargdeckel b.3,2m</t>
  </si>
  <si>
    <t>070406V</t>
  </si>
  <si>
    <t>070801V</t>
  </si>
  <si>
    <t>Bewehrung Schacht Stabstahl</t>
  </si>
  <si>
    <t>070802V</t>
  </si>
  <si>
    <t>Bewehrung Kollektor Stabstahl</t>
  </si>
  <si>
    <t>070803V</t>
  </si>
  <si>
    <t>Bewehrung Stabst.Maschinensockel</t>
  </si>
  <si>
    <t>070808V</t>
  </si>
  <si>
    <t>Bewehrung Stabst.Trafoaufstellplatz</t>
  </si>
  <si>
    <t>M-Fakt</t>
  </si>
  <si>
    <t>Projektgröße</t>
  </si>
  <si>
    <t>bis 1 to</t>
  </si>
  <si>
    <t>1 - 5 to</t>
  </si>
  <si>
    <t>5 -10 to</t>
  </si>
  <si>
    <t>über 10</t>
  </si>
  <si>
    <t>Summe</t>
  </si>
  <si>
    <t>2: 10 bis 50 to</t>
  </si>
  <si>
    <t>3: 50 bis 500 to</t>
  </si>
  <si>
    <t>4: über 500 to</t>
  </si>
  <si>
    <t>12 bis 16 mm</t>
  </si>
  <si>
    <t>20 bis 30 mm</t>
  </si>
  <si>
    <t>8 und 10 mm</t>
  </si>
  <si>
    <t>Positionsmenge</t>
  </si>
  <si>
    <t>DM</t>
  </si>
  <si>
    <t>Gewichts-anteile</t>
  </si>
  <si>
    <t>kg</t>
  </si>
  <si>
    <t>lfm</t>
  </si>
  <si>
    <t>durchschn kg pro lfm</t>
  </si>
  <si>
    <t>durchschnittl DM</t>
  </si>
  <si>
    <t>Bauwerksart</t>
  </si>
  <si>
    <t>4: Kran eigener</t>
  </si>
  <si>
    <t>1: Wohnbau</t>
  </si>
  <si>
    <t>2: Büro- oder Schulbau</t>
  </si>
  <si>
    <t>1: bis zu 10 to</t>
  </si>
  <si>
    <t>Gebäudegeometrie</t>
  </si>
  <si>
    <t>2: Durchschnitt</t>
  </si>
  <si>
    <t>310201B</t>
  </si>
  <si>
    <t>Betonstahl B550B Bauteil</t>
  </si>
  <si>
    <t xml:space="preserve">310201D </t>
  </si>
  <si>
    <t>Betonstahl B550A Bauteil</t>
  </si>
  <si>
    <t>LG 31</t>
  </si>
  <si>
    <t>Beton-, Stahlbeton- und Mauerungsarbeiten</t>
  </si>
  <si>
    <t>Bewehrung</t>
  </si>
  <si>
    <t>LG 66</t>
  </si>
  <si>
    <t>Betonarbeiten UT</t>
  </si>
  <si>
    <t xml:space="preserve">660802A </t>
  </si>
  <si>
    <t>Betonstahl, Sorte B550B, Stab, Gewölbe</t>
  </si>
  <si>
    <t xml:space="preserve">660803A </t>
  </si>
  <si>
    <t>Betonstahl, Sorte B550B, Stab, Sohle</t>
  </si>
  <si>
    <t xml:space="preserve">660804A </t>
  </si>
  <si>
    <t>Betonstahl, Sorte B550B, Stab, ZWD/TW</t>
  </si>
  <si>
    <t>660805A</t>
  </si>
  <si>
    <t>Bewehrung Stabst.Betonwand ü.3,2m (bis 6,0m)</t>
  </si>
  <si>
    <t>Bewehrung Stabst.Beton Stützen ü.3,2m (bis 6,0m)</t>
  </si>
  <si>
    <t>Bewehrung Stabst.D/Kragpl.ü.3,2m (bis 6,0m)</t>
  </si>
  <si>
    <t>Bewehrung Stabst.Stiege ü.3,2m (bis 6,0m)</t>
  </si>
  <si>
    <t>Bewehrung Stabst.Sargdeckel ü.3,2m (bis 6,0m)</t>
  </si>
  <si>
    <t>3102</t>
  </si>
  <si>
    <t>1: Händisch</t>
  </si>
  <si>
    <t>2: Händisch und Kran</t>
  </si>
  <si>
    <t>Gerade</t>
  </si>
  <si>
    <t>einfach</t>
  </si>
  <si>
    <t>kompliziert</t>
  </si>
  <si>
    <t>WB</t>
  </si>
  <si>
    <t>IB</t>
  </si>
  <si>
    <t>Ing.Bau</t>
  </si>
  <si>
    <t>Schwierigkeit</t>
  </si>
  <si>
    <t>4: Ingenieurbau</t>
  </si>
  <si>
    <t>3: Industriebau</t>
  </si>
  <si>
    <t>3: Eher grobgliedrig (massig)</t>
  </si>
  <si>
    <t>36 und 40 mm</t>
  </si>
  <si>
    <t>01</t>
  </si>
  <si>
    <t>02</t>
  </si>
  <si>
    <t>03</t>
  </si>
  <si>
    <t>04</t>
  </si>
  <si>
    <t>Position</t>
  </si>
  <si>
    <t>Beschreibung</t>
  </si>
  <si>
    <t>SUMME</t>
  </si>
  <si>
    <t>Eben, massiv, zB Fund.platten</t>
  </si>
  <si>
    <t>Eben, dünn, senkrecht</t>
  </si>
  <si>
    <t>Eben, massiv, senkrecht</t>
  </si>
  <si>
    <t>Stabförmig, dünn, zB Säule</t>
  </si>
  <si>
    <t>Stabförmig, massiv, zB Säule</t>
  </si>
  <si>
    <t>wie 310201B</t>
  </si>
  <si>
    <t>6608</t>
  </si>
  <si>
    <t>Betonstahl, Sorte B550B, Stab, sonst.</t>
  </si>
  <si>
    <t>SUMME Positionen LB-H</t>
  </si>
  <si>
    <t>SUMME Positionen LB-VI</t>
  </si>
  <si>
    <t>bitte wählen (Drop-Down-Liste)</t>
  </si>
  <si>
    <t>Baustahlmatten waagrecht verlegt</t>
  </si>
  <si>
    <t>1. Verlegen von Baustahlmatten</t>
  </si>
  <si>
    <t>Baustahlmatten senkrecht verlegt</t>
  </si>
  <si>
    <t>Verlegeaufwand (Gesamtstunden)</t>
  </si>
  <si>
    <t>Verlegen</t>
  </si>
  <si>
    <t>für Verlegen</t>
  </si>
  <si>
    <t>für Biegen</t>
  </si>
  <si>
    <t>S+B</t>
  </si>
  <si>
    <t>Matten</t>
  </si>
  <si>
    <t>durchs. DN</t>
  </si>
  <si>
    <t>Zufallszahlen Verlegen</t>
  </si>
  <si>
    <t>Zufallszahlen S+B</t>
  </si>
  <si>
    <t>Faktor Int. 1</t>
  </si>
  <si>
    <t>Faktot Int. 2</t>
  </si>
  <si>
    <t>Gekrümmt</t>
  </si>
  <si>
    <t>AW-V</t>
  </si>
  <si>
    <t>AW-S</t>
  </si>
  <si>
    <t>LOHN</t>
  </si>
  <si>
    <t>V</t>
  </si>
  <si>
    <t>Deckungsbeiträge</t>
  </si>
  <si>
    <t>Durchschn. AW:</t>
  </si>
  <si>
    <t>für MLP</t>
  </si>
  <si>
    <t>MLP-V</t>
  </si>
  <si>
    <t>Zufallszahlen MLP-V</t>
  </si>
  <si>
    <t>MLP-S+B</t>
  </si>
  <si>
    <t>Basiswerte</t>
  </si>
  <si>
    <t>Rechenwerte</t>
  </si>
  <si>
    <t>Einflussfaktoren Allgemein</t>
  </si>
  <si>
    <t>Einflussfaktoren auf die Position</t>
  </si>
  <si>
    <t xml:space="preserve">Weiter Anpassungen in der Positionskakulation </t>
  </si>
  <si>
    <t xml:space="preserve">enthalten; </t>
  </si>
  <si>
    <t>Faktor "Int 1" beeinflusst den unteren Wert.</t>
  </si>
  <si>
    <t>Faktor "Int 2" beeinflusst den oberen Wert.</t>
  </si>
  <si>
    <t>Für den Anwender wählbar!</t>
  </si>
  <si>
    <t>Bauteilform</t>
  </si>
  <si>
    <t>1: Eher feingliedrig (filigran)</t>
  </si>
  <si>
    <t>1: Normal (gerade Stäbe&gt;80%)</t>
  </si>
  <si>
    <t>2: Normal (gerade Stäbe &lt;80%)</t>
  </si>
  <si>
    <t>3: Komplex (komplizierte Biegeformen)</t>
  </si>
  <si>
    <t>Bauwerkcharakteristik</t>
  </si>
  <si>
    <t xml:space="preserve"> </t>
  </si>
  <si>
    <t>2. Bearbeiten und Verlegen von Stabstahl im Hochbau</t>
  </si>
  <si>
    <t>2.0 Angaben zum Projekt</t>
  </si>
  <si>
    <t>2.1 Aufwandswerte für das Verlegen von Stabstahl nach Durchmesser-Gruppen</t>
  </si>
  <si>
    <t>2.2 Aufwandswerte für das Verlegen von Stabstahl nach Positionen der LB-H (V. 20)</t>
  </si>
  <si>
    <t>3. Bearbeiten und Verlegen von Stabstahl im Tiefbau</t>
  </si>
  <si>
    <t>3.1 Aufwandswerte für das Verlegen von Stabstahl nach Positionen der LB-VI (V. 4)</t>
  </si>
  <si>
    <t>EHP-Lohn gem Angebot</t>
  </si>
  <si>
    <t>1.1 Aufwandswerte in STd/to für das Verlegen von Matten</t>
  </si>
  <si>
    <t>Menge [in Tonnen]</t>
  </si>
  <si>
    <t>Lohnstd.  Baust.:</t>
  </si>
  <si>
    <t>AW für S+B (Std/to)</t>
  </si>
  <si>
    <t>AW für Verlegen (Std/to)</t>
  </si>
  <si>
    <t>Unter-/ Über-deckung</t>
  </si>
  <si>
    <t>Deckung:</t>
  </si>
  <si>
    <t>3-D Form, dünn, zB Kastenform</t>
  </si>
  <si>
    <t>3-D Form, massiv, zB Tragwerk</t>
  </si>
  <si>
    <t>Bewehrung Stabst.Beton Balk/Rost ü.3,2m (b 6,0m)</t>
  </si>
  <si>
    <t>Bewehrung Stabst.Plattenbalkend.ü.3,2m (b 6,0m)</t>
  </si>
  <si>
    <t>Eben, dünn, zB Decken</t>
  </si>
  <si>
    <t>Faktor Int. 2</t>
  </si>
  <si>
    <t>Gelb = Veränderbare Stammdaten; Rechenwerte</t>
  </si>
  <si>
    <t>Veränderung pro Jahr</t>
  </si>
  <si>
    <t>Basis der Werte:</t>
  </si>
  <si>
    <t>Heute</t>
  </si>
  <si>
    <t>Hochrechnung der Basiswerte der Lohnkosten (Zeilen B3 bis C4)</t>
  </si>
  <si>
    <t>Jahre</t>
  </si>
  <si>
    <t>Anpassung der Rechenwerte</t>
  </si>
  <si>
    <t>(D3 bis E4)</t>
  </si>
  <si>
    <t>Hochgerechnet auf</t>
  </si>
  <si>
    <t>Prüftabelle Version 2</t>
  </si>
  <si>
    <r>
      <t>EHP- LOHN</t>
    </r>
    <r>
      <rPr>
        <vertAlign val="superscript"/>
        <sz val="11"/>
        <color theme="1"/>
        <rFont val="Calibri"/>
        <family val="2"/>
        <scheme val="minor"/>
      </rPr>
      <t>1</t>
    </r>
    <r>
      <rPr>
        <sz val="11"/>
        <color theme="1"/>
        <rFont val="Calibri"/>
        <family val="2"/>
        <scheme val="minor"/>
      </rPr>
      <t xml:space="preserve"> </t>
    </r>
    <r>
      <rPr>
        <sz val="8"/>
        <color theme="1"/>
        <rFont val="Calibri"/>
        <family val="2"/>
        <scheme val="minor"/>
      </rPr>
      <t>(schneiden, biegen, verlegen)</t>
    </r>
  </si>
  <si>
    <t>(1) Basis:</t>
  </si>
  <si>
    <t>Bauwerks- und Biegeform</t>
  </si>
  <si>
    <t>0. Allgemeine Angaben</t>
  </si>
  <si>
    <t>Projekt:</t>
  </si>
  <si>
    <t>Bieter:</t>
  </si>
  <si>
    <t>Sonstiges: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</si>
</sst>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_-* #,##0.000_-;\-* #,##0.000_-;_-* &quot;-&quot;??_-;_-@_-"/>
    <numFmt numFmtId="165" formatCode="_-* #,##0_-;\-* #,##0_-;_-* &quot;-&quot;??_-;_-@_-"/>
    <numFmt numFmtId="166" formatCode="0.0"/>
    <numFmt numFmtId="167" formatCode="_-* #,##0_-;\-* #,##0_-;_-* &quot;-&quot;???_-;_-@_-"/>
    <numFmt numFmtId="168" formatCode="0.000"/>
    <numFmt numFmtId="169" formatCode="_-* #,##0.0_-;\-* #,##0.0_-;_-* &quot;-&quot;??_-;_-@_-"/>
    <numFmt numFmtId="170" formatCode="_-&quot;€&quot;\ * #,##0_-;\-&quot;€&quot;\ * #,##0_-;_-&quot;€&quot;\ * &quot;-&quot;??_-;_-@_-"/>
    <numFmt numFmtId="171" formatCode="_-* #,##0.0_-;\-* #,##0.0_-;_-* &quot;-&quot;???_-;_-@_-"/>
    <numFmt numFmtId="172" formatCode="dd\.mm\.yyyy;@"/>
  </numFmts>
  <fonts count="20"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b/>
      <sz val="12"/>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1"/>
      <name val="Calibri"/>
      <family val="2"/>
      <scheme val="minor"/>
    </font>
    <font>
      <i/>
      <sz val="11"/>
      <name val="Calibri"/>
      <family val="2"/>
      <scheme val="minor"/>
    </font>
    <font>
      <sz val="12"/>
      <color theme="1"/>
      <name val="Calibri"/>
      <family val="2"/>
      <scheme val="minor"/>
    </font>
    <font>
      <sz val="11"/>
      <color rgb="FFFF0000"/>
      <name val="Calibri"/>
      <family val="2"/>
      <scheme val="minor"/>
    </font>
    <font>
      <b/>
      <sz val="14"/>
      <color rgb="FFFF0000"/>
      <name val="Calibri"/>
      <family val="2"/>
      <scheme val="minor"/>
    </font>
    <font>
      <sz val="8"/>
      <color theme="1"/>
      <name val="Calibri"/>
      <family val="2"/>
      <scheme val="minor"/>
    </font>
    <font>
      <i/>
      <sz val="10"/>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vertAlign val="superscript"/>
      <sz val="11"/>
      <color theme="1"/>
      <name val="Calibri"/>
      <family val="2"/>
      <scheme val="minor"/>
    </font>
    <font>
      <i/>
      <sz val="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medium">
        <color auto="1"/>
      </right>
      <top style="hair">
        <color auto="1"/>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42">
    <xf numFmtId="0" fontId="0" fillId="0" borderId="0" xfId="0"/>
    <xf numFmtId="165" fontId="0" fillId="0" borderId="0" xfId="1" applyNumberFormat="1" applyFont="1"/>
    <xf numFmtId="0" fontId="0" fillId="0" borderId="1" xfId="0" applyBorder="1"/>
    <xf numFmtId="43" fontId="0" fillId="0" borderId="0" xfId="1" applyFont="1" applyBorder="1"/>
    <xf numFmtId="0" fontId="0" fillId="0" borderId="3" xfId="0" applyBorder="1"/>
    <xf numFmtId="0" fontId="0" fillId="0" borderId="4" xfId="0" applyBorder="1"/>
    <xf numFmtId="0" fontId="0" fillId="0" borderId="5" xfId="0" applyBorder="1"/>
    <xf numFmtId="0" fontId="0" fillId="0" borderId="6" xfId="0" applyBorder="1"/>
    <xf numFmtId="43" fontId="0" fillId="0" borderId="5" xfId="1" applyFont="1" applyBorder="1"/>
    <xf numFmtId="43" fontId="0" fillId="0" borderId="6" xfId="1" applyFont="1" applyBorder="1"/>
    <xf numFmtId="43" fontId="0" fillId="0" borderId="7" xfId="1" applyFont="1" applyBorder="1"/>
    <xf numFmtId="1" fontId="0" fillId="0" borderId="1" xfId="0" applyNumberFormat="1" applyBorder="1"/>
    <xf numFmtId="2" fontId="0" fillId="0" borderId="1" xfId="0" applyNumberFormat="1" applyBorder="1"/>
    <xf numFmtId="0" fontId="0" fillId="0" borderId="9" xfId="0" applyBorder="1"/>
    <xf numFmtId="1" fontId="0" fillId="0" borderId="9" xfId="0" applyNumberFormat="1" applyBorder="1"/>
    <xf numFmtId="2" fontId="0" fillId="0" borderId="9" xfId="0" applyNumberFormat="1" applyBorder="1"/>
    <xf numFmtId="0" fontId="0" fillId="0" borderId="2" xfId="0" applyBorder="1"/>
    <xf numFmtId="1" fontId="0" fillId="0" borderId="2" xfId="0" applyNumberFormat="1" applyBorder="1"/>
    <xf numFmtId="2" fontId="0" fillId="0" borderId="2" xfId="0" applyNumberFormat="1" applyBorder="1"/>
    <xf numFmtId="0" fontId="0" fillId="0" borderId="0" xfId="0" applyBorder="1"/>
    <xf numFmtId="164" fontId="0" fillId="0" borderId="0" xfId="1" applyNumberFormat="1" applyFont="1" applyBorder="1"/>
    <xf numFmtId="1" fontId="0" fillId="0" borderId="0" xfId="0" applyNumberFormat="1" applyBorder="1"/>
    <xf numFmtId="2" fontId="0" fillId="0" borderId="0" xfId="0" applyNumberFormat="1" applyBorder="1"/>
    <xf numFmtId="9" fontId="2" fillId="0" borderId="1" xfId="0" applyNumberFormat="1" applyFont="1" applyBorder="1"/>
    <xf numFmtId="9" fontId="2" fillId="0" borderId="9" xfId="0" applyNumberFormat="1" applyFont="1" applyBorder="1"/>
    <xf numFmtId="9" fontId="2" fillId="0" borderId="2" xfId="0" applyNumberFormat="1" applyFont="1" applyBorder="1"/>
    <xf numFmtId="9" fontId="2" fillId="0" borderId="0" xfId="0" applyNumberFormat="1" applyFont="1" applyBorder="1"/>
    <xf numFmtId="0" fontId="2" fillId="0" borderId="0" xfId="0" applyFont="1" applyBorder="1"/>
    <xf numFmtId="9" fontId="0" fillId="2" borderId="1" xfId="0" applyNumberFormat="1" applyFill="1" applyBorder="1"/>
    <xf numFmtId="9" fontId="0" fillId="2" borderId="9" xfId="0" applyNumberFormat="1" applyFill="1" applyBorder="1"/>
    <xf numFmtId="9" fontId="0" fillId="2" borderId="2" xfId="0" applyNumberFormat="1" applyFill="1" applyBorder="1"/>
    <xf numFmtId="9" fontId="0" fillId="2" borderId="0" xfId="0" applyNumberFormat="1" applyFill="1" applyBorder="1"/>
    <xf numFmtId="2" fontId="0" fillId="2" borderId="1" xfId="0" applyNumberFormat="1" applyFill="1" applyBorder="1"/>
    <xf numFmtId="2" fontId="0" fillId="2" borderId="9" xfId="0" applyNumberFormat="1" applyFill="1" applyBorder="1"/>
    <xf numFmtId="2" fontId="0" fillId="2" borderId="2" xfId="0" applyNumberFormat="1" applyFill="1" applyBorder="1"/>
    <xf numFmtId="2" fontId="0" fillId="2" borderId="0" xfId="0" applyNumberFormat="1" applyFill="1" applyBorder="1"/>
    <xf numFmtId="0" fontId="3" fillId="3" borderId="0" xfId="0" applyFont="1" applyFill="1" applyAlignment="1">
      <alignment horizontal="center" vertical="center" wrapText="1"/>
    </xf>
    <xf numFmtId="165" fontId="3" fillId="3" borderId="0" xfId="1" applyNumberFormat="1" applyFont="1" applyFill="1" applyAlignment="1">
      <alignment horizontal="center" vertical="center" wrapText="1"/>
    </xf>
    <xf numFmtId="168" fontId="0" fillId="0" borderId="0" xfId="0" applyNumberFormat="1"/>
    <xf numFmtId="9" fontId="0" fillId="2" borderId="0" xfId="2" applyFont="1" applyFill="1"/>
    <xf numFmtId="1" fontId="0" fillId="0" borderId="0" xfId="2" applyNumberFormat="1" applyFont="1" applyFill="1"/>
    <xf numFmtId="165" fontId="0" fillId="0" borderId="0" xfId="0" applyNumberFormat="1"/>
    <xf numFmtId="0" fontId="3" fillId="0" borderId="0" xfId="0" applyFont="1"/>
    <xf numFmtId="9" fontId="3" fillId="0" borderId="0" xfId="2" applyFont="1"/>
    <xf numFmtId="1" fontId="3" fillId="0" borderId="0" xfId="2" applyNumberFormat="1" applyFont="1" applyFill="1"/>
    <xf numFmtId="165" fontId="3" fillId="0" borderId="0" xfId="0" applyNumberFormat="1" applyFont="1"/>
    <xf numFmtId="9" fontId="0" fillId="0" borderId="0" xfId="2" applyFont="1"/>
    <xf numFmtId="9" fontId="0" fillId="0" borderId="0" xfId="2" applyFont="1" applyAlignment="1">
      <alignment horizontal="right"/>
    </xf>
    <xf numFmtId="43" fontId="0" fillId="0" borderId="0" xfId="0" applyNumberFormat="1"/>
    <xf numFmtId="0" fontId="3" fillId="0" borderId="0" xfId="0" applyFont="1" applyAlignment="1">
      <alignment horizontal="right"/>
    </xf>
    <xf numFmtId="2" fontId="4" fillId="2" borderId="12" xfId="0" applyNumberFormat="1" applyFont="1" applyFill="1" applyBorder="1" applyAlignment="1">
      <alignment horizontal="center" vertical="center" wrapText="1"/>
    </xf>
    <xf numFmtId="0" fontId="5" fillId="0" borderId="0" xfId="0" applyFont="1"/>
    <xf numFmtId="9" fontId="0" fillId="0" borderId="0" xfId="0" applyNumberFormat="1"/>
    <xf numFmtId="10" fontId="0" fillId="0" borderId="0" xfId="0" applyNumberFormat="1"/>
    <xf numFmtId="0" fontId="0" fillId="0" borderId="5" xfId="0" quotePrefix="1" applyBorder="1"/>
    <xf numFmtId="0" fontId="0" fillId="0" borderId="7" xfId="0" quotePrefix="1" applyBorder="1"/>
    <xf numFmtId="2" fontId="2" fillId="0" borderId="0" xfId="0" applyNumberFormat="1" applyFont="1" applyBorder="1"/>
    <xf numFmtId="0" fontId="0" fillId="0" borderId="7" xfId="0" applyBorder="1"/>
    <xf numFmtId="0" fontId="0" fillId="0" borderId="8" xfId="0" applyBorder="1"/>
    <xf numFmtId="0" fontId="0" fillId="4" borderId="2" xfId="0" applyFill="1" applyBorder="1"/>
    <xf numFmtId="0" fontId="0" fillId="4" borderId="4" xfId="0" applyFill="1" applyBorder="1"/>
    <xf numFmtId="0" fontId="0" fillId="0" borderId="10" xfId="0" applyBorder="1"/>
    <xf numFmtId="0" fontId="3" fillId="0" borderId="3" xfId="0" applyFont="1" applyBorder="1"/>
    <xf numFmtId="0" fontId="3" fillId="0" borderId="2" xfId="0" applyFont="1" applyBorder="1"/>
    <xf numFmtId="0" fontId="2" fillId="4" borderId="2" xfId="0" applyFont="1" applyFill="1" applyBorder="1"/>
    <xf numFmtId="2" fontId="0" fillId="4" borderId="2" xfId="0" applyNumberFormat="1" applyFill="1" applyBorder="1"/>
    <xf numFmtId="0" fontId="0" fillId="0" borderId="0" xfId="0" applyFill="1"/>
    <xf numFmtId="43" fontId="0" fillId="0" borderId="10" xfId="0" applyNumberFormat="1" applyBorder="1"/>
    <xf numFmtId="0" fontId="0" fillId="0" borderId="0" xfId="0" applyFill="1" applyBorder="1"/>
    <xf numFmtId="0" fontId="3" fillId="0" borderId="0" xfId="0" applyFont="1" applyBorder="1"/>
    <xf numFmtId="0" fontId="2" fillId="4" borderId="3" xfId="0" applyFont="1" applyFill="1" applyBorder="1"/>
    <xf numFmtId="2" fontId="2" fillId="4" borderId="2" xfId="0" applyNumberFormat="1" applyFont="1" applyFill="1" applyBorder="1"/>
    <xf numFmtId="0" fontId="2" fillId="4" borderId="7" xfId="0" applyFont="1" applyFill="1" applyBorder="1"/>
    <xf numFmtId="0" fontId="2" fillId="4" borderId="1" xfId="0" applyFont="1" applyFill="1" applyBorder="1"/>
    <xf numFmtId="2" fontId="2" fillId="4" borderId="1" xfId="0" applyNumberFormat="1" applyFont="1" applyFill="1" applyBorder="1"/>
    <xf numFmtId="0" fontId="6" fillId="4" borderId="5" xfId="0" applyFont="1" applyFill="1" applyBorder="1"/>
    <xf numFmtId="0" fontId="2" fillId="4" borderId="0" xfId="0" applyFont="1" applyFill="1" applyBorder="1"/>
    <xf numFmtId="0" fontId="3" fillId="0" borderId="5" xfId="0" quotePrefix="1" applyFont="1" applyBorder="1"/>
    <xf numFmtId="0" fontId="3" fillId="0" borderId="5" xfId="0" applyFont="1" applyBorder="1"/>
    <xf numFmtId="9" fontId="0" fillId="0" borderId="0" xfId="0" applyNumberFormat="1" applyFill="1" applyBorder="1"/>
    <xf numFmtId="43" fontId="0" fillId="0" borderId="9" xfId="1" applyFont="1" applyBorder="1"/>
    <xf numFmtId="43" fontId="0" fillId="0" borderId="11" xfId="1" applyFont="1" applyBorder="1"/>
    <xf numFmtId="0" fontId="0" fillId="0" borderId="7" xfId="0" applyBorder="1" applyAlignment="1">
      <alignment wrapText="1"/>
    </xf>
    <xf numFmtId="0" fontId="0" fillId="0" borderId="1" xfId="0" applyBorder="1" applyAlignment="1">
      <alignment wrapText="1"/>
    </xf>
    <xf numFmtId="0" fontId="0" fillId="0" borderId="8" xfId="0" applyBorder="1" applyAlignment="1">
      <alignment wrapText="1"/>
    </xf>
    <xf numFmtId="0" fontId="0" fillId="0" borderId="1" xfId="0" applyBorder="1" applyAlignment="1">
      <alignment horizontal="center" wrapText="1"/>
    </xf>
    <xf numFmtId="0" fontId="0" fillId="0" borderId="0" xfId="0" applyAlignment="1">
      <alignment wrapText="1"/>
    </xf>
    <xf numFmtId="0" fontId="7" fillId="0" borderId="0" xfId="0" applyFont="1"/>
    <xf numFmtId="0" fontId="5" fillId="4" borderId="10" xfId="0" applyFont="1" applyFill="1" applyBorder="1"/>
    <xf numFmtId="0" fontId="0" fillId="0" borderId="0" xfId="0" applyProtection="1">
      <protection hidden="1"/>
    </xf>
    <xf numFmtId="0" fontId="0" fillId="0" borderId="7" xfId="0" applyBorder="1" applyAlignment="1" applyProtection="1">
      <alignment horizontal="center" wrapText="1"/>
      <protection hidden="1"/>
    </xf>
    <xf numFmtId="0" fontId="0" fillId="0" borderId="8" xfId="0" applyBorder="1" applyAlignment="1" applyProtection="1">
      <alignment horizontal="center" wrapText="1"/>
      <protection hidden="1"/>
    </xf>
    <xf numFmtId="0" fontId="0" fillId="0" borderId="0" xfId="0" applyBorder="1" applyProtection="1">
      <protection hidden="1"/>
    </xf>
    <xf numFmtId="167" fontId="0" fillId="0" borderId="6" xfId="0" applyNumberFormat="1" applyBorder="1" applyProtection="1">
      <protection hidden="1"/>
    </xf>
    <xf numFmtId="1" fontId="0" fillId="0" borderId="5" xfId="0" applyNumberFormat="1" applyBorder="1" applyProtection="1">
      <protection hidden="1"/>
    </xf>
    <xf numFmtId="0" fontId="2" fillId="0" borderId="0" xfId="0" applyFont="1" applyBorder="1" applyProtection="1">
      <protection hidden="1"/>
    </xf>
    <xf numFmtId="167" fontId="2" fillId="0" borderId="0" xfId="0" applyNumberFormat="1" applyFont="1" applyBorder="1" applyProtection="1">
      <protection hidden="1"/>
    </xf>
    <xf numFmtId="0" fontId="0" fillId="0" borderId="7" xfId="0" applyBorder="1" applyAlignment="1" applyProtection="1">
      <alignment horizontal="center"/>
      <protection hidden="1"/>
    </xf>
    <xf numFmtId="0" fontId="0" fillId="0" borderId="1" xfId="0" applyBorder="1" applyAlignment="1" applyProtection="1">
      <alignment horizontal="center"/>
      <protection hidden="1"/>
    </xf>
    <xf numFmtId="0" fontId="0" fillId="0" borderId="8" xfId="0" applyBorder="1" applyAlignment="1" applyProtection="1">
      <alignment horizontal="center"/>
      <protection hidden="1"/>
    </xf>
    <xf numFmtId="167" fontId="2" fillId="4" borderId="8" xfId="0" applyNumberFormat="1" applyFont="1"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2" xfId="0" applyBorder="1" applyProtection="1">
      <protection hidden="1"/>
    </xf>
    <xf numFmtId="0" fontId="0" fillId="0" borderId="5" xfId="0" applyBorder="1" applyProtection="1">
      <protection hidden="1"/>
    </xf>
    <xf numFmtId="0" fontId="0" fillId="0" borderId="6" xfId="0" applyBorder="1" applyProtection="1">
      <protection hidden="1"/>
    </xf>
    <xf numFmtId="1" fontId="0" fillId="0" borderId="6" xfId="0" applyNumberFormat="1" applyBorder="1" applyProtection="1">
      <protection hidden="1"/>
    </xf>
    <xf numFmtId="167" fontId="0" fillId="0" borderId="0" xfId="0" applyNumberFormat="1" applyBorder="1" applyProtection="1">
      <protection hidden="1"/>
    </xf>
    <xf numFmtId="0" fontId="3" fillId="4" borderId="3" xfId="0" applyFont="1" applyFill="1" applyBorder="1"/>
    <xf numFmtId="0" fontId="0" fillId="0" borderId="11" xfId="0" applyBorder="1"/>
    <xf numFmtId="166" fontId="0" fillId="0" borderId="5" xfId="0" applyNumberFormat="1" applyBorder="1" applyProtection="1">
      <protection hidden="1"/>
    </xf>
    <xf numFmtId="166" fontId="0" fillId="0" borderId="6" xfId="0" applyNumberFormat="1" applyBorder="1" applyProtection="1">
      <protection hidden="1"/>
    </xf>
    <xf numFmtId="166" fontId="0" fillId="0" borderId="7" xfId="0" applyNumberFormat="1" applyBorder="1" applyProtection="1">
      <protection hidden="1"/>
    </xf>
    <xf numFmtId="166" fontId="0" fillId="0" borderId="8" xfId="0" applyNumberFormat="1" applyBorder="1" applyProtection="1">
      <protection hidden="1"/>
    </xf>
    <xf numFmtId="166" fontId="0" fillId="0" borderId="3" xfId="0" applyNumberFormat="1" applyBorder="1" applyProtection="1">
      <protection hidden="1"/>
    </xf>
    <xf numFmtId="166" fontId="0" fillId="0" borderId="4" xfId="0" applyNumberFormat="1" applyBorder="1" applyProtection="1">
      <protection hidden="1"/>
    </xf>
    <xf numFmtId="166" fontId="0" fillId="0" borderId="10" xfId="0" applyNumberFormat="1" applyBorder="1" applyProtection="1">
      <protection hidden="1"/>
    </xf>
    <xf numFmtId="166" fontId="0" fillId="0" borderId="0" xfId="0" applyNumberFormat="1" applyBorder="1" applyProtection="1">
      <protection hidden="1"/>
    </xf>
    <xf numFmtId="166" fontId="0" fillId="0" borderId="1" xfId="0" applyNumberFormat="1" applyBorder="1" applyProtection="1">
      <protection hidden="1"/>
    </xf>
    <xf numFmtId="166" fontId="0" fillId="0" borderId="9" xfId="0" applyNumberFormat="1" applyBorder="1" applyProtection="1">
      <protection hidden="1"/>
    </xf>
    <xf numFmtId="166" fontId="0" fillId="0" borderId="2" xfId="0" applyNumberFormat="1" applyBorder="1" applyProtection="1">
      <protection hidden="1"/>
    </xf>
    <xf numFmtId="0" fontId="0" fillId="0" borderId="0" xfId="0" applyBorder="1" applyAlignment="1">
      <alignment horizontal="center"/>
    </xf>
    <xf numFmtId="0" fontId="2" fillId="4" borderId="0" xfId="0" applyFont="1" applyFill="1" applyBorder="1" applyProtection="1">
      <protection hidden="1"/>
    </xf>
    <xf numFmtId="0" fontId="2" fillId="0" borderId="0" xfId="0" applyFont="1" applyFill="1" applyBorder="1"/>
    <xf numFmtId="2" fontId="2" fillId="0" borderId="0" xfId="0" applyNumberFormat="1" applyFont="1" applyFill="1" applyBorder="1"/>
    <xf numFmtId="0" fontId="2" fillId="0" borderId="0" xfId="0" applyFont="1" applyFill="1" applyBorder="1" applyProtection="1">
      <protection hidden="1"/>
    </xf>
    <xf numFmtId="167" fontId="2" fillId="0" borderId="0" xfId="0" applyNumberFormat="1" applyFont="1" applyFill="1" applyBorder="1" applyProtection="1">
      <protection hidden="1"/>
    </xf>
    <xf numFmtId="43" fontId="0" fillId="0" borderId="3" xfId="1" applyFont="1" applyBorder="1"/>
    <xf numFmtId="2" fontId="2" fillId="4" borderId="4" xfId="0" applyNumberFormat="1" applyFont="1" applyFill="1" applyBorder="1"/>
    <xf numFmtId="2" fontId="2" fillId="4" borderId="8" xfId="0" applyNumberFormat="1" applyFont="1" applyFill="1" applyBorder="1"/>
    <xf numFmtId="0" fontId="0" fillId="0" borderId="14" xfId="0" applyBorder="1" applyAlignment="1">
      <alignment horizontal="center" wrapText="1"/>
    </xf>
    <xf numFmtId="0" fontId="0" fillId="0" borderId="9" xfId="0" applyBorder="1" applyAlignment="1">
      <alignment horizontal="center"/>
    </xf>
    <xf numFmtId="0" fontId="0" fillId="0" borderId="5" xfId="0" applyBorder="1" applyAlignment="1" applyProtection="1">
      <alignment horizontal="center" wrapText="1"/>
      <protection hidden="1"/>
    </xf>
    <xf numFmtId="0" fontId="0" fillId="0" borderId="0" xfId="0" applyBorder="1" applyAlignment="1" applyProtection="1">
      <alignment horizontal="center" wrapText="1"/>
      <protection hidden="1"/>
    </xf>
    <xf numFmtId="0" fontId="8" fillId="0" borderId="0" xfId="0" applyFont="1"/>
    <xf numFmtId="0" fontId="8" fillId="0" borderId="9" xfId="0" applyFont="1" applyBorder="1"/>
    <xf numFmtId="0" fontId="8" fillId="0" borderId="0" xfId="0" applyFont="1" applyBorder="1"/>
    <xf numFmtId="0" fontId="9" fillId="4" borderId="2" xfId="0" applyFont="1" applyFill="1" applyBorder="1"/>
    <xf numFmtId="0" fontId="9" fillId="4" borderId="1" xfId="0" applyFont="1" applyFill="1" applyBorder="1"/>
    <xf numFmtId="0" fontId="9" fillId="0" borderId="0" xfId="0" applyFont="1" applyFill="1" applyBorder="1"/>
    <xf numFmtId="43" fontId="8" fillId="0" borderId="4" xfId="1" applyFont="1" applyBorder="1"/>
    <xf numFmtId="43" fontId="8" fillId="0" borderId="8" xfId="1" applyFont="1" applyBorder="1"/>
    <xf numFmtId="0" fontId="8" fillId="4" borderId="2" xfId="0" applyFont="1" applyFill="1" applyBorder="1"/>
    <xf numFmtId="1" fontId="8" fillId="0" borderId="1" xfId="0" applyNumberFormat="1" applyFont="1" applyBorder="1" applyAlignment="1">
      <alignment wrapText="1"/>
    </xf>
    <xf numFmtId="1" fontId="8" fillId="0" borderId="1" xfId="0" applyNumberFormat="1" applyFont="1" applyBorder="1"/>
    <xf numFmtId="0" fontId="9" fillId="0" borderId="0" xfId="0" applyFont="1" applyBorder="1"/>
    <xf numFmtId="166" fontId="8" fillId="0" borderId="0" xfId="0" applyNumberFormat="1" applyFont="1" applyBorder="1"/>
    <xf numFmtId="166" fontId="8" fillId="0" borderId="1" xfId="0" applyNumberFormat="1" applyFont="1" applyBorder="1"/>
    <xf numFmtId="166" fontId="8" fillId="0" borderId="9" xfId="0" applyNumberFormat="1" applyFont="1" applyBorder="1"/>
    <xf numFmtId="166" fontId="8" fillId="0" borderId="2" xfId="0" applyNumberFormat="1" applyFont="1" applyBorder="1"/>
    <xf numFmtId="0" fontId="9" fillId="4" borderId="0" xfId="0" applyFont="1" applyFill="1" applyBorder="1"/>
    <xf numFmtId="0" fontId="8" fillId="0" borderId="2" xfId="0" applyFont="1" applyBorder="1"/>
    <xf numFmtId="169" fontId="0" fillId="2" borderId="0" xfId="1" applyNumberFormat="1" applyFont="1" applyFill="1" applyBorder="1"/>
    <xf numFmtId="169" fontId="0" fillId="0" borderId="3" xfId="1" applyNumberFormat="1" applyFont="1" applyBorder="1" applyProtection="1">
      <protection hidden="1"/>
    </xf>
    <xf numFmtId="169" fontId="0" fillId="0" borderId="4" xfId="1" applyNumberFormat="1" applyFont="1" applyBorder="1" applyProtection="1">
      <protection hidden="1"/>
    </xf>
    <xf numFmtId="0" fontId="0" fillId="0" borderId="5" xfId="0" applyBorder="1" applyAlignment="1" applyProtection="1">
      <alignment horizontal="center"/>
      <protection hidden="1"/>
    </xf>
    <xf numFmtId="0" fontId="0" fillId="0" borderId="0" xfId="0" applyBorder="1" applyAlignment="1" applyProtection="1">
      <alignment horizontal="center"/>
      <protection hidden="1"/>
    </xf>
    <xf numFmtId="2" fontId="2" fillId="4" borderId="0" xfId="0" applyNumberFormat="1" applyFont="1" applyFill="1" applyBorder="1"/>
    <xf numFmtId="2" fontId="0" fillId="0" borderId="0" xfId="0" applyNumberFormat="1" applyFill="1" applyBorder="1"/>
    <xf numFmtId="166" fontId="0" fillId="0" borderId="0" xfId="0" applyNumberFormat="1" applyBorder="1"/>
    <xf numFmtId="0" fontId="0" fillId="0" borderId="1" xfId="0" applyBorder="1" applyAlignment="1" applyProtection="1">
      <alignment horizontal="center" wrapText="1"/>
      <protection hidden="1"/>
    </xf>
    <xf numFmtId="0" fontId="2" fillId="4" borderId="1" xfId="0" applyFont="1" applyFill="1" applyBorder="1" applyProtection="1">
      <protection hidden="1"/>
    </xf>
    <xf numFmtId="0" fontId="2" fillId="4" borderId="7" xfId="0" applyFont="1" applyFill="1" applyBorder="1" applyProtection="1">
      <protection hidden="1"/>
    </xf>
    <xf numFmtId="170" fontId="0" fillId="0" borderId="5" xfId="3" applyNumberFormat="1" applyFont="1" applyBorder="1" applyProtection="1">
      <protection hidden="1"/>
    </xf>
    <xf numFmtId="170" fontId="0" fillId="0" borderId="6" xfId="3" applyNumberFormat="1" applyFont="1" applyBorder="1" applyProtection="1">
      <protection hidden="1"/>
    </xf>
    <xf numFmtId="170" fontId="0" fillId="0" borderId="7" xfId="3" applyNumberFormat="1" applyFont="1" applyBorder="1" applyProtection="1">
      <protection hidden="1"/>
    </xf>
    <xf numFmtId="170" fontId="0" fillId="0" borderId="8" xfId="3" applyNumberFormat="1" applyFont="1" applyBorder="1" applyProtection="1">
      <protection hidden="1"/>
    </xf>
    <xf numFmtId="170" fontId="0" fillId="0" borderId="10" xfId="3" applyNumberFormat="1" applyFont="1" applyBorder="1" applyProtection="1">
      <protection hidden="1"/>
    </xf>
    <xf numFmtId="170" fontId="0" fillId="0" borderId="11" xfId="3" applyNumberFormat="1" applyFont="1" applyBorder="1" applyProtection="1">
      <protection hidden="1"/>
    </xf>
    <xf numFmtId="170" fontId="0" fillId="0" borderId="3" xfId="3" applyNumberFormat="1" applyFont="1" applyBorder="1" applyProtection="1">
      <protection hidden="1"/>
    </xf>
    <xf numFmtId="170" fontId="0" fillId="0" borderId="4" xfId="3" applyNumberFormat="1" applyFont="1" applyBorder="1" applyProtection="1">
      <protection hidden="1"/>
    </xf>
    <xf numFmtId="0" fontId="0" fillId="0" borderId="14" xfId="0" applyBorder="1"/>
    <xf numFmtId="0" fontId="2" fillId="0" borderId="9" xfId="0" applyFont="1" applyFill="1" applyBorder="1" applyAlignment="1" applyProtection="1">
      <alignment horizontal="right"/>
      <protection hidden="1"/>
    </xf>
    <xf numFmtId="170" fontId="0" fillId="0" borderId="0" xfId="3" applyNumberFormat="1" applyFont="1" applyBorder="1" applyProtection="1">
      <protection hidden="1"/>
    </xf>
    <xf numFmtId="170" fontId="0" fillId="0" borderId="1" xfId="3" applyNumberFormat="1" applyFont="1" applyBorder="1" applyProtection="1">
      <protection hidden="1"/>
    </xf>
    <xf numFmtId="0" fontId="0" fillId="0" borderId="16" xfId="0" applyBorder="1"/>
    <xf numFmtId="0" fontId="0" fillId="0" borderId="15" xfId="0" applyFill="1" applyBorder="1" applyAlignment="1">
      <alignment horizontal="center"/>
    </xf>
    <xf numFmtId="0" fontId="0" fillId="0" borderId="13" xfId="0" applyBorder="1"/>
    <xf numFmtId="0" fontId="2" fillId="0" borderId="9" xfId="0" applyFont="1" applyFill="1" applyBorder="1" applyProtection="1">
      <protection hidden="1"/>
    </xf>
    <xf numFmtId="167" fontId="2" fillId="4" borderId="1" xfId="0" applyNumberFormat="1" applyFont="1" applyFill="1" applyBorder="1" applyProtection="1">
      <protection hidden="1"/>
    </xf>
    <xf numFmtId="169" fontId="0" fillId="0" borderId="5" xfId="1" applyNumberFormat="1" applyFont="1" applyBorder="1" applyProtection="1">
      <protection hidden="1"/>
    </xf>
    <xf numFmtId="169" fontId="0" fillId="0" borderId="6" xfId="1" applyNumberFormat="1" applyFont="1" applyBorder="1" applyProtection="1">
      <protection hidden="1"/>
    </xf>
    <xf numFmtId="166" fontId="0" fillId="0" borderId="0" xfId="0" applyNumberFormat="1" applyFill="1" applyBorder="1"/>
    <xf numFmtId="166" fontId="0" fillId="0" borderId="1" xfId="0" applyNumberFormat="1" applyFill="1" applyBorder="1"/>
    <xf numFmtId="166" fontId="0" fillId="0" borderId="2" xfId="0" applyNumberFormat="1" applyFill="1" applyBorder="1"/>
    <xf numFmtId="43" fontId="0" fillId="2" borderId="13" xfId="1" applyNumberFormat="1" applyFont="1" applyFill="1" applyBorder="1"/>
    <xf numFmtId="43" fontId="0" fillId="0" borderId="13" xfId="1" applyNumberFormat="1" applyFont="1" applyBorder="1"/>
    <xf numFmtId="43" fontId="0" fillId="2" borderId="14" xfId="1" applyNumberFormat="1" applyFont="1" applyFill="1" applyBorder="1"/>
    <xf numFmtId="43" fontId="0" fillId="2" borderId="13" xfId="1" applyFont="1" applyFill="1" applyBorder="1"/>
    <xf numFmtId="2" fontId="0" fillId="2" borderId="13" xfId="0" applyNumberFormat="1" applyFill="1" applyBorder="1"/>
    <xf numFmtId="0" fontId="0" fillId="0" borderId="10" xfId="0" applyFill="1" applyBorder="1"/>
    <xf numFmtId="0" fontId="0" fillId="0" borderId="9" xfId="0" applyFill="1" applyBorder="1"/>
    <xf numFmtId="0" fontId="0" fillId="0" borderId="11" xfId="0" applyFill="1" applyBorder="1"/>
    <xf numFmtId="44" fontId="0" fillId="0" borderId="5" xfId="3" applyFont="1" applyFill="1" applyBorder="1"/>
    <xf numFmtId="44" fontId="0" fillId="0" borderId="6" xfId="3" applyFont="1" applyFill="1" applyBorder="1"/>
    <xf numFmtId="165" fontId="0" fillId="0" borderId="6" xfId="1" applyNumberFormat="1" applyFont="1" applyBorder="1"/>
    <xf numFmtId="165" fontId="0" fillId="0" borderId="11" xfId="1" applyNumberFormat="1" applyFont="1" applyBorder="1"/>
    <xf numFmtId="165" fontId="0" fillId="0" borderId="2" xfId="1" applyNumberFormat="1" applyFont="1" applyBorder="1"/>
    <xf numFmtId="0" fontId="0" fillId="2" borderId="4" xfId="0" applyFill="1" applyBorder="1"/>
    <xf numFmtId="165" fontId="0" fillId="0" borderId="0" xfId="1" applyNumberFormat="1" applyFont="1" applyBorder="1"/>
    <xf numFmtId="0" fontId="0" fillId="2" borderId="6" xfId="0" applyFill="1" applyBorder="1"/>
    <xf numFmtId="43" fontId="0" fillId="2" borderId="0" xfId="1" applyFont="1" applyFill="1" applyBorder="1"/>
    <xf numFmtId="43" fontId="0" fillId="2" borderId="6" xfId="1" applyFont="1" applyFill="1" applyBorder="1"/>
    <xf numFmtId="165" fontId="0" fillId="0" borderId="1" xfId="1" applyNumberFormat="1" applyFont="1" applyBorder="1"/>
    <xf numFmtId="43" fontId="0" fillId="2" borderId="1" xfId="1" applyFont="1" applyFill="1" applyBorder="1"/>
    <xf numFmtId="44" fontId="0" fillId="2" borderId="5" xfId="3" applyFont="1" applyFill="1" applyBorder="1"/>
    <xf numFmtId="44" fontId="0" fillId="2" borderId="6" xfId="3" applyFont="1" applyFill="1" applyBorder="1"/>
    <xf numFmtId="0" fontId="0" fillId="0" borderId="6" xfId="0" applyBorder="1" applyAlignment="1">
      <alignment horizontal="center"/>
    </xf>
    <xf numFmtId="0" fontId="2" fillId="0" borderId="5" xfId="0" applyFont="1" applyBorder="1"/>
    <xf numFmtId="0" fontId="10" fillId="0" borderId="1" xfId="0" applyFont="1" applyBorder="1"/>
    <xf numFmtId="0" fontId="10" fillId="0" borderId="0" xfId="0" applyFont="1"/>
    <xf numFmtId="0" fontId="10" fillId="0" borderId="2" xfId="0" applyFont="1" applyBorder="1"/>
    <xf numFmtId="0" fontId="10" fillId="0" borderId="0" xfId="0" applyFont="1" applyBorder="1"/>
    <xf numFmtId="0" fontId="5" fillId="0" borderId="0" xfId="0" applyFont="1" applyBorder="1"/>
    <xf numFmtId="0" fontId="0" fillId="0" borderId="5" xfId="0" applyFill="1" applyBorder="1" applyAlignment="1">
      <alignment wrapText="1"/>
    </xf>
    <xf numFmtId="0" fontId="0" fillId="0" borderId="6" xfId="0" applyFill="1" applyBorder="1" applyAlignment="1">
      <alignment wrapText="1"/>
    </xf>
    <xf numFmtId="169" fontId="0" fillId="0" borderId="5" xfId="1" applyNumberFormat="1" applyFont="1" applyFill="1" applyBorder="1"/>
    <xf numFmtId="169" fontId="0" fillId="0" borderId="6" xfId="1" applyNumberFormat="1" applyFont="1" applyFill="1" applyBorder="1"/>
    <xf numFmtId="2" fontId="2" fillId="4" borderId="7" xfId="0" applyNumberFormat="1" applyFont="1" applyFill="1" applyBorder="1"/>
    <xf numFmtId="2" fontId="2" fillId="4" borderId="3" xfId="0" applyNumberFormat="1" applyFont="1" applyFill="1" applyBorder="1"/>
    <xf numFmtId="0" fontId="11" fillId="0" borderId="5" xfId="0" applyFont="1" applyBorder="1"/>
    <xf numFmtId="0" fontId="11" fillId="0" borderId="7" xfId="0" applyFont="1" applyBorder="1"/>
    <xf numFmtId="43" fontId="0" fillId="0" borderId="1" xfId="1" applyFont="1" applyBorder="1"/>
    <xf numFmtId="43" fontId="0" fillId="0" borderId="9" xfId="0" applyNumberFormat="1" applyBorder="1"/>
    <xf numFmtId="0" fontId="12" fillId="0" borderId="0" xfId="0" applyFont="1"/>
    <xf numFmtId="43" fontId="0" fillId="0" borderId="11" xfId="1" applyFont="1" applyFill="1" applyBorder="1"/>
    <xf numFmtId="43" fontId="0" fillId="5" borderId="10" xfId="0" applyNumberFormat="1" applyFill="1" applyBorder="1"/>
    <xf numFmtId="43" fontId="0" fillId="5" borderId="9" xfId="1" applyFont="1" applyFill="1" applyBorder="1"/>
    <xf numFmtId="43" fontId="0" fillId="5" borderId="11" xfId="1" applyFont="1" applyFill="1" applyBorder="1"/>
    <xf numFmtId="0" fontId="0" fillId="5" borderId="4" xfId="0" applyFill="1" applyBorder="1"/>
    <xf numFmtId="0" fontId="0" fillId="5" borderId="8" xfId="0" applyFill="1" applyBorder="1"/>
    <xf numFmtId="166" fontId="0" fillId="0" borderId="4" xfId="0" applyNumberFormat="1" applyFill="1" applyBorder="1"/>
    <xf numFmtId="166" fontId="0" fillId="0" borderId="6" xfId="0" applyNumberFormat="1" applyFill="1" applyBorder="1"/>
    <xf numFmtId="166" fontId="0" fillId="0" borderId="8" xfId="0" applyNumberFormat="1" applyFill="1" applyBorder="1"/>
    <xf numFmtId="169" fontId="2" fillId="4" borderId="2" xfId="0" applyNumberFormat="1" applyFont="1" applyFill="1" applyBorder="1"/>
    <xf numFmtId="169" fontId="2" fillId="4" borderId="0" xfId="0" applyNumberFormat="1" applyFont="1" applyFill="1" applyBorder="1"/>
    <xf numFmtId="170" fontId="15" fillId="0" borderId="14" xfId="3" applyNumberFormat="1" applyFont="1" applyBorder="1"/>
    <xf numFmtId="0" fontId="14" fillId="4" borderId="3" xfId="0" applyFont="1" applyFill="1" applyBorder="1" applyProtection="1">
      <protection hidden="1"/>
    </xf>
    <xf numFmtId="0" fontId="14" fillId="4" borderId="2" xfId="0" applyFont="1" applyFill="1" applyBorder="1" applyProtection="1">
      <protection hidden="1"/>
    </xf>
    <xf numFmtId="0" fontId="14" fillId="4" borderId="7" xfId="0" applyFont="1" applyFill="1" applyBorder="1" applyProtection="1">
      <protection hidden="1"/>
    </xf>
    <xf numFmtId="0" fontId="14" fillId="4" borderId="1" xfId="0" applyFont="1" applyFill="1" applyBorder="1" applyProtection="1">
      <protection hidden="1"/>
    </xf>
    <xf numFmtId="167" fontId="15" fillId="0" borderId="3" xfId="0" applyNumberFormat="1" applyFont="1" applyBorder="1" applyProtection="1">
      <protection hidden="1"/>
    </xf>
    <xf numFmtId="167" fontId="15" fillId="0" borderId="5" xfId="0" applyNumberFormat="1" applyFont="1" applyBorder="1" applyProtection="1">
      <protection hidden="1"/>
    </xf>
    <xf numFmtId="167" fontId="15" fillId="0" borderId="6" xfId="0" applyNumberFormat="1" applyFont="1" applyBorder="1" applyProtection="1">
      <protection hidden="1"/>
    </xf>
    <xf numFmtId="167" fontId="15" fillId="0" borderId="7" xfId="0" applyNumberFormat="1" applyFont="1" applyBorder="1" applyProtection="1">
      <protection hidden="1"/>
    </xf>
    <xf numFmtId="167" fontId="15" fillId="0" borderId="8" xfId="0" applyNumberFormat="1" applyFont="1" applyBorder="1" applyProtection="1">
      <protection hidden="1"/>
    </xf>
    <xf numFmtId="167" fontId="15" fillId="0" borderId="10" xfId="0" applyNumberFormat="1" applyFont="1" applyBorder="1" applyProtection="1">
      <protection hidden="1"/>
    </xf>
    <xf numFmtId="167" fontId="15" fillId="0" borderId="11" xfId="0" applyNumberFormat="1" applyFont="1" applyBorder="1" applyProtection="1">
      <protection hidden="1"/>
    </xf>
    <xf numFmtId="167" fontId="15" fillId="0" borderId="4" xfId="0" applyNumberFormat="1" applyFont="1" applyBorder="1" applyProtection="1">
      <protection hidden="1"/>
    </xf>
    <xf numFmtId="167" fontId="16" fillId="4" borderId="2" xfId="0" applyNumberFormat="1" applyFont="1" applyFill="1" applyBorder="1" applyProtection="1">
      <protection hidden="1"/>
    </xf>
    <xf numFmtId="167" fontId="16" fillId="4" borderId="4" xfId="0" applyNumberFormat="1" applyFont="1" applyFill="1" applyBorder="1" applyProtection="1">
      <protection hidden="1"/>
    </xf>
    <xf numFmtId="167" fontId="15" fillId="0" borderId="0" xfId="0" applyNumberFormat="1" applyFont="1" applyBorder="1" applyProtection="1">
      <protection hidden="1"/>
    </xf>
    <xf numFmtId="167" fontId="15" fillId="0" borderId="1" xfId="0" applyNumberFormat="1" applyFont="1" applyBorder="1" applyProtection="1">
      <protection hidden="1"/>
    </xf>
    <xf numFmtId="0" fontId="15" fillId="0" borderId="0" xfId="0" applyFont="1" applyBorder="1" applyProtection="1">
      <protection hidden="1"/>
    </xf>
    <xf numFmtId="0" fontId="15" fillId="0" borderId="6" xfId="0" applyFont="1" applyBorder="1" applyProtection="1">
      <protection hidden="1"/>
    </xf>
    <xf numFmtId="0" fontId="15" fillId="0" borderId="1" xfId="0" applyFont="1" applyBorder="1" applyProtection="1">
      <protection hidden="1"/>
    </xf>
    <xf numFmtId="0" fontId="15" fillId="0" borderId="8" xfId="0" applyFont="1" applyBorder="1" applyProtection="1">
      <protection hidden="1"/>
    </xf>
    <xf numFmtId="167" fontId="15" fillId="0" borderId="2" xfId="0" applyNumberFormat="1" applyFont="1" applyBorder="1" applyProtection="1">
      <protection hidden="1"/>
    </xf>
    <xf numFmtId="171" fontId="2" fillId="4" borderId="1" xfId="0" applyNumberFormat="1" applyFont="1" applyFill="1" applyBorder="1" applyProtection="1">
      <protection hidden="1"/>
    </xf>
    <xf numFmtId="171" fontId="2" fillId="4" borderId="8" xfId="0" applyNumberFormat="1" applyFont="1" applyFill="1" applyBorder="1" applyProtection="1">
      <protection hidden="1"/>
    </xf>
    <xf numFmtId="0" fontId="2" fillId="4" borderId="5" xfId="0" applyFont="1" applyFill="1" applyBorder="1" applyProtection="1">
      <protection hidden="1"/>
    </xf>
    <xf numFmtId="169" fontId="0" fillId="0" borderId="1" xfId="1" applyNumberFormat="1" applyFont="1" applyFill="1" applyBorder="1" applyProtection="1"/>
    <xf numFmtId="0" fontId="0" fillId="0" borderId="0" xfId="0" applyFill="1" applyBorder="1" applyProtection="1"/>
    <xf numFmtId="0" fontId="0" fillId="0" borderId="0" xfId="0" applyFont="1" applyFill="1" applyBorder="1" applyProtection="1"/>
    <xf numFmtId="0" fontId="10" fillId="0" borderId="0" xfId="0" applyFont="1" applyFill="1" applyBorder="1" applyProtection="1"/>
    <xf numFmtId="0" fontId="0" fillId="0" borderId="0" xfId="0" applyProtection="1"/>
    <xf numFmtId="0" fontId="0" fillId="0" borderId="1" xfId="0" applyFill="1" applyBorder="1" applyProtection="1"/>
    <xf numFmtId="9" fontId="0" fillId="2" borderId="1" xfId="0" applyNumberFormat="1" applyFill="1" applyBorder="1" applyProtection="1"/>
    <xf numFmtId="9" fontId="2" fillId="0" borderId="1" xfId="0" applyNumberFormat="1" applyFont="1" applyFill="1" applyBorder="1" applyProtection="1"/>
    <xf numFmtId="166" fontId="8" fillId="0" borderId="1" xfId="0" applyNumberFormat="1" applyFont="1" applyBorder="1" applyProtection="1"/>
    <xf numFmtId="1" fontId="0" fillId="0" borderId="1" xfId="0" applyNumberFormat="1" applyBorder="1" applyProtection="1"/>
    <xf numFmtId="2" fontId="0" fillId="0" borderId="1" xfId="0" applyNumberFormat="1" applyBorder="1" applyProtection="1"/>
    <xf numFmtId="2" fontId="0" fillId="2" borderId="1" xfId="0" applyNumberFormat="1" applyFill="1" applyBorder="1" applyProtection="1"/>
    <xf numFmtId="2" fontId="0" fillId="0" borderId="1" xfId="0" applyNumberFormat="1" applyFill="1" applyBorder="1" applyProtection="1"/>
    <xf numFmtId="170" fontId="0" fillId="0" borderId="14" xfId="3" applyNumberFormat="1" applyFont="1" applyFill="1" applyBorder="1" applyProtection="1"/>
    <xf numFmtId="0" fontId="0" fillId="0" borderId="0" xfId="0" applyBorder="1" applyProtection="1"/>
    <xf numFmtId="0" fontId="8" fillId="0" borderId="0" xfId="0" applyFont="1" applyBorder="1" applyProtection="1"/>
    <xf numFmtId="170" fontId="0" fillId="0" borderId="13" xfId="0" applyNumberFormat="1" applyBorder="1" applyProtection="1"/>
    <xf numFmtId="0" fontId="0" fillId="0" borderId="1" xfId="0" applyBorder="1" applyProtection="1"/>
    <xf numFmtId="0" fontId="8" fillId="0" borderId="1" xfId="0" applyFont="1" applyBorder="1" applyProtection="1"/>
    <xf numFmtId="170" fontId="0" fillId="0" borderId="14" xfId="0" applyNumberFormat="1" applyBorder="1" applyProtection="1"/>
    <xf numFmtId="0" fontId="0" fillId="0" borderId="0" xfId="0" applyFill="1" applyBorder="1" applyAlignment="1">
      <alignment horizontal="center"/>
    </xf>
    <xf numFmtId="170" fontId="15" fillId="0" borderId="0" xfId="3" applyNumberFormat="1" applyFont="1" applyBorder="1"/>
    <xf numFmtId="0" fontId="13" fillId="0" borderId="0" xfId="0" applyFont="1" applyAlignment="1">
      <alignment horizontal="right"/>
    </xf>
    <xf numFmtId="170" fontId="17" fillId="0" borderId="13" xfId="3" applyNumberFormat="1" applyFont="1" applyBorder="1"/>
    <xf numFmtId="170" fontId="17" fillId="0" borderId="16" xfId="3" applyNumberFormat="1" applyFont="1" applyBorder="1"/>
    <xf numFmtId="0" fontId="17" fillId="0" borderId="16" xfId="0" applyFont="1" applyBorder="1"/>
    <xf numFmtId="0" fontId="17" fillId="0" borderId="13" xfId="0" applyFont="1" applyBorder="1"/>
    <xf numFmtId="1" fontId="17" fillId="0" borderId="14" xfId="0" applyNumberFormat="1" applyFont="1" applyBorder="1" applyProtection="1"/>
    <xf numFmtId="0" fontId="17" fillId="0" borderId="13" xfId="0" applyFont="1" applyBorder="1" applyProtection="1"/>
    <xf numFmtId="0" fontId="17" fillId="0" borderId="14" xfId="0" applyFont="1" applyBorder="1" applyProtection="1"/>
    <xf numFmtId="0" fontId="17" fillId="0" borderId="14" xfId="0" applyFont="1" applyBorder="1"/>
    <xf numFmtId="170" fontId="17" fillId="0" borderId="14" xfId="3" applyNumberFormat="1" applyFont="1" applyBorder="1"/>
    <xf numFmtId="170" fontId="17" fillId="0" borderId="15" xfId="3" applyNumberFormat="1" applyFont="1" applyBorder="1"/>
    <xf numFmtId="0" fontId="0" fillId="2" borderId="0" xfId="0" applyFill="1"/>
    <xf numFmtId="0" fontId="10" fillId="2" borderId="0" xfId="0" applyFont="1" applyFill="1"/>
    <xf numFmtId="165" fontId="0" fillId="0" borderId="9" xfId="1" applyNumberFormat="1" applyFont="1" applyBorder="1"/>
    <xf numFmtId="14" fontId="0" fillId="0" borderId="0" xfId="0" applyNumberFormat="1" applyBorder="1"/>
    <xf numFmtId="9" fontId="0" fillId="0" borderId="0" xfId="2" applyFont="1" applyBorder="1"/>
    <xf numFmtId="10" fontId="0" fillId="0" borderId="1" xfId="2" applyNumberFormat="1" applyFont="1" applyBorder="1"/>
    <xf numFmtId="0" fontId="2" fillId="0" borderId="8" xfId="0" applyFont="1" applyBorder="1" applyAlignment="1">
      <alignment horizontal="center"/>
    </xf>
    <xf numFmtId="14" fontId="0" fillId="2" borderId="0" xfId="0" applyNumberFormat="1" applyFill="1" applyBorder="1"/>
    <xf numFmtId="172" fontId="3" fillId="0" borderId="9" xfId="0" applyNumberFormat="1" applyFont="1" applyBorder="1"/>
    <xf numFmtId="0" fontId="19" fillId="0" borderId="0" xfId="0" applyFont="1" applyFill="1" applyAlignment="1">
      <alignment vertical="center"/>
    </xf>
    <xf numFmtId="14" fontId="19" fillId="0" borderId="0" xfId="0" applyNumberFormat="1" applyFont="1" applyFill="1" applyAlignment="1">
      <alignment vertical="center"/>
    </xf>
    <xf numFmtId="171" fontId="2" fillId="0" borderId="0" xfId="0" applyNumberFormat="1" applyFont="1" applyFill="1" applyBorder="1" applyProtection="1">
      <protection hidden="1"/>
    </xf>
    <xf numFmtId="43" fontId="0" fillId="0" borderId="0" xfId="0" applyNumberFormat="1" applyBorder="1"/>
    <xf numFmtId="43" fontId="0" fillId="0" borderId="0" xfId="1" applyFont="1" applyFill="1" applyBorder="1"/>
    <xf numFmtId="43" fontId="0" fillId="5" borderId="0" xfId="0" applyNumberFormat="1" applyFill="1" applyBorder="1"/>
    <xf numFmtId="43" fontId="0" fillId="5" borderId="0" xfId="1" applyFont="1" applyFill="1" applyBorder="1"/>
    <xf numFmtId="0" fontId="0" fillId="5" borderId="0" xfId="0" applyFill="1" applyBorder="1"/>
    <xf numFmtId="169" fontId="0" fillId="6" borderId="13" xfId="1" applyNumberFormat="1" applyFont="1" applyFill="1" applyBorder="1" applyProtection="1">
      <protection locked="0"/>
    </xf>
    <xf numFmtId="170" fontId="0" fillId="6" borderId="13" xfId="3" applyNumberFormat="1" applyFont="1" applyFill="1" applyBorder="1" applyProtection="1">
      <protection locked="0"/>
    </xf>
    <xf numFmtId="0" fontId="0" fillId="6" borderId="2" xfId="0" applyFont="1" applyFill="1" applyBorder="1" applyProtection="1">
      <protection locked="0"/>
    </xf>
    <xf numFmtId="0" fontId="0" fillId="6" borderId="9" xfId="0" applyFont="1" applyFill="1" applyBorder="1" applyProtection="1">
      <protection locked="0"/>
    </xf>
    <xf numFmtId="169" fontId="0" fillId="6" borderId="0" xfId="1" applyNumberFormat="1" applyFont="1" applyFill="1" applyBorder="1" applyProtection="1">
      <protection locked="0"/>
    </xf>
    <xf numFmtId="169" fontId="0" fillId="6" borderId="1" xfId="1" applyNumberFormat="1" applyFont="1" applyFill="1" applyBorder="1" applyProtection="1">
      <protection locked="0"/>
    </xf>
    <xf numFmtId="169" fontId="0" fillId="6" borderId="9" xfId="1" applyNumberFormat="1" applyFont="1" applyFill="1" applyBorder="1" applyProtection="1">
      <protection locked="0"/>
    </xf>
    <xf numFmtId="169" fontId="0" fillId="6" borderId="2" xfId="1" applyNumberFormat="1" applyFont="1" applyFill="1" applyBorder="1" applyProtection="1">
      <protection locked="0"/>
    </xf>
    <xf numFmtId="170" fontId="0" fillId="6" borderId="16" xfId="3" applyNumberFormat="1" applyFont="1" applyFill="1" applyBorder="1" applyProtection="1">
      <protection locked="0"/>
    </xf>
    <xf numFmtId="170" fontId="0" fillId="6" borderId="14" xfId="3" applyNumberFormat="1" applyFont="1" applyFill="1" applyBorder="1" applyProtection="1">
      <protection locked="0"/>
    </xf>
    <xf numFmtId="170" fontId="0" fillId="6" borderId="15" xfId="3" applyNumberFormat="1" applyFont="1" applyFill="1" applyBorder="1" applyProtection="1">
      <protection locked="0"/>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2" fillId="0" borderId="10" xfId="0" applyFont="1" applyFill="1" applyBorder="1" applyAlignment="1" applyProtection="1">
      <alignment horizontal="right"/>
      <protection hidden="1"/>
    </xf>
    <xf numFmtId="0" fontId="2" fillId="0" borderId="11" xfId="0" applyFont="1" applyFill="1" applyBorder="1" applyAlignment="1" applyProtection="1">
      <alignment horizontal="right"/>
      <protection hidden="1"/>
    </xf>
    <xf numFmtId="0" fontId="0" fillId="0" borderId="10" xfId="0" applyBorder="1" applyAlignment="1" applyProtection="1">
      <alignment horizontal="center" wrapText="1"/>
      <protection hidden="1"/>
    </xf>
    <xf numFmtId="0" fontId="0" fillId="0" borderId="9" xfId="0" applyBorder="1" applyAlignment="1" applyProtection="1">
      <alignment horizontal="center" wrapText="1"/>
      <protection hidden="1"/>
    </xf>
    <xf numFmtId="0" fontId="5" fillId="4" borderId="10"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1" xfId="0" applyFont="1" applyFill="1" applyBorder="1" applyAlignment="1">
      <alignment horizontal="left" vertical="top" wrapText="1"/>
    </xf>
    <xf numFmtId="0" fontId="0" fillId="0" borderId="11" xfId="0" applyBorder="1" applyAlignment="1" applyProtection="1">
      <alignment horizontal="center" wrapText="1"/>
      <protection hidden="1"/>
    </xf>
    <xf numFmtId="0" fontId="0" fillId="6" borderId="3" xfId="0" applyFill="1" applyBorder="1" applyAlignment="1" applyProtection="1">
      <alignment horizontal="left" vertical="top" wrapText="1"/>
      <protection locked="0"/>
    </xf>
    <xf numFmtId="0" fontId="0" fillId="6" borderId="4" xfId="0" applyFill="1" applyBorder="1" applyAlignment="1" applyProtection="1">
      <alignment horizontal="left" vertical="top" wrapText="1"/>
      <protection locked="0"/>
    </xf>
    <xf numFmtId="0" fontId="0" fillId="6" borderId="7" xfId="0" applyFill="1" applyBorder="1" applyAlignment="1" applyProtection="1">
      <alignment horizontal="left" vertical="top" wrapText="1"/>
      <protection locked="0"/>
    </xf>
    <xf numFmtId="0" fontId="0" fillId="6" borderId="8" xfId="0" applyFill="1" applyBorder="1" applyAlignment="1" applyProtection="1">
      <alignment horizontal="left" vertical="top" wrapText="1"/>
      <protection locked="0"/>
    </xf>
    <xf numFmtId="0" fontId="0" fillId="6" borderId="3" xfId="0" applyFill="1" applyBorder="1" applyAlignment="1" applyProtection="1">
      <alignment horizontal="left" vertical="top"/>
      <protection locked="0"/>
    </xf>
    <xf numFmtId="0" fontId="0" fillId="6" borderId="4"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8" xfId="0" applyFill="1" applyBorder="1" applyAlignment="1" applyProtection="1">
      <alignment horizontal="left" vertical="top"/>
      <protection locked="0"/>
    </xf>
  </cellXfs>
  <cellStyles count="4">
    <cellStyle name="Komma" xfId="1" builtinId="3"/>
    <cellStyle name="Prozent" xfId="2" builtinId="5"/>
    <cellStyle name="Standard" xfId="0" builtinId="0"/>
    <cellStyle name="Währung" xfId="3" builtinId="4"/>
  </cellStyles>
  <dxfs count="21">
    <dxf>
      <fill>
        <patternFill patternType="solid">
          <fgColor auto="1"/>
          <bgColor rgb="FFFF0000"/>
        </patternFill>
      </fill>
      <border>
        <vertical/>
        <horizontal/>
      </border>
    </dxf>
    <dxf>
      <font>
        <color auto="1"/>
      </font>
      <fill>
        <patternFill>
          <bgColor rgb="FF92D050"/>
        </patternFill>
      </fill>
      <border>
        <vertical/>
        <horizontal/>
      </border>
    </dxf>
    <dxf>
      <font>
        <color rgb="FFFF0000"/>
      </font>
      <fill>
        <patternFill>
          <bgColor rgb="FF92D050"/>
        </patternFill>
      </fill>
      <border>
        <vertical/>
        <horizontal/>
      </border>
    </dxf>
    <dxf>
      <fill>
        <patternFill patternType="solid">
          <fgColor auto="1"/>
          <bgColor rgb="FFFF0000"/>
        </patternFill>
      </fill>
      <border>
        <vertical/>
        <horizontal/>
      </border>
    </dxf>
    <dxf>
      <font>
        <color auto="1"/>
      </font>
      <fill>
        <patternFill>
          <bgColor rgb="FF92D050"/>
        </patternFill>
      </fill>
      <border>
        <vertical/>
        <horizontal/>
      </border>
    </dxf>
    <dxf>
      <font>
        <color rgb="FFFF0000"/>
      </font>
      <fill>
        <patternFill>
          <bgColor rgb="FF92D050"/>
        </patternFill>
      </fill>
      <border>
        <vertical/>
        <horizontal/>
      </border>
    </dxf>
    <dxf>
      <fill>
        <patternFill patternType="solid">
          <fgColor auto="1"/>
          <bgColor rgb="FFFF0000"/>
        </patternFill>
      </fill>
      <border>
        <vertical/>
        <horizontal/>
      </border>
    </dxf>
    <dxf>
      <font>
        <color auto="1"/>
      </font>
      <fill>
        <patternFill>
          <bgColor rgb="FF92D050"/>
        </patternFill>
      </fill>
      <border>
        <vertical/>
        <horizontal/>
      </border>
    </dxf>
    <dxf>
      <font>
        <color rgb="FFFF0000"/>
      </font>
      <fill>
        <patternFill>
          <bgColor rgb="FF92D050"/>
        </patternFill>
      </fill>
      <border>
        <vertical/>
        <horizontal/>
      </border>
    </dxf>
    <dxf>
      <fill>
        <patternFill patternType="solid">
          <fgColor auto="1"/>
          <bgColor rgb="FFFF0000"/>
        </patternFill>
      </fill>
      <border>
        <vertical/>
        <horizontal/>
      </border>
    </dxf>
    <dxf>
      <font>
        <color auto="1"/>
      </font>
      <fill>
        <patternFill>
          <bgColor rgb="FF92D050"/>
        </patternFill>
      </fill>
      <border>
        <vertical/>
        <horizontal/>
      </border>
    </dxf>
    <dxf>
      <font>
        <color rgb="FFFF0000"/>
      </font>
      <fill>
        <patternFill>
          <bgColor rgb="FF92D050"/>
        </patternFill>
      </fill>
      <border>
        <vertical/>
        <horizontal/>
      </border>
    </dxf>
    <dxf>
      <fill>
        <patternFill patternType="solid">
          <fgColor auto="1"/>
          <bgColor rgb="FFFF0000"/>
        </patternFill>
      </fill>
      <border>
        <vertical/>
        <horizontal/>
      </border>
    </dxf>
    <dxf>
      <font>
        <color auto="1"/>
      </font>
      <fill>
        <patternFill>
          <bgColor rgb="FF92D050"/>
        </patternFill>
      </fill>
      <border>
        <vertical/>
        <horizontal/>
      </border>
    </dxf>
    <dxf>
      <font>
        <color rgb="FFFF0000"/>
      </font>
      <fill>
        <patternFill>
          <bgColor rgb="FF92D050"/>
        </patternFill>
      </fill>
      <border>
        <vertical/>
        <horizontal/>
      </border>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18256</xdr:colOff>
      <xdr:row>0</xdr:row>
      <xdr:rowOff>9525</xdr:rowOff>
    </xdr:from>
    <xdr:to>
      <xdr:col>30</xdr:col>
      <xdr:colOff>654843</xdr:colOff>
      <xdr:row>34</xdr:row>
      <xdr:rowOff>61914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8256" y="9525"/>
          <a:ext cx="9711314" cy="6282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solidFill>
                <a:schemeClr val="dk1"/>
              </a:solidFill>
              <a:effectLst/>
              <a:latin typeface="+mn-lt"/>
              <a:ea typeface="+mn-ea"/>
              <a:cs typeface="+mn-cs"/>
            </a:rPr>
            <a:t>Tabellen für das Überprüfen von Aufwandswerten (Zeitansätze) und Lohnkosten von Bewehrungsarbeiten</a:t>
          </a:r>
        </a:p>
        <a:p>
          <a:endParaRPr lang="de-AT" sz="1000">
            <a:solidFill>
              <a:schemeClr val="dk1"/>
            </a:solidFill>
            <a:effectLst/>
            <a:latin typeface="+mn-lt"/>
            <a:ea typeface="+mn-ea"/>
            <a:cs typeface="+mn-cs"/>
          </a:endParaRPr>
        </a:p>
        <a:p>
          <a:r>
            <a:rPr lang="de-AT" sz="1000">
              <a:solidFill>
                <a:schemeClr val="dk1"/>
              </a:solidFill>
              <a:effectLst/>
              <a:latin typeface="+mn-lt"/>
              <a:ea typeface="+mn-ea"/>
              <a:cs typeface="+mn-cs"/>
            </a:rPr>
            <a:t>Die nachfolgenden Tabellen dienen </a:t>
          </a:r>
          <a:r>
            <a:rPr lang="de-AT" sz="1000" b="1">
              <a:solidFill>
                <a:schemeClr val="dk1"/>
              </a:solidFill>
              <a:effectLst/>
              <a:latin typeface="+mn-lt"/>
              <a:ea typeface="+mn-ea"/>
              <a:cs typeface="+mn-cs"/>
            </a:rPr>
            <a:t>zur Prüfung der Preisangemessenheit </a:t>
          </a:r>
          <a:r>
            <a:rPr lang="de-AT" sz="1000">
              <a:solidFill>
                <a:schemeClr val="dk1"/>
              </a:solidFill>
              <a:effectLst/>
              <a:latin typeface="+mn-lt"/>
              <a:ea typeface="+mn-ea"/>
              <a:cs typeface="+mn-cs"/>
            </a:rPr>
            <a:t>des Preisanteils Lohn von möglichen LV-Positionen für Bewehrungsarbeiten. Es ist jeweils eine Bandbreite („von“, „bis“) für die Aufwandswerte (AW), getrennt in </a:t>
          </a:r>
          <a:r>
            <a:rPr lang="de-AT" sz="1000" i="1">
              <a:solidFill>
                <a:schemeClr val="dk1"/>
              </a:solidFill>
              <a:effectLst/>
              <a:latin typeface="+mn-lt"/>
              <a:ea typeface="+mn-ea"/>
              <a:cs typeface="+mn-cs"/>
            </a:rPr>
            <a:t>Schneiden und Biegen </a:t>
          </a:r>
          <a:r>
            <a:rPr lang="de-AT" sz="1000">
              <a:solidFill>
                <a:schemeClr val="dk1"/>
              </a:solidFill>
              <a:effectLst/>
              <a:latin typeface="+mn-lt"/>
              <a:ea typeface="+mn-ea"/>
              <a:cs typeface="+mn-cs"/>
            </a:rPr>
            <a:t>(S+B) sowie </a:t>
          </a:r>
          <a:r>
            <a:rPr lang="de-AT" sz="1000" i="1">
              <a:solidFill>
                <a:schemeClr val="dk1"/>
              </a:solidFill>
              <a:effectLst/>
              <a:latin typeface="+mn-lt"/>
              <a:ea typeface="+mn-ea"/>
              <a:cs typeface="+mn-cs"/>
            </a:rPr>
            <a:t>Verlegen</a:t>
          </a:r>
          <a:r>
            <a:rPr lang="de-AT" sz="1000">
              <a:solidFill>
                <a:schemeClr val="dk1"/>
              </a:solidFill>
              <a:effectLst/>
              <a:latin typeface="+mn-lt"/>
              <a:ea typeface="+mn-ea"/>
              <a:cs typeface="+mn-cs"/>
            </a:rPr>
            <a:t> (V) von Baustahl, angegeben. Diese Aufwandswerte werden mit dem Mittellohnpreis (auch für diesen</a:t>
          </a:r>
          <a:r>
            <a:rPr lang="de-AT" sz="1000" baseline="0">
              <a:solidFill>
                <a:schemeClr val="dk1"/>
              </a:solidFill>
              <a:effectLst/>
              <a:latin typeface="+mn-lt"/>
              <a:ea typeface="+mn-ea"/>
              <a:cs typeface="+mn-cs"/>
            </a:rPr>
            <a:t> </a:t>
          </a:r>
          <a:r>
            <a:rPr lang="de-AT" sz="1000">
              <a:solidFill>
                <a:schemeClr val="dk1"/>
              </a:solidFill>
              <a:effectLst/>
              <a:latin typeface="+mn-lt"/>
              <a:ea typeface="+mn-ea"/>
              <a:cs typeface="+mn-cs"/>
            </a:rPr>
            <a:t>ist eine Bandbreite hinterlegt) multipliziert um zu einer Bandbereite für einen angemessenen Einheitspreisanteil LOHN zu gelangen. </a:t>
          </a:r>
        </a:p>
        <a:p>
          <a:r>
            <a:rPr lang="de-AT" sz="1000">
              <a:solidFill>
                <a:schemeClr val="dk1"/>
              </a:solidFill>
              <a:effectLst/>
              <a:latin typeface="+mn-lt"/>
              <a:ea typeface="+mn-ea"/>
              <a:cs typeface="+mn-cs"/>
            </a:rPr>
            <a:t>Hinweis: Die Ergebnisse werden durch Zufallszahlen bei jeder Neuberechnung etwas verändert.</a:t>
          </a:r>
          <a:r>
            <a:rPr lang="de-AT" sz="1000" baseline="0">
              <a:solidFill>
                <a:schemeClr val="dk1"/>
              </a:solidFill>
              <a:effectLst/>
              <a:latin typeface="+mn-lt"/>
              <a:ea typeface="+mn-ea"/>
              <a:cs typeface="+mn-cs"/>
            </a:rPr>
            <a:t> Damit wird zum Ausdruck gebracht</a:t>
          </a:r>
          <a:r>
            <a:rPr lang="de-AT" sz="1000">
              <a:solidFill>
                <a:schemeClr val="dk1"/>
              </a:solidFill>
              <a:effectLst/>
              <a:latin typeface="+mn-lt"/>
              <a:ea typeface="+mn-ea"/>
              <a:cs typeface="+mn-cs"/>
            </a:rPr>
            <a:t>, dass jede Kalkulation etwas Besonderes ist, das Ergebnis einer Kalkulation von vielen Einflüssen, nicht zuletzt von der subjektiven Einschätzung der Kalkulierenden abhängt, und daher die dargestellten Werte nur Richtwerte sein können. Es werden sich allerdings die Kosten mit hoher Wahrscheinlichkeit innerhalb der dargestellten Bandbreite bewegen.</a:t>
          </a:r>
        </a:p>
        <a:p>
          <a:r>
            <a:rPr lang="de-AT" sz="1000">
              <a:solidFill>
                <a:schemeClr val="dk1"/>
              </a:solidFill>
              <a:effectLst/>
              <a:latin typeface="+mn-lt"/>
              <a:ea typeface="+mn-ea"/>
              <a:cs typeface="+mn-cs"/>
            </a:rPr>
            <a:t>Im Einheitspreisanteil Lohn ist sowohl der Lohnaufwand für </a:t>
          </a:r>
          <a:r>
            <a:rPr lang="de-AT" sz="1000" i="1">
              <a:solidFill>
                <a:schemeClr val="dk1"/>
              </a:solidFill>
              <a:effectLst/>
              <a:latin typeface="+mn-lt"/>
              <a:ea typeface="+mn-ea"/>
              <a:cs typeface="+mn-cs"/>
            </a:rPr>
            <a:t>Schneiden und Biegen</a:t>
          </a:r>
          <a:r>
            <a:rPr lang="de-AT" sz="1000">
              <a:solidFill>
                <a:schemeClr val="dk1"/>
              </a:solidFill>
              <a:effectLst/>
              <a:latin typeface="+mn-lt"/>
              <a:ea typeface="+mn-ea"/>
              <a:cs typeface="+mn-cs"/>
            </a:rPr>
            <a:t>, als auch für das Verlegen enthalten. Der verwendete Mittellohnpreis für </a:t>
          </a:r>
          <a:r>
            <a:rPr lang="de-AT" sz="1000" i="1">
              <a:solidFill>
                <a:schemeClr val="dk1"/>
              </a:solidFill>
              <a:effectLst/>
              <a:latin typeface="+mn-lt"/>
              <a:ea typeface="+mn-ea"/>
              <a:cs typeface="+mn-cs"/>
            </a:rPr>
            <a:t>Schneiden und Biegen </a:t>
          </a:r>
          <a:r>
            <a:rPr lang="de-AT" sz="1000">
              <a:solidFill>
                <a:schemeClr val="dk1"/>
              </a:solidFill>
              <a:effectLst/>
              <a:latin typeface="+mn-lt"/>
              <a:ea typeface="+mn-ea"/>
              <a:cs typeface="+mn-cs"/>
            </a:rPr>
            <a:t>enthält auch anteilige Deckungsbeiträge für die Biegerei. Es kann der Lohnaufwand für  </a:t>
          </a:r>
          <a:r>
            <a:rPr lang="de-AT" sz="1000" i="1">
              <a:solidFill>
                <a:schemeClr val="dk1"/>
              </a:solidFill>
              <a:effectLst/>
              <a:latin typeface="+mn-lt"/>
              <a:ea typeface="+mn-ea"/>
              <a:cs typeface="+mn-cs"/>
            </a:rPr>
            <a:t>Schneiden und Biegen </a:t>
          </a:r>
          <a:r>
            <a:rPr lang="de-AT" sz="1000">
              <a:solidFill>
                <a:schemeClr val="dk1"/>
              </a:solidFill>
              <a:effectLst/>
              <a:latin typeface="+mn-lt"/>
              <a:ea typeface="+mn-ea"/>
              <a:cs typeface="+mn-cs"/>
            </a:rPr>
            <a:t>oder auch die erforderlichen Deckungsbeiträge für die Biegerei auch im Anteil Sonstiges kalkuliert sein. Bei der Interpretation eines Vergleiches von Angebotspreisen (Einheitspreisanteil Lohn) mit den</a:t>
          </a:r>
          <a:r>
            <a:rPr lang="de-AT" sz="1000" baseline="0">
              <a:solidFill>
                <a:schemeClr val="dk1"/>
              </a:solidFill>
              <a:effectLst/>
              <a:latin typeface="+mn-lt"/>
              <a:ea typeface="+mn-ea"/>
              <a:cs typeface="+mn-cs"/>
            </a:rPr>
            <a:t> </a:t>
          </a:r>
          <a:r>
            <a:rPr lang="de-AT" sz="1000">
              <a:solidFill>
                <a:schemeClr val="dk1"/>
              </a:solidFill>
              <a:effectLst/>
              <a:latin typeface="+mn-lt"/>
              <a:ea typeface="+mn-ea"/>
              <a:cs typeface="+mn-cs"/>
            </a:rPr>
            <a:t>vorliegenden Berechnungen ist dieser Umstand gegebenenfalls zu berücksichtigen. </a:t>
          </a:r>
        </a:p>
        <a:p>
          <a:r>
            <a:rPr lang="de-AT" sz="1000">
              <a:solidFill>
                <a:schemeClr val="dk1"/>
              </a:solidFill>
              <a:effectLst/>
              <a:latin typeface="+mn-lt"/>
              <a:ea typeface="+mn-ea"/>
              <a:cs typeface="+mn-cs"/>
            </a:rPr>
            <a:t>Nachfolgend finden sich Positionen aus der LB-H (Hochbau; siehe</a:t>
          </a:r>
          <a:r>
            <a:rPr lang="de-AT" sz="1000" baseline="0">
              <a:solidFill>
                <a:schemeClr val="dk1"/>
              </a:solidFill>
              <a:effectLst/>
              <a:latin typeface="+mn-lt"/>
              <a:ea typeface="+mn-ea"/>
              <a:cs typeface="+mn-cs"/>
            </a:rPr>
            <a:t> Kapitel 2</a:t>
          </a:r>
          <a:r>
            <a:rPr lang="de-AT" sz="1000">
              <a:solidFill>
                <a:schemeClr val="dk1"/>
              </a:solidFill>
              <a:effectLst/>
              <a:latin typeface="+mn-lt"/>
              <a:ea typeface="+mn-ea"/>
              <a:cs typeface="+mn-cs"/>
            </a:rPr>
            <a:t>) bzw der LB-VI (Verkehrsinfrastruktur; siehe Kapitel 3). Die hellgrün hinterlegten Felder sind Eingabefelder. Es können Positionsmengen sowie die angebotenen (zu überprüfenden) Einheitspreisanteile LOHN eingetragen werden. Werden Mengen und die angebotenen Einheitspreisanteile LOHN zu den einzelnen Positionen angegeben, erfolgt, </a:t>
          </a:r>
          <a:r>
            <a:rPr lang="de-AT" sz="1000" baseline="0">
              <a:solidFill>
                <a:schemeClr val="dk1"/>
              </a:solidFill>
              <a:effectLst/>
              <a:latin typeface="+mn-lt"/>
              <a:ea typeface="+mn-ea"/>
              <a:cs typeface="+mn-cs"/>
            </a:rPr>
            <a:t>wenn Angebotspreise außerhalb der errechneten Bandbreite li</a:t>
          </a:r>
          <a:r>
            <a:rPr lang="de-AT" sz="1000">
              <a:solidFill>
                <a:schemeClr val="dk1"/>
              </a:solidFill>
              <a:effectLst/>
              <a:latin typeface="+mn-lt"/>
              <a:ea typeface="+mn-ea"/>
              <a:cs typeface="+mn-cs"/>
            </a:rPr>
            <a:t>egen, eine Berechnung der Höhe der Unter- bzw Überdeckung</a:t>
          </a:r>
          <a:r>
            <a:rPr lang="de-AT" sz="1000" baseline="0">
              <a:solidFill>
                <a:schemeClr val="dk1"/>
              </a:solidFill>
              <a:effectLst/>
              <a:latin typeface="+mn-lt"/>
              <a:ea typeface="+mn-ea"/>
              <a:cs typeface="+mn-cs"/>
            </a:rPr>
            <a:t>.</a:t>
          </a:r>
          <a:r>
            <a:rPr lang="de-AT" sz="1000">
              <a:solidFill>
                <a:schemeClr val="dk1"/>
              </a:solidFill>
              <a:effectLst/>
              <a:latin typeface="+mn-lt"/>
              <a:ea typeface="+mn-ea"/>
              <a:cs typeface="+mn-cs"/>
            </a:rPr>
            <a:t> Ist die errechnete Summe der Über-/Unterdeckung je Position negativ sollte das den Prozess der vertieften Angebotsprüfung, und daher insbesondere auch eine Nachfrage beim</a:t>
          </a:r>
          <a:r>
            <a:rPr lang="de-AT" sz="1000" baseline="0">
              <a:solidFill>
                <a:schemeClr val="dk1"/>
              </a:solidFill>
              <a:effectLst/>
              <a:latin typeface="+mn-lt"/>
              <a:ea typeface="+mn-ea"/>
              <a:cs typeface="+mn-cs"/>
            </a:rPr>
            <a:t> Bieter,</a:t>
          </a:r>
          <a:r>
            <a:rPr lang="de-AT" sz="1000">
              <a:solidFill>
                <a:schemeClr val="dk1"/>
              </a:solidFill>
              <a:effectLst/>
              <a:latin typeface="+mn-lt"/>
              <a:ea typeface="+mn-ea"/>
              <a:cs typeface="+mn-cs"/>
            </a:rPr>
            <a:t> auslösen.</a:t>
          </a:r>
        </a:p>
        <a:p>
          <a:r>
            <a:rPr lang="de-AT" sz="1000">
              <a:solidFill>
                <a:schemeClr val="dk1"/>
              </a:solidFill>
              <a:effectLst/>
              <a:latin typeface="+mn-lt"/>
              <a:ea typeface="+mn-ea"/>
              <a:cs typeface="+mn-cs"/>
            </a:rPr>
            <a:t>Die Gesamtkosten für Bewehrungsarbeiten setzen sich im Wesentlichen aus den (1) Materialkosten, (2) den Kosten für Schneiden und Biegen, (3) den Kosten der Biegerei, (4) den Transportkosten zur Baustelle, (5) den Kosten für das Manipulieren und Verlegen vor Ort, (6) den Gemeinkosten der Baustelle sowie (7) dem Gesamtzuschlag zusammen. Die dargestellten Werte berücksichtigen bis auf die Materialkosten (1) und die Transportkosten (4) alle angeführten Kosten. Gemeinkosten (6 und 7) sind über die Höhe des</a:t>
          </a:r>
          <a:r>
            <a:rPr lang="de-AT" sz="1000" baseline="0">
              <a:solidFill>
                <a:schemeClr val="dk1"/>
              </a:solidFill>
              <a:effectLst/>
              <a:latin typeface="+mn-lt"/>
              <a:ea typeface="+mn-ea"/>
              <a:cs typeface="+mn-cs"/>
            </a:rPr>
            <a:t> angesetzten Mittellohnpreises für </a:t>
          </a:r>
          <a:r>
            <a:rPr lang="de-AT" sz="1000" i="1" baseline="0">
              <a:solidFill>
                <a:schemeClr val="dk1"/>
              </a:solidFill>
              <a:effectLst/>
              <a:latin typeface="+mn-lt"/>
              <a:ea typeface="+mn-ea"/>
              <a:cs typeface="+mn-cs"/>
            </a:rPr>
            <a:t>Schneiden und Biegen </a:t>
          </a:r>
          <a:r>
            <a:rPr lang="de-AT" sz="1000" baseline="0">
              <a:solidFill>
                <a:schemeClr val="dk1"/>
              </a:solidFill>
              <a:effectLst/>
              <a:latin typeface="+mn-lt"/>
              <a:ea typeface="+mn-ea"/>
              <a:cs typeface="+mn-cs"/>
            </a:rPr>
            <a:t>bzw </a:t>
          </a:r>
          <a:r>
            <a:rPr lang="de-AT" sz="1000" i="1" baseline="0">
              <a:solidFill>
                <a:schemeClr val="dk1"/>
              </a:solidFill>
              <a:effectLst/>
              <a:latin typeface="+mn-lt"/>
              <a:ea typeface="+mn-ea"/>
              <a:cs typeface="+mn-cs"/>
            </a:rPr>
            <a:t>Verlegen</a:t>
          </a:r>
          <a:r>
            <a:rPr lang="de-AT" sz="1000" baseline="0">
              <a:solidFill>
                <a:schemeClr val="dk1"/>
              </a:solidFill>
              <a:effectLst/>
              <a:latin typeface="+mn-lt"/>
              <a:ea typeface="+mn-ea"/>
              <a:cs typeface="+mn-cs"/>
            </a:rPr>
            <a:t> </a:t>
          </a:r>
          <a:r>
            <a:rPr lang="de-AT" sz="1000">
              <a:solidFill>
                <a:schemeClr val="dk1"/>
              </a:solidFill>
              <a:effectLst/>
              <a:latin typeface="+mn-lt"/>
              <a:ea typeface="+mn-ea"/>
              <a:cs typeface="+mn-cs"/>
            </a:rPr>
            <a:t>anteilig berücksichtigt.</a:t>
          </a:r>
        </a:p>
        <a:p>
          <a:endParaRPr lang="de-AT" sz="1000">
            <a:solidFill>
              <a:schemeClr val="dk1"/>
            </a:solidFill>
            <a:effectLst/>
            <a:latin typeface="+mn-lt"/>
            <a:ea typeface="+mn-ea"/>
            <a:cs typeface="+mn-cs"/>
          </a:endParaRPr>
        </a:p>
        <a:p>
          <a:r>
            <a:rPr lang="de-AT" sz="1000">
              <a:solidFill>
                <a:srgbClr val="FF0000"/>
              </a:solidFill>
              <a:effectLst/>
              <a:latin typeface="+mn-lt"/>
              <a:ea typeface="+mn-ea"/>
              <a:cs typeface="+mn-cs"/>
            </a:rPr>
            <a:t>Zu Kapitel 1: Verlegen von Baustahlmatten: </a:t>
          </a:r>
          <a:r>
            <a:rPr lang="de-AT" sz="1000">
              <a:solidFill>
                <a:schemeClr val="dk1"/>
              </a:solidFill>
              <a:effectLst/>
              <a:latin typeface="+mn-lt"/>
              <a:ea typeface="+mn-ea"/>
              <a:cs typeface="+mn-cs"/>
            </a:rPr>
            <a:t>In der Tabelle 1 ist ein allfälliger Aufwand für das Schneiden im Aufwandswert für Verlegen bereits berücksichtigt.</a:t>
          </a:r>
        </a:p>
        <a:p>
          <a:r>
            <a:rPr lang="de-AT" sz="1000">
              <a:solidFill>
                <a:srgbClr val="FF0000"/>
              </a:solidFill>
              <a:effectLst/>
              <a:latin typeface="+mn-lt"/>
              <a:ea typeface="+mn-ea"/>
              <a:cs typeface="+mn-cs"/>
            </a:rPr>
            <a:t>Zu Kapitel 2: Bearbeiten und Verlegen von Stabstahl im Hochbau:</a:t>
          </a:r>
        </a:p>
        <a:p>
          <a:r>
            <a:rPr lang="de-AT" sz="1000">
              <a:solidFill>
                <a:schemeClr val="dk1"/>
              </a:solidFill>
              <a:effectLst/>
              <a:latin typeface="+mn-lt"/>
              <a:ea typeface="+mn-ea"/>
              <a:cs typeface="+mn-cs"/>
            </a:rPr>
            <a:t>In Tabelle 2.0 können Randbedingungen des Hochbau-Bauwerks, welche Einfluss auf die Aufwandswerte haben, angegeben werden.</a:t>
          </a:r>
        </a:p>
        <a:p>
          <a:r>
            <a:rPr lang="de-AT" sz="1000">
              <a:solidFill>
                <a:schemeClr val="dk1"/>
              </a:solidFill>
              <a:effectLst/>
              <a:latin typeface="+mn-lt"/>
              <a:ea typeface="+mn-ea"/>
              <a:cs typeface="+mn-cs"/>
            </a:rPr>
            <a:t>In Tabelle 2.1 finden sich Positionen nach Durchmessergruppen.</a:t>
          </a:r>
        </a:p>
        <a:p>
          <a:r>
            <a:rPr lang="de-AT" sz="1000">
              <a:solidFill>
                <a:schemeClr val="dk1"/>
              </a:solidFill>
              <a:effectLst/>
              <a:latin typeface="+mn-lt"/>
              <a:ea typeface="+mn-ea"/>
              <a:cs typeface="+mn-cs"/>
            </a:rPr>
            <a:t>In Tabelle 2.2 finden sich Positionen der LB-H.</a:t>
          </a:r>
        </a:p>
        <a:p>
          <a:r>
            <a:rPr lang="de-AT" sz="1000">
              <a:solidFill>
                <a:srgbClr val="FF0000"/>
              </a:solidFill>
              <a:effectLst/>
              <a:latin typeface="+mn-lt"/>
              <a:ea typeface="+mn-ea"/>
              <a:cs typeface="+mn-cs"/>
            </a:rPr>
            <a:t>Zu Kapitel 3: Bearbeiten und Verlegen von Stabstahl im Tiefbau: </a:t>
          </a:r>
          <a:r>
            <a:rPr lang="de-AT" sz="1000">
              <a:solidFill>
                <a:schemeClr val="dk1"/>
              </a:solidFill>
              <a:effectLst/>
              <a:latin typeface="+mn-lt"/>
              <a:ea typeface="+mn-ea"/>
              <a:cs typeface="+mn-cs"/>
            </a:rPr>
            <a:t>In Tabelle 3.1 finden sich Positionen nach Durchmessergruppen.</a:t>
          </a:r>
        </a:p>
        <a:p>
          <a:r>
            <a:rPr lang="de-AT" sz="1000">
              <a:solidFill>
                <a:schemeClr val="dk1"/>
              </a:solidFill>
              <a:effectLst/>
              <a:latin typeface="+mn-lt"/>
              <a:ea typeface="+mn-ea"/>
              <a:cs typeface="+mn-cs"/>
            </a:rPr>
            <a:t> </a:t>
          </a:r>
        </a:p>
        <a:p>
          <a:r>
            <a:rPr lang="de-AT" sz="1000" b="1">
              <a:solidFill>
                <a:schemeClr val="dk1"/>
              </a:solidFill>
              <a:effectLst/>
              <a:latin typeface="+mn-lt"/>
              <a:ea typeface="+mn-ea"/>
              <a:cs typeface="+mn-cs"/>
            </a:rPr>
            <a:t>Verfasser der vorliegenden Prüfblätter:</a:t>
          </a:r>
          <a:endParaRPr lang="de-AT" sz="1000">
            <a:solidFill>
              <a:schemeClr val="dk1"/>
            </a:solidFill>
            <a:effectLst/>
            <a:latin typeface="+mn-lt"/>
            <a:ea typeface="+mn-ea"/>
            <a:cs typeface="+mn-cs"/>
          </a:endParaRPr>
        </a:p>
        <a:p>
          <a:r>
            <a:rPr lang="de-AT" sz="1000" b="1">
              <a:solidFill>
                <a:schemeClr val="dk1"/>
              </a:solidFill>
              <a:effectLst/>
              <a:latin typeface="+mn-lt"/>
              <a:ea typeface="+mn-ea"/>
              <a:cs typeface="+mn-cs"/>
            </a:rPr>
            <a:t>Univ. Prof. DI Dr. Andreas Kropik</a:t>
          </a:r>
          <a:endParaRPr lang="de-AT" sz="1000">
            <a:solidFill>
              <a:schemeClr val="dk1"/>
            </a:solidFill>
            <a:effectLst/>
            <a:latin typeface="+mn-lt"/>
            <a:ea typeface="+mn-ea"/>
            <a:cs typeface="+mn-cs"/>
          </a:endParaRPr>
        </a:p>
        <a:p>
          <a:r>
            <a:rPr lang="de-AT" sz="1000" b="1">
              <a:solidFill>
                <a:schemeClr val="dk1"/>
              </a:solidFill>
              <a:effectLst/>
              <a:latin typeface="+mn-lt"/>
              <a:ea typeface="+mn-ea"/>
              <a:cs typeface="+mn-cs"/>
            </a:rPr>
            <a:t>TU Wien, Institut für Interdisziplinäres Bauprozessmanagement (www.ibpm.at) und Bauwirtschaftliche Beratung GmbH (www.bw-b.at)</a:t>
          </a:r>
        </a:p>
        <a:p>
          <a:r>
            <a:rPr lang="de-AT" sz="1000" i="1">
              <a:solidFill>
                <a:schemeClr val="dk1"/>
              </a:solidFill>
              <a:effectLst/>
              <a:latin typeface="+mn-lt"/>
              <a:ea typeface="+mn-ea"/>
              <a:cs typeface="+mn-cs"/>
            </a:rPr>
            <a:t>Hinweis: Die Tabellen sind das Ergebnis einer Forschungsreihe. Sie</a:t>
          </a:r>
          <a:r>
            <a:rPr lang="de-AT" sz="1000" i="1" baseline="0">
              <a:solidFill>
                <a:schemeClr val="dk1"/>
              </a:solidFill>
              <a:effectLst/>
              <a:latin typeface="+mn-lt"/>
              <a:ea typeface="+mn-ea"/>
              <a:cs typeface="+mn-cs"/>
            </a:rPr>
            <a:t> hat das </a:t>
          </a:r>
          <a:r>
            <a:rPr lang="de-AT" sz="1000" i="1">
              <a:solidFill>
                <a:schemeClr val="dk1"/>
              </a:solidFill>
              <a:effectLst/>
              <a:latin typeface="+mn-lt"/>
              <a:ea typeface="+mn-ea"/>
              <a:cs typeface="+mn-cs"/>
            </a:rPr>
            <a:t>Ziel den Anwendern ein handhabbares Instrument zur (vertieften)</a:t>
          </a:r>
          <a:r>
            <a:rPr lang="de-AT" sz="1000" i="1" baseline="0">
              <a:solidFill>
                <a:schemeClr val="dk1"/>
              </a:solidFill>
              <a:effectLst/>
              <a:latin typeface="+mn-lt"/>
              <a:ea typeface="+mn-ea"/>
              <a:cs typeface="+mn-cs"/>
            </a:rPr>
            <a:t> </a:t>
          </a:r>
          <a:r>
            <a:rPr lang="de-AT" sz="1000" i="1">
              <a:solidFill>
                <a:schemeClr val="dk1"/>
              </a:solidFill>
              <a:effectLst/>
              <a:latin typeface="+mn-lt"/>
              <a:ea typeface="+mn-ea"/>
              <a:cs typeface="+mn-cs"/>
            </a:rPr>
            <a:t>Preisprüfung nach dem BVergG zur Verfügung zu stellen. Die Aufwandswerte wurden im Rahmen dieser Forschung mit Erfahrungswerten des Güteschutzverband für Bewehrungsstahl (http://www.gueteschutzverband.at) abgeglichen.</a:t>
          </a:r>
        </a:p>
        <a:p>
          <a:r>
            <a:rPr lang="de-AT" sz="1000" i="0">
              <a:solidFill>
                <a:schemeClr val="dk1"/>
              </a:solidFill>
              <a:effectLst/>
              <a:latin typeface="+mn-lt"/>
              <a:ea typeface="+mn-ea"/>
              <a:cs typeface="+mn-cs"/>
            </a:rPr>
            <a:t>Wissenswertes und Informatives</a:t>
          </a:r>
          <a:r>
            <a:rPr lang="de-AT" sz="1000" i="0" baseline="0">
              <a:solidFill>
                <a:schemeClr val="dk1"/>
              </a:solidFill>
              <a:effectLst/>
              <a:latin typeface="+mn-lt"/>
              <a:ea typeface="+mn-ea"/>
              <a:cs typeface="+mn-cs"/>
            </a:rPr>
            <a:t> zur Kalkulation findet sich auch im Buch </a:t>
          </a:r>
          <a:r>
            <a:rPr lang="de-AT" sz="1000" i="1" baseline="0">
              <a:solidFill>
                <a:schemeClr val="dk1"/>
              </a:solidFill>
              <a:effectLst/>
              <a:latin typeface="+mn-lt"/>
              <a:ea typeface="+mn-ea"/>
              <a:cs typeface="+mn-cs"/>
            </a:rPr>
            <a:t>Kropik</a:t>
          </a:r>
          <a:r>
            <a:rPr lang="de-AT" sz="1000" i="0" baseline="0">
              <a:solidFill>
                <a:schemeClr val="dk1"/>
              </a:solidFill>
              <a:effectLst/>
              <a:latin typeface="+mn-lt"/>
              <a:ea typeface="+mn-ea"/>
              <a:cs typeface="+mn-cs"/>
            </a:rPr>
            <a:t>, Baukalkulation, Kostenrechnung und B 2061. Die Regelungen der ÖNORM B 2061 Ausgabe 2020 sind berücksichtigt. Information dazu siehe www.bauwesen.at.</a:t>
          </a:r>
        </a:p>
        <a:p>
          <a:r>
            <a:rPr lang="de-AT" sz="1000" i="1" baseline="0">
              <a:solidFill>
                <a:schemeClr val="dk1"/>
              </a:solidFill>
              <a:effectLst/>
              <a:latin typeface="+mn-lt"/>
              <a:ea typeface="+mn-ea"/>
              <a:cs typeface="+mn-cs"/>
            </a:rPr>
            <a:t> </a:t>
          </a:r>
          <a:endParaRPr lang="de-AT" sz="1000" i="1">
            <a:solidFill>
              <a:schemeClr val="dk1"/>
            </a:solidFill>
            <a:effectLst/>
            <a:latin typeface="+mn-lt"/>
            <a:ea typeface="+mn-ea"/>
            <a:cs typeface="+mn-cs"/>
          </a:endParaRPr>
        </a:p>
        <a:p>
          <a:pPr algn="r"/>
          <a:r>
            <a:rPr lang="de-AT" sz="1000" b="1" i="0">
              <a:solidFill>
                <a:schemeClr val="dk1"/>
              </a:solidFill>
              <a:effectLst/>
              <a:latin typeface="+mn-lt"/>
              <a:ea typeface="+mn-ea"/>
              <a:cs typeface="+mn-cs"/>
            </a:rPr>
            <a:t> </a:t>
          </a:r>
          <a:endParaRPr lang="de-AT" sz="1000" i="0">
            <a:solidFill>
              <a:schemeClr val="dk1"/>
            </a:solidFill>
            <a:effectLst/>
            <a:latin typeface="+mn-lt"/>
            <a:ea typeface="+mn-ea"/>
            <a:cs typeface="+mn-cs"/>
          </a:endParaRPr>
        </a:p>
        <a:p>
          <a:endParaRPr lang="de-AT" sz="1000" i="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2"/>
  <sheetViews>
    <sheetView showGridLines="0" tabSelected="1" zoomScale="110" zoomScaleNormal="110" zoomScaleSheetLayoutView="100" zoomScalePageLayoutView="90" workbookViewId="0">
      <selection activeCell="C63" sqref="C63"/>
    </sheetView>
  </sheetViews>
  <sheetFormatPr baseColWidth="10" defaultColWidth="9.1328125" defaultRowHeight="14.25" outlineLevelRow="1" outlineLevelCol="1" x14ac:dyDescent="0.45"/>
  <cols>
    <col min="1" max="1" width="8.3984375" customWidth="1"/>
    <col min="2" max="2" width="14.1328125" customWidth="1"/>
    <col min="3" max="3" width="26.1328125" customWidth="1"/>
    <col min="4" max="4" width="9.59765625" customWidth="1"/>
    <col min="5" max="5" width="12.1328125" hidden="1" customWidth="1" outlineLevel="1"/>
    <col min="6" max="7" width="6.86328125" hidden="1" customWidth="1" outlineLevel="1"/>
    <col min="8" max="8" width="10.1328125" hidden="1" customWidth="1" outlineLevel="1"/>
    <col min="9" max="10" width="6.86328125" hidden="1" customWidth="1" outlineLevel="1"/>
    <col min="11" max="11" width="7.73046875" hidden="1" customWidth="1" outlineLevel="1"/>
    <col min="12" max="13" width="6.86328125" hidden="1" customWidth="1" outlineLevel="1"/>
    <col min="14" max="14" width="8.59765625" hidden="1" customWidth="1" outlineLevel="1"/>
    <col min="15" max="15" width="7.73046875" hidden="1" customWidth="1" outlineLevel="1"/>
    <col min="16" max="16" width="21.19921875" style="134" hidden="1" customWidth="1" outlineLevel="1"/>
    <col min="17" max="17" width="5.86328125" hidden="1" customWidth="1" outlineLevel="1"/>
    <col min="18" max="18" width="6.1328125" hidden="1" customWidth="1" outlineLevel="1"/>
    <col min="19" max="21" width="7.1328125" hidden="1" customWidth="1" outlineLevel="1"/>
    <col min="22" max="22" width="4.19921875" bestFit="1" customWidth="1" collapsed="1"/>
    <col min="23" max="23" width="5.19921875" style="89" customWidth="1"/>
    <col min="24" max="25" width="7.1328125" style="89" customWidth="1"/>
    <col min="26" max="26" width="9.53125" style="89" customWidth="1"/>
    <col min="27" max="27" width="9.53125" customWidth="1"/>
    <col min="28" max="29" width="8.86328125" customWidth="1"/>
    <col min="30" max="30" width="8.33203125" customWidth="1"/>
    <col min="31" max="31" width="12.1328125" customWidth="1"/>
  </cols>
  <sheetData>
    <row r="1" spans="1:11" ht="18" x14ac:dyDescent="0.55000000000000004">
      <c r="A1" s="87"/>
      <c r="H1" s="19"/>
      <c r="I1" s="19"/>
      <c r="J1" s="19"/>
      <c r="K1" s="19"/>
    </row>
    <row r="2" spans="1:11" x14ac:dyDescent="0.45">
      <c r="H2" s="19"/>
      <c r="I2" s="121"/>
      <c r="J2" s="121"/>
      <c r="K2" s="19"/>
    </row>
    <row r="3" spans="1:11" x14ac:dyDescent="0.45">
      <c r="H3" s="19"/>
      <c r="I3" s="121"/>
      <c r="J3" s="121"/>
      <c r="K3" s="19"/>
    </row>
    <row r="4" spans="1:11" x14ac:dyDescent="0.45">
      <c r="H4" s="19"/>
      <c r="I4" s="121"/>
      <c r="J4" s="121"/>
      <c r="K4" s="19"/>
    </row>
    <row r="5" spans="1:11" x14ac:dyDescent="0.45">
      <c r="H5" s="19"/>
      <c r="I5" s="121"/>
      <c r="J5" s="121"/>
      <c r="K5" s="19"/>
    </row>
    <row r="6" spans="1:11" x14ac:dyDescent="0.45">
      <c r="H6" s="19"/>
      <c r="I6" s="121"/>
      <c r="J6" s="121"/>
      <c r="K6" s="19"/>
    </row>
    <row r="7" spans="1:11" x14ac:dyDescent="0.45">
      <c r="H7" s="19"/>
      <c r="I7" s="121"/>
      <c r="J7" s="121"/>
      <c r="K7" s="19"/>
    </row>
    <row r="8" spans="1:11" x14ac:dyDescent="0.45">
      <c r="H8" s="19"/>
      <c r="I8" s="121"/>
      <c r="J8" s="121"/>
      <c r="K8" s="19"/>
    </row>
    <row r="9" spans="1:11" x14ac:dyDescent="0.45">
      <c r="H9" s="19"/>
      <c r="I9" s="121"/>
      <c r="J9" s="121"/>
      <c r="K9" s="19"/>
    </row>
    <row r="10" spans="1:11" x14ac:dyDescent="0.45">
      <c r="H10" s="19"/>
      <c r="I10" s="121"/>
      <c r="J10" s="121"/>
      <c r="K10" s="19"/>
    </row>
    <row r="11" spans="1:11" x14ac:dyDescent="0.45">
      <c r="H11" s="19"/>
      <c r="I11" s="121"/>
      <c r="J11" s="121"/>
      <c r="K11" s="19"/>
    </row>
    <row r="12" spans="1:11" x14ac:dyDescent="0.45">
      <c r="A12" s="66"/>
      <c r="H12" s="19"/>
      <c r="I12" s="121"/>
      <c r="J12" s="121"/>
      <c r="K12" s="19"/>
    </row>
    <row r="13" spans="1:11" x14ac:dyDescent="0.45">
      <c r="H13" s="19"/>
      <c r="I13" s="121"/>
      <c r="J13" s="121"/>
      <c r="K13" s="19"/>
    </row>
    <row r="14" spans="1:11" x14ac:dyDescent="0.45">
      <c r="H14" s="19"/>
      <c r="I14" s="121"/>
      <c r="J14" s="121"/>
      <c r="K14" s="19"/>
    </row>
    <row r="15" spans="1:11" x14ac:dyDescent="0.45">
      <c r="H15" s="19"/>
      <c r="I15" s="121"/>
      <c r="J15" s="121"/>
      <c r="K15" s="19"/>
    </row>
    <row r="16" spans="1:11" x14ac:dyDescent="0.45">
      <c r="H16" s="19"/>
      <c r="I16" s="121"/>
      <c r="J16" s="121"/>
      <c r="K16" s="19"/>
    </row>
    <row r="17" spans="8:11" x14ac:dyDescent="0.45">
      <c r="H17" s="19"/>
      <c r="I17" s="121"/>
      <c r="J17" s="121"/>
      <c r="K17" s="19"/>
    </row>
    <row r="18" spans="8:11" x14ac:dyDescent="0.45">
      <c r="H18" s="19"/>
      <c r="I18" s="121"/>
      <c r="J18" s="121"/>
      <c r="K18" s="19"/>
    </row>
    <row r="19" spans="8:11" x14ac:dyDescent="0.45">
      <c r="H19" s="19"/>
      <c r="I19" s="121"/>
      <c r="J19" s="121"/>
      <c r="K19" s="19"/>
    </row>
    <row r="20" spans="8:11" x14ac:dyDescent="0.45">
      <c r="H20" s="19"/>
      <c r="I20" s="121"/>
      <c r="J20" s="121"/>
      <c r="K20" s="19"/>
    </row>
    <row r="21" spans="8:11" x14ac:dyDescent="0.45">
      <c r="H21" s="19"/>
      <c r="I21" s="121"/>
      <c r="J21" s="121"/>
      <c r="K21" s="19"/>
    </row>
    <row r="22" spans="8:11" x14ac:dyDescent="0.45">
      <c r="H22" s="19"/>
      <c r="I22" s="121"/>
      <c r="J22" s="121"/>
      <c r="K22" s="19"/>
    </row>
    <row r="23" spans="8:11" x14ac:dyDescent="0.45">
      <c r="H23" s="19"/>
      <c r="I23" s="121"/>
      <c r="J23" s="121"/>
      <c r="K23" s="19"/>
    </row>
    <row r="24" spans="8:11" x14ac:dyDescent="0.45">
      <c r="H24" s="19"/>
      <c r="I24" s="121"/>
      <c r="J24" s="121"/>
      <c r="K24" s="19"/>
    </row>
    <row r="25" spans="8:11" x14ac:dyDescent="0.45">
      <c r="H25" s="19"/>
      <c r="I25" s="121"/>
      <c r="J25" s="121"/>
      <c r="K25" s="19"/>
    </row>
    <row r="26" spans="8:11" x14ac:dyDescent="0.45">
      <c r="H26" s="19"/>
      <c r="I26" s="121"/>
      <c r="J26" s="121"/>
      <c r="K26" s="19"/>
    </row>
    <row r="27" spans="8:11" x14ac:dyDescent="0.45">
      <c r="H27" s="19"/>
      <c r="I27" s="121"/>
      <c r="J27" s="121"/>
      <c r="K27" s="19"/>
    </row>
    <row r="28" spans="8:11" x14ac:dyDescent="0.45">
      <c r="H28" s="19"/>
      <c r="I28" s="121"/>
      <c r="J28" s="121"/>
      <c r="K28" s="19"/>
    </row>
    <row r="29" spans="8:11" x14ac:dyDescent="0.45">
      <c r="H29" s="19"/>
      <c r="I29" s="121"/>
      <c r="J29" s="121"/>
      <c r="K29" s="19"/>
    </row>
    <row r="30" spans="8:11" x14ac:dyDescent="0.45">
      <c r="H30" s="19"/>
      <c r="I30" s="121"/>
      <c r="J30" s="121"/>
      <c r="K30" s="19"/>
    </row>
    <row r="31" spans="8:11" x14ac:dyDescent="0.45">
      <c r="H31" s="19"/>
      <c r="I31" s="121"/>
      <c r="J31" s="121"/>
      <c r="K31" s="19"/>
    </row>
    <row r="32" spans="8:11" x14ac:dyDescent="0.45">
      <c r="H32" s="19"/>
      <c r="I32" s="121"/>
      <c r="J32" s="121"/>
      <c r="K32" s="19"/>
    </row>
    <row r="33" spans="1:31" x14ac:dyDescent="0.45">
      <c r="H33" s="19"/>
      <c r="I33" s="121"/>
      <c r="J33" s="121"/>
      <c r="K33" s="19"/>
    </row>
    <row r="34" spans="1:31" x14ac:dyDescent="0.45">
      <c r="H34" s="19"/>
      <c r="I34" s="121"/>
      <c r="J34" s="121"/>
      <c r="K34" s="19"/>
    </row>
    <row r="35" spans="1:31" x14ac:dyDescent="0.45">
      <c r="H35" s="19"/>
      <c r="I35" s="121"/>
      <c r="J35" s="121"/>
      <c r="K35" s="19"/>
    </row>
    <row r="36" spans="1:31" ht="18" x14ac:dyDescent="0.55000000000000004">
      <c r="A36" s="224" t="s">
        <v>230</v>
      </c>
      <c r="H36" s="19"/>
      <c r="I36" s="121"/>
      <c r="J36" s="121"/>
      <c r="K36" s="19"/>
      <c r="AE36" s="283" t="s">
        <v>226</v>
      </c>
    </row>
    <row r="37" spans="1:31" ht="18" x14ac:dyDescent="0.55000000000000004">
      <c r="A37" s="224"/>
      <c r="H37" s="19"/>
      <c r="I37" s="121"/>
      <c r="J37" s="121"/>
      <c r="K37" s="19"/>
      <c r="AE37" s="283"/>
    </row>
    <row r="38" spans="1:31" ht="18" x14ac:dyDescent="0.55000000000000004">
      <c r="A38" s="224" t="s">
        <v>231</v>
      </c>
      <c r="C38" s="332"/>
      <c r="D38" s="333"/>
      <c r="H38" s="19"/>
      <c r="I38" s="121"/>
      <c r="J38" s="121"/>
      <c r="K38" s="19"/>
      <c r="AE38" s="283"/>
    </row>
    <row r="39" spans="1:31" ht="18" x14ac:dyDescent="0.55000000000000004">
      <c r="A39" s="224"/>
      <c r="C39" s="334"/>
      <c r="D39" s="335"/>
      <c r="H39" s="19"/>
      <c r="I39" s="121"/>
      <c r="J39" s="121"/>
      <c r="K39" s="19"/>
      <c r="AE39" s="283"/>
    </row>
    <row r="40" spans="1:31" ht="18" x14ac:dyDescent="0.55000000000000004">
      <c r="A40" s="224" t="s">
        <v>232</v>
      </c>
      <c r="C40" s="332"/>
      <c r="D40" s="333"/>
      <c r="H40" s="19"/>
      <c r="I40" s="121"/>
      <c r="J40" s="121"/>
      <c r="K40" s="19"/>
      <c r="AE40" s="283"/>
    </row>
    <row r="41" spans="1:31" ht="18" x14ac:dyDescent="0.55000000000000004">
      <c r="A41" s="224"/>
      <c r="C41" s="334"/>
      <c r="D41" s="335"/>
      <c r="H41" s="19"/>
      <c r="I41" s="121"/>
      <c r="J41" s="121"/>
      <c r="K41" s="19"/>
      <c r="AE41" s="283"/>
    </row>
    <row r="42" spans="1:31" ht="18" x14ac:dyDescent="0.55000000000000004">
      <c r="A42" s="224" t="s">
        <v>233</v>
      </c>
      <c r="C42" s="336"/>
      <c r="D42" s="337"/>
      <c r="H42" s="19"/>
      <c r="I42" s="121"/>
      <c r="J42" s="121"/>
      <c r="K42" s="19"/>
      <c r="AE42" s="283"/>
    </row>
    <row r="43" spans="1:31" ht="18" x14ac:dyDescent="0.55000000000000004">
      <c r="A43" s="224"/>
      <c r="C43" s="338"/>
      <c r="D43" s="339"/>
      <c r="H43" s="19"/>
      <c r="I43" s="121"/>
      <c r="J43" s="121"/>
      <c r="K43" s="19"/>
      <c r="AE43" s="283"/>
    </row>
    <row r="44" spans="1:31" ht="18" x14ac:dyDescent="0.55000000000000004">
      <c r="A44" s="224"/>
      <c r="C44" s="338"/>
      <c r="D44" s="339"/>
      <c r="H44" s="19"/>
      <c r="I44" s="121"/>
      <c r="J44" s="121"/>
      <c r="K44" s="19"/>
      <c r="AE44" s="283"/>
    </row>
    <row r="45" spans="1:31" ht="18" x14ac:dyDescent="0.55000000000000004">
      <c r="A45" s="224"/>
      <c r="C45" s="338"/>
      <c r="D45" s="339"/>
      <c r="H45" s="19"/>
      <c r="I45" s="121"/>
      <c r="J45" s="121"/>
      <c r="K45" s="19"/>
      <c r="AE45" s="283"/>
    </row>
    <row r="46" spans="1:31" ht="18" x14ac:dyDescent="0.55000000000000004">
      <c r="A46" s="224"/>
      <c r="C46" s="340"/>
      <c r="D46" s="341"/>
      <c r="H46" s="19"/>
      <c r="I46" s="121"/>
      <c r="J46" s="121"/>
      <c r="K46" s="19"/>
      <c r="AE46" s="283"/>
    </row>
    <row r="47" spans="1:31" ht="18" x14ac:dyDescent="0.55000000000000004">
      <c r="A47" s="224"/>
      <c r="H47" s="19"/>
      <c r="I47" s="121"/>
      <c r="J47" s="121"/>
      <c r="K47" s="19"/>
      <c r="AE47" s="283"/>
    </row>
    <row r="48" spans="1:31" ht="18" x14ac:dyDescent="0.55000000000000004">
      <c r="A48" s="224" t="s">
        <v>157</v>
      </c>
      <c r="H48" s="19"/>
      <c r="I48" s="121"/>
      <c r="J48" s="121"/>
      <c r="K48" s="19"/>
    </row>
    <row r="49" spans="1:31" ht="32.25" customHeight="1" x14ac:dyDescent="0.5">
      <c r="A49" s="88" t="s">
        <v>204</v>
      </c>
      <c r="B49" s="13"/>
      <c r="C49" s="13"/>
      <c r="D49" s="13"/>
      <c r="E49" s="13"/>
      <c r="F49" s="13"/>
      <c r="G49" s="13"/>
      <c r="H49" s="13"/>
      <c r="I49" s="131"/>
      <c r="J49" s="131"/>
      <c r="K49" s="13"/>
      <c r="L49" s="13"/>
      <c r="M49" s="13"/>
      <c r="N49" s="13"/>
      <c r="O49" s="13"/>
      <c r="P49" s="13"/>
      <c r="Q49" s="135"/>
      <c r="R49" s="13"/>
      <c r="S49" s="13"/>
      <c r="T49" s="13"/>
      <c r="U49" s="13"/>
      <c r="V49" s="61"/>
      <c r="W49" s="109"/>
      <c r="X49" s="326" t="s">
        <v>208</v>
      </c>
      <c r="Y49" s="327"/>
      <c r="Z49" s="326" t="s">
        <v>159</v>
      </c>
      <c r="AA49" s="331"/>
      <c r="AB49" s="326" t="s">
        <v>227</v>
      </c>
      <c r="AC49" s="327"/>
      <c r="AD49" s="322" t="s">
        <v>203</v>
      </c>
      <c r="AE49" s="322" t="s">
        <v>209</v>
      </c>
    </row>
    <row r="50" spans="1:31" ht="28.5" x14ac:dyDescent="0.45">
      <c r="A50" s="57"/>
      <c r="B50" s="2"/>
      <c r="C50" s="2"/>
      <c r="D50" s="130" t="s">
        <v>205</v>
      </c>
      <c r="E50" s="19"/>
      <c r="F50" s="19"/>
      <c r="G50" s="19"/>
      <c r="H50" s="19"/>
      <c r="I50" s="121"/>
      <c r="J50" s="121"/>
      <c r="K50" s="19"/>
      <c r="L50" s="19"/>
      <c r="M50" s="19"/>
      <c r="N50" s="19"/>
      <c r="O50" s="19"/>
      <c r="P50" s="19"/>
      <c r="Q50" s="136"/>
      <c r="R50" s="19" t="s">
        <v>14</v>
      </c>
      <c r="S50" s="19" t="s">
        <v>76</v>
      </c>
      <c r="T50" s="84" t="s">
        <v>168</v>
      </c>
      <c r="U50" s="83" t="s">
        <v>216</v>
      </c>
      <c r="V50" s="214"/>
      <c r="W50" s="215"/>
      <c r="X50" s="132" t="s">
        <v>22</v>
      </c>
      <c r="Y50" s="133" t="s">
        <v>23</v>
      </c>
      <c r="Z50" s="90" t="s">
        <v>22</v>
      </c>
      <c r="AA50" s="91" t="s">
        <v>23</v>
      </c>
      <c r="AB50" s="90" t="s">
        <v>22</v>
      </c>
      <c r="AC50" s="91" t="s">
        <v>23</v>
      </c>
      <c r="AD50" s="323"/>
      <c r="AE50" s="323"/>
    </row>
    <row r="51" spans="1:31" x14ac:dyDescent="0.45">
      <c r="A51" s="6"/>
      <c r="B51" s="19" t="s">
        <v>156</v>
      </c>
      <c r="C51" s="19"/>
      <c r="D51" s="311">
        <v>1</v>
      </c>
      <c r="E51" s="19"/>
      <c r="F51" s="19"/>
      <c r="G51" s="19"/>
      <c r="H51" s="19"/>
      <c r="I51" s="121"/>
      <c r="J51" s="121"/>
      <c r="K51" s="19"/>
      <c r="L51" s="19"/>
      <c r="M51" s="19"/>
      <c r="N51" s="19"/>
      <c r="O51" s="19"/>
      <c r="P51" s="19"/>
      <c r="Q51" s="136"/>
      <c r="R51" s="19">
        <v>12</v>
      </c>
      <c r="S51" s="22">
        <f>IF(D51&gt;Basiswerte!$P$8,Basiswerte!$Q$9,IF(D51&gt;Basiswerte!$P$7,Basiswerte!$Q$8,IF(D51&gt;Basiswerte!$P$6,Basiswerte!$Q$7,Basiswerte!$Q$6)))</f>
        <v>1.1499999999999999</v>
      </c>
      <c r="T51" s="152">
        <v>1</v>
      </c>
      <c r="U51" s="152">
        <v>1</v>
      </c>
      <c r="V51" s="216"/>
      <c r="W51" s="217"/>
      <c r="X51" s="153">
        <f ca="1">RANDBETWEEN((R51*0.85),(R51*0.95))*S51*T51</f>
        <v>12.649999999999999</v>
      </c>
      <c r="Y51" s="154">
        <f ca="1">RANDBETWEEN((R51*1.05),(R51*1.15))*S51*U51</f>
        <v>14.95</v>
      </c>
      <c r="Z51" s="257">
        <f ca="1">X51*D51</f>
        <v>12.649999999999999</v>
      </c>
      <c r="AA51" s="248">
        <f ca="1">D51*Y51</f>
        <v>14.95</v>
      </c>
      <c r="AB51" s="163">
        <f ca="1">Tabellen!X51*Basiswerte!$D$4</f>
        <v>398.32319999999993</v>
      </c>
      <c r="AC51" s="164">
        <f ca="1">Tabellen!Y51*Basiswerte!$E$4</f>
        <v>672.6004999999999</v>
      </c>
      <c r="AD51" s="312"/>
      <c r="AE51" s="284">
        <f>(IF(AD51&gt;0,IF((AD51&lt;AB51),AD51-AB51,(IF((AD51&gt;AC51),AD51-AC51,0))),))*D51</f>
        <v>0</v>
      </c>
    </row>
    <row r="52" spans="1:31" x14ac:dyDescent="0.45">
      <c r="A52" s="6"/>
      <c r="B52" s="19" t="s">
        <v>158</v>
      </c>
      <c r="C52" s="19"/>
      <c r="D52" s="311">
        <v>1</v>
      </c>
      <c r="E52" s="19"/>
      <c r="F52" s="19"/>
      <c r="G52" s="19"/>
      <c r="H52" s="19"/>
      <c r="I52" s="121"/>
      <c r="J52" s="121"/>
      <c r="K52" s="19"/>
      <c r="L52" s="19"/>
      <c r="M52" s="19"/>
      <c r="N52" s="19"/>
      <c r="O52" s="19"/>
      <c r="P52" s="19"/>
      <c r="Q52" s="136"/>
      <c r="R52" s="19">
        <f>Basiswerte!D18</f>
        <v>11</v>
      </c>
      <c r="S52" s="22">
        <f>IF(D52&gt;Basiswerte!$P$8,Basiswerte!$Q$9,IF(D52&gt;Basiswerte!$P$7,Basiswerte!$Q$8,IF(D52&gt;Basiswerte!$P$6,Basiswerte!$Q$7,Basiswerte!$Q$6)))</f>
        <v>1.1499999999999999</v>
      </c>
      <c r="T52" s="152">
        <v>1.3</v>
      </c>
      <c r="U52" s="152">
        <v>1.3</v>
      </c>
      <c r="V52" s="216"/>
      <c r="W52" s="217"/>
      <c r="X52" s="180">
        <f ca="1">RANDBETWEEN((R52*0.85),(R52*0.95))*S52*T52</f>
        <v>14.950000000000001</v>
      </c>
      <c r="Y52" s="181">
        <f ca="1">RANDBETWEEN((R52*1.05),(R52*1.15))*S52*U52</f>
        <v>17.939999999999998</v>
      </c>
      <c r="Z52" s="251">
        <f ca="1">X52*D52</f>
        <v>14.950000000000001</v>
      </c>
      <c r="AA52" s="243">
        <f ca="1">D52*Y52</f>
        <v>17.939999999999998</v>
      </c>
      <c r="AB52" s="163">
        <f ca="1">Tabellen!X52*Basiswerte!$D$4</f>
        <v>470.74560000000002</v>
      </c>
      <c r="AC52" s="164">
        <f ca="1">Tabellen!Y52*Basiswerte!$E$4</f>
        <v>807.12059999999985</v>
      </c>
      <c r="AD52" s="312"/>
      <c r="AE52" s="284">
        <f t="shared" ref="AE52" si="0">(IF(AD52&gt;0,IF((AD52&lt;AB52),AD52-AB52,(IF((AD52&gt;AC52),AD52-AC52,0))),))*D52</f>
        <v>0</v>
      </c>
    </row>
    <row r="53" spans="1:31" x14ac:dyDescent="0.45">
      <c r="A53" s="70" t="s">
        <v>144</v>
      </c>
      <c r="B53" s="64"/>
      <c r="C53" s="64"/>
      <c r="D53" s="234">
        <f>SUM(D49:D52)</f>
        <v>2</v>
      </c>
      <c r="E53" s="64"/>
      <c r="F53" s="64"/>
      <c r="G53" s="64"/>
      <c r="H53" s="64"/>
      <c r="I53" s="64"/>
      <c r="J53" s="64"/>
      <c r="K53" s="64"/>
      <c r="L53" s="64"/>
      <c r="M53" s="64"/>
      <c r="N53" s="64"/>
      <c r="O53" s="64"/>
      <c r="P53" s="64"/>
      <c r="Q53" s="137"/>
      <c r="R53" s="64"/>
      <c r="S53" s="64"/>
      <c r="T53" s="64"/>
      <c r="U53" s="71"/>
      <c r="V53" s="219"/>
      <c r="W53" s="128"/>
      <c r="X53" s="237" t="s">
        <v>206</v>
      </c>
      <c r="Y53" s="238"/>
      <c r="Z53" s="249">
        <f ca="1">SUM(Z49:Z52)</f>
        <v>27.6</v>
      </c>
      <c r="AA53" s="250">
        <f ca="1">SUM(AA49:AA52)</f>
        <v>32.89</v>
      </c>
      <c r="AB53" s="122"/>
      <c r="AC53" s="122"/>
      <c r="AD53" s="175"/>
      <c r="AE53" s="285">
        <f>SUM(AE49:AE52)</f>
        <v>0</v>
      </c>
    </row>
    <row r="54" spans="1:31" x14ac:dyDescent="0.45">
      <c r="A54" s="72"/>
      <c r="B54" s="73"/>
      <c r="C54" s="73"/>
      <c r="D54" s="73"/>
      <c r="E54" s="73"/>
      <c r="F54" s="73"/>
      <c r="G54" s="73"/>
      <c r="H54" s="73"/>
      <c r="I54" s="73"/>
      <c r="J54" s="73"/>
      <c r="K54" s="73"/>
      <c r="L54" s="73"/>
      <c r="M54" s="73"/>
      <c r="N54" s="73"/>
      <c r="O54" s="73"/>
      <c r="P54" s="73"/>
      <c r="Q54" s="138"/>
      <c r="R54" s="73"/>
      <c r="S54" s="73"/>
      <c r="T54" s="73"/>
      <c r="U54" s="74"/>
      <c r="V54" s="218"/>
      <c r="W54" s="129"/>
      <c r="X54" s="239" t="s">
        <v>176</v>
      </c>
      <c r="Y54" s="240"/>
      <c r="Z54" s="179">
        <f ca="1">Z53/D53</f>
        <v>13.8</v>
      </c>
      <c r="AA54" s="100">
        <f ca="1">AA53/D53</f>
        <v>16.445</v>
      </c>
      <c r="AB54" s="178"/>
      <c r="AC54" s="172" t="s">
        <v>175</v>
      </c>
      <c r="AD54" s="176" t="str">
        <f>IF(AE53&lt;&gt;0,(IF(AE53&lt;0,"NEGATIV","POSITIV")),"---")</f>
        <v>---</v>
      </c>
      <c r="AE54" s="291"/>
    </row>
    <row r="55" spans="1:31" s="66" customFormat="1" x14ac:dyDescent="0.45">
      <c r="A55" s="123"/>
      <c r="B55" s="123"/>
      <c r="C55" s="123"/>
      <c r="D55" s="123"/>
      <c r="E55" s="123"/>
      <c r="F55" s="123"/>
      <c r="G55" s="123"/>
      <c r="H55" s="123"/>
      <c r="I55" s="123"/>
      <c r="J55" s="123"/>
      <c r="K55" s="123"/>
      <c r="L55" s="123"/>
      <c r="M55" s="123"/>
      <c r="N55" s="123"/>
      <c r="O55" s="123"/>
      <c r="P55" s="139"/>
      <c r="Q55" s="123"/>
      <c r="R55" s="123"/>
      <c r="S55" s="123"/>
      <c r="T55" s="124"/>
      <c r="U55" s="124"/>
      <c r="V55" s="124"/>
      <c r="W55" s="125"/>
      <c r="X55" s="125"/>
      <c r="Y55" s="126"/>
      <c r="Z55" s="126"/>
      <c r="AB55" s="303" t="s">
        <v>228</v>
      </c>
      <c r="AC55" s="304">
        <f ca="1">Basiswerte!D28</f>
        <v>43952</v>
      </c>
    </row>
    <row r="58" spans="1:31" ht="18" x14ac:dyDescent="0.55000000000000004">
      <c r="A58" s="224" t="s">
        <v>197</v>
      </c>
      <c r="AE58" s="283" t="str">
        <f>AE36</f>
        <v>Prüftabelle Version 2</v>
      </c>
    </row>
    <row r="59" spans="1:31" ht="15.75" x14ac:dyDescent="0.5">
      <c r="A59" s="51"/>
      <c r="P59"/>
      <c r="T59" s="139"/>
    </row>
    <row r="60" spans="1:31" x14ac:dyDescent="0.45">
      <c r="A60" s="108" t="s">
        <v>198</v>
      </c>
      <c r="B60" s="60"/>
      <c r="C60" s="64" t="s">
        <v>155</v>
      </c>
      <c r="D60" s="60"/>
      <c r="E60" s="190" t="s">
        <v>161</v>
      </c>
      <c r="F60" s="191"/>
      <c r="G60" s="192"/>
      <c r="H60" s="61" t="s">
        <v>162</v>
      </c>
      <c r="I60" s="13"/>
      <c r="J60" s="13"/>
      <c r="K60" s="61" t="s">
        <v>177</v>
      </c>
      <c r="L60" s="13"/>
      <c r="M60" s="13"/>
      <c r="N60" s="109"/>
      <c r="P60" s="123" t="s">
        <v>166</v>
      </c>
      <c r="Q60" s="123"/>
      <c r="R60" s="123"/>
      <c r="S60" t="s">
        <v>22</v>
      </c>
      <c r="T60" s="134" t="s">
        <v>23</v>
      </c>
    </row>
    <row r="61" spans="1:31" ht="21.75" customHeight="1" x14ac:dyDescent="0.45">
      <c r="A61" s="4" t="s">
        <v>96</v>
      </c>
      <c r="B61" s="16"/>
      <c r="C61" s="313" t="s">
        <v>99</v>
      </c>
      <c r="D61" s="5"/>
      <c r="E61" s="8">
        <f>VLOOKUP(C61,Basiswerte!I5:J8,2)</f>
        <v>1.05</v>
      </c>
      <c r="F61" s="3"/>
      <c r="G61" s="9"/>
      <c r="H61" s="8">
        <f>E61</f>
        <v>1.05</v>
      </c>
      <c r="I61" s="19"/>
      <c r="J61" s="7"/>
      <c r="K61" s="6"/>
      <c r="L61" s="19"/>
      <c r="M61" s="7"/>
      <c r="N61" s="7"/>
      <c r="P61" t="s">
        <v>20</v>
      </c>
      <c r="S61" s="127">
        <v>0.97</v>
      </c>
      <c r="T61" s="140">
        <v>1</v>
      </c>
    </row>
    <row r="62" spans="1:31" ht="21.75" customHeight="1" x14ac:dyDescent="0.45">
      <c r="A62" s="4" t="s">
        <v>195</v>
      </c>
      <c r="B62" s="16"/>
      <c r="C62" s="313" t="s">
        <v>102</v>
      </c>
      <c r="D62" s="5"/>
      <c r="E62" s="8">
        <f>VLOOKUP(C62,Basiswerte!I11:J13,2)</f>
        <v>1</v>
      </c>
      <c r="F62" s="3"/>
      <c r="G62" s="9"/>
      <c r="H62" s="8">
        <v>1</v>
      </c>
      <c r="I62" s="19"/>
      <c r="J62" s="7"/>
      <c r="K62" s="6"/>
      <c r="L62" s="19"/>
      <c r="M62" s="7"/>
      <c r="N62" s="7"/>
      <c r="P62" t="s">
        <v>21</v>
      </c>
      <c r="S62" s="10">
        <v>1</v>
      </c>
      <c r="T62" s="141">
        <v>1.03</v>
      </c>
    </row>
    <row r="63" spans="1:31" ht="21.75" customHeight="1" x14ac:dyDescent="0.45">
      <c r="A63" s="61" t="s">
        <v>229</v>
      </c>
      <c r="B63" s="13"/>
      <c r="C63" s="314" t="s">
        <v>192</v>
      </c>
      <c r="D63" s="109"/>
      <c r="E63" s="8">
        <f>VLOOKUP(C63,Basiswerte!I16:J18,2)</f>
        <v>1</v>
      </c>
      <c r="F63" s="3"/>
      <c r="G63" s="9"/>
      <c r="H63" s="8">
        <f>VLOOKUP(C63,Basiswerte!I16:K18,3)</f>
        <v>1</v>
      </c>
      <c r="I63" s="19"/>
      <c r="J63" s="7"/>
      <c r="K63" s="6"/>
      <c r="L63" s="19"/>
      <c r="M63" s="7"/>
      <c r="N63" s="7"/>
      <c r="P63" s="123" t="s">
        <v>167</v>
      </c>
      <c r="Q63" s="123"/>
      <c r="R63" s="123"/>
      <c r="S63" t="s">
        <v>22</v>
      </c>
      <c r="T63" s="134" t="s">
        <v>23</v>
      </c>
    </row>
    <row r="64" spans="1:31" ht="21.75" hidden="1" customHeight="1" outlineLevel="1" x14ac:dyDescent="0.45">
      <c r="A64" s="68"/>
      <c r="B64" s="68"/>
      <c r="C64" s="262"/>
      <c r="I64" s="19"/>
      <c r="J64" s="7"/>
      <c r="K64" s="6"/>
      <c r="L64" s="19"/>
      <c r="M64" s="7"/>
      <c r="N64" s="7"/>
      <c r="P64" t="s">
        <v>20</v>
      </c>
      <c r="S64" s="127">
        <v>0.95</v>
      </c>
      <c r="T64" s="140">
        <v>1.1000000000000001</v>
      </c>
    </row>
    <row r="65" spans="1:31" ht="21.75" hidden="1" customHeight="1" outlineLevel="1" x14ac:dyDescent="0.45">
      <c r="A65" s="68"/>
      <c r="B65" s="68"/>
      <c r="C65" s="263"/>
      <c r="D65" s="19"/>
      <c r="E65" s="3"/>
      <c r="F65" s="3"/>
      <c r="G65" s="9"/>
      <c r="H65" s="8"/>
      <c r="I65" s="3"/>
      <c r="J65" s="7"/>
      <c r="K65" s="6"/>
      <c r="L65" s="19"/>
      <c r="M65" s="7"/>
      <c r="N65" s="7"/>
      <c r="P65" t="s">
        <v>21</v>
      </c>
      <c r="S65" s="10">
        <v>1</v>
      </c>
      <c r="T65" s="141">
        <v>1.1000000000000001</v>
      </c>
    </row>
    <row r="66" spans="1:31" ht="21.75" hidden="1" customHeight="1" outlineLevel="1" x14ac:dyDescent="0.45">
      <c r="A66" s="68"/>
      <c r="B66" s="68"/>
      <c r="C66" s="263"/>
      <c r="D66" s="19"/>
      <c r="E66" s="3"/>
      <c r="F66" s="3"/>
      <c r="G66" s="9"/>
      <c r="H66" s="8"/>
      <c r="I66" s="19"/>
      <c r="J66" s="7"/>
      <c r="K66" s="8"/>
      <c r="L66" s="19"/>
      <c r="M66" s="7"/>
      <c r="N66" s="7"/>
      <c r="P66" s="123" t="s">
        <v>179</v>
      </c>
      <c r="Q66" s="123"/>
      <c r="R66" s="123"/>
      <c r="S66" t="s">
        <v>22</v>
      </c>
      <c r="T66" s="134" t="s">
        <v>23</v>
      </c>
    </row>
    <row r="67" spans="1:31" ht="21.75" hidden="1" customHeight="1" outlineLevel="1" x14ac:dyDescent="0.45">
      <c r="A67" s="68"/>
      <c r="B67" s="68"/>
      <c r="C67" s="263"/>
      <c r="D67" s="19"/>
      <c r="E67" s="222"/>
      <c r="F67" s="2"/>
      <c r="G67" s="58"/>
      <c r="H67" s="8"/>
      <c r="I67" s="19"/>
      <c r="J67" s="7"/>
      <c r="K67" s="6"/>
      <c r="L67" s="19"/>
      <c r="M67" s="7"/>
      <c r="N67" s="7"/>
      <c r="P67" t="s">
        <v>20</v>
      </c>
      <c r="S67" s="127">
        <v>0.97</v>
      </c>
      <c r="T67" s="140">
        <v>1</v>
      </c>
    </row>
    <row r="68" spans="1:31" ht="15.75" hidden="1" outlineLevel="1" x14ac:dyDescent="0.5">
      <c r="A68" s="68"/>
      <c r="B68" s="68"/>
      <c r="C68" s="264"/>
      <c r="D68" s="19"/>
      <c r="E68" s="223">
        <f>E61*E62*E63</f>
        <v>1.05</v>
      </c>
      <c r="F68" s="80">
        <f ca="1">RANDBETWEEN((E68*$S$61*1000),(E68*$S$62*1000))/1000</f>
        <v>1.04</v>
      </c>
      <c r="G68" s="81">
        <f ca="1">RANDBETWEEN((E68*$T$61*10000),(E68*$T$62*10000))/10000</f>
        <v>1.0599000000000001</v>
      </c>
      <c r="H68" s="67">
        <f>H61*H62*H63</f>
        <v>1.05</v>
      </c>
      <c r="I68" s="80">
        <f ca="1">H68*I69</f>
        <v>0.97854750000000001</v>
      </c>
      <c r="J68" s="81">
        <f>H68*J69</f>
        <v>1.2075</v>
      </c>
      <c r="K68" s="226">
        <v>1</v>
      </c>
      <c r="L68" s="227">
        <f ca="1">RANDBETWEEN((K68*$S$67*1000),(K68*$S$68*1000))/1000</f>
        <v>0.98399999999999999</v>
      </c>
      <c r="M68" s="228">
        <f ca="1">RANDBETWEEN((K68*$T$67*10000),(K68*$T$68*10000))/10000</f>
        <v>1.0225</v>
      </c>
      <c r="N68" s="229" t="s">
        <v>178</v>
      </c>
      <c r="P68" t="s">
        <v>21</v>
      </c>
      <c r="S68" s="10">
        <v>1</v>
      </c>
      <c r="T68" s="141">
        <v>1.03</v>
      </c>
    </row>
    <row r="69" spans="1:31" hidden="1" outlineLevel="1" x14ac:dyDescent="0.45">
      <c r="C69" s="265"/>
      <c r="D69" s="19"/>
      <c r="E69" s="223">
        <v>1</v>
      </c>
      <c r="F69" s="80">
        <f ca="1">RANDBETWEEN((E69*$S$61*1000),(E69*$S$62*1000))/1000</f>
        <v>0.98899999999999999</v>
      </c>
      <c r="G69" s="81">
        <f ca="1">RANDBETWEEN((E69*$T$61*10000),(E69*$T$62*10000))/10000</f>
        <v>1.0093000000000001</v>
      </c>
      <c r="H69" s="67">
        <v>1</v>
      </c>
      <c r="I69" s="80">
        <f ca="1">RANDBETWEEN((H69*$S$64*1000),(H69*$S$65*1000))/1000*0.95</f>
        <v>0.93194999999999995</v>
      </c>
      <c r="J69" s="225">
        <v>1.1499999999999999</v>
      </c>
      <c r="K69" s="226">
        <v>1</v>
      </c>
      <c r="L69" s="227">
        <f ca="1">RANDBETWEEN((K69*$S$67*1000),(K69*$S$68*1000))/1000</f>
        <v>0.97299999999999998</v>
      </c>
      <c r="M69" s="228">
        <f ca="1">RANDBETWEEN((K69*$T$67*10000),(K69*$T$68*10000))/10000</f>
        <v>1.0218</v>
      </c>
      <c r="N69" s="230" t="s">
        <v>180</v>
      </c>
    </row>
    <row r="70" spans="1:31" outlineLevel="1" x14ac:dyDescent="0.45">
      <c r="C70" s="265"/>
      <c r="D70" s="19"/>
      <c r="E70" s="306"/>
      <c r="F70" s="3"/>
      <c r="G70" s="3"/>
      <c r="H70" s="306"/>
      <c r="I70" s="3"/>
      <c r="J70" s="307"/>
      <c r="K70" s="308"/>
      <c r="L70" s="309"/>
      <c r="M70" s="309"/>
      <c r="N70" s="310"/>
    </row>
    <row r="71" spans="1:31" outlineLevel="1" x14ac:dyDescent="0.45">
      <c r="C71" s="265"/>
      <c r="D71" s="19"/>
      <c r="E71" s="306"/>
      <c r="F71" s="3"/>
      <c r="G71" s="3"/>
      <c r="H71" s="306"/>
      <c r="I71" s="3"/>
      <c r="J71" s="307"/>
      <c r="K71" s="308"/>
      <c r="L71" s="309"/>
      <c r="M71" s="309"/>
      <c r="N71" s="310"/>
    </row>
    <row r="73" spans="1:31" ht="41.25" customHeight="1" x14ac:dyDescent="0.45">
      <c r="A73" s="328" t="s">
        <v>199</v>
      </c>
      <c r="B73" s="329"/>
      <c r="C73" s="329"/>
      <c r="D73" s="330"/>
      <c r="E73" s="59"/>
      <c r="F73" s="59"/>
      <c r="G73" s="59"/>
      <c r="H73" s="59"/>
      <c r="I73" s="59"/>
      <c r="J73" s="59"/>
      <c r="K73" s="59"/>
      <c r="L73" s="59"/>
      <c r="M73" s="59"/>
      <c r="N73" s="59"/>
      <c r="O73" s="59"/>
      <c r="P73" s="142"/>
      <c r="Q73" s="142"/>
      <c r="R73" s="59"/>
      <c r="S73" s="59"/>
      <c r="T73" s="59"/>
      <c r="U73" s="60"/>
      <c r="V73" s="326" t="s">
        <v>207</v>
      </c>
      <c r="W73" s="327"/>
      <c r="X73" s="326" t="s">
        <v>208</v>
      </c>
      <c r="Y73" s="327"/>
      <c r="Z73" s="326" t="s">
        <v>159</v>
      </c>
      <c r="AA73" s="331"/>
      <c r="AB73" s="326" t="s">
        <v>227</v>
      </c>
      <c r="AC73" s="327"/>
      <c r="AD73" s="322" t="s">
        <v>203</v>
      </c>
      <c r="AE73" s="322" t="s">
        <v>209</v>
      </c>
    </row>
    <row r="74" spans="1:31" s="86" customFormat="1" ht="28.5" x14ac:dyDescent="0.45">
      <c r="A74" s="82" t="s">
        <v>142</v>
      </c>
      <c r="B74" s="83" t="s">
        <v>143</v>
      </c>
      <c r="C74" s="83"/>
      <c r="D74" s="85" t="str">
        <f>D50</f>
        <v>Menge [in Tonnen]</v>
      </c>
      <c r="E74" s="83" t="s">
        <v>3</v>
      </c>
      <c r="F74" s="83" t="s">
        <v>4</v>
      </c>
      <c r="G74" s="83" t="s">
        <v>0</v>
      </c>
      <c r="H74" s="83" t="s">
        <v>5</v>
      </c>
      <c r="I74" s="83" t="s">
        <v>2</v>
      </c>
      <c r="J74" s="83" t="s">
        <v>6</v>
      </c>
      <c r="K74" s="83" t="s">
        <v>7</v>
      </c>
      <c r="L74" s="83" t="s">
        <v>8</v>
      </c>
      <c r="M74" s="83" t="s">
        <v>9</v>
      </c>
      <c r="N74" s="83" t="s">
        <v>10</v>
      </c>
      <c r="O74" s="83" t="s">
        <v>82</v>
      </c>
      <c r="P74" s="143" t="s">
        <v>15</v>
      </c>
      <c r="Q74" s="143" t="s">
        <v>172</v>
      </c>
      <c r="R74" s="83" t="s">
        <v>171</v>
      </c>
      <c r="S74" s="83" t="s">
        <v>76</v>
      </c>
      <c r="T74" s="84" t="s">
        <v>168</v>
      </c>
      <c r="U74" s="84" t="s">
        <v>169</v>
      </c>
      <c r="V74" s="132" t="s">
        <v>22</v>
      </c>
      <c r="W74" s="133" t="s">
        <v>23</v>
      </c>
      <c r="X74" s="132" t="s">
        <v>22</v>
      </c>
      <c r="Y74" s="133" t="s">
        <v>23</v>
      </c>
      <c r="Z74" s="90" t="s">
        <v>22</v>
      </c>
      <c r="AA74" s="91" t="s">
        <v>23</v>
      </c>
      <c r="AB74" s="90" t="s">
        <v>22</v>
      </c>
      <c r="AC74" s="160" t="s">
        <v>23</v>
      </c>
      <c r="AD74" s="323"/>
      <c r="AE74" s="323"/>
    </row>
    <row r="75" spans="1:31" outlineLevel="1" x14ac:dyDescent="0.45">
      <c r="A75" s="54" t="s">
        <v>138</v>
      </c>
      <c r="B75" s="19" t="s">
        <v>88</v>
      </c>
      <c r="C75" s="19"/>
      <c r="D75" s="315">
        <v>1</v>
      </c>
      <c r="E75" s="31">
        <v>0.2</v>
      </c>
      <c r="F75" s="31">
        <v>0.8</v>
      </c>
      <c r="G75" s="31">
        <v>0</v>
      </c>
      <c r="H75" s="31">
        <v>0</v>
      </c>
      <c r="I75" s="31">
        <v>0</v>
      </c>
      <c r="J75" s="31">
        <v>0</v>
      </c>
      <c r="K75" s="31">
        <v>0</v>
      </c>
      <c r="L75" s="31">
        <v>0</v>
      </c>
      <c r="M75" s="31">
        <v>0</v>
      </c>
      <c r="N75" s="31">
        <v>0</v>
      </c>
      <c r="O75" s="26">
        <f>SUM(E75:N75)</f>
        <v>1</v>
      </c>
      <c r="P75" s="146">
        <f>SQRT(1/(E75/_G08+F75/_G10+G75/_G12+H75/_G14+I75/_G16+J75/_G20+K75/_G26+L75/_G30+M75/_G36+N75/_G40)/10/7.85/PI())*200</f>
        <v>9.4842967631931714</v>
      </c>
      <c r="Q75" s="159">
        <f>E75*AWS_08+F75*AWS_10+G75*AWS_12+H75*AWS_14+I75*AWS_16+J75*AWS_20+K75*AWS_26+L75*AWS_30+M75*AWS_36+N75*AWS_40</f>
        <v>4.2</v>
      </c>
      <c r="R75" s="21">
        <f>E75*_AW08+F75*_AW10+G75*_AW12+H75*_AW14+I75*_AW16+J75*_AW20+K75*_AW26+L75*_AW30+M75*_AW36+N75*_AW40</f>
        <v>15.6</v>
      </c>
      <c r="S75" s="22">
        <f>IF(D75&gt;Basiswerte!$P$8,Basiswerte!$Q$9,IF(D75&gt;Basiswerte!$P$7,Basiswerte!$Q$8,IF(D75&gt;Basiswerte!$P$6,Basiswerte!$Q$7,Basiswerte!$Q$6)))</f>
        <v>1.1499999999999999</v>
      </c>
      <c r="T75" s="35">
        <v>1</v>
      </c>
      <c r="U75" s="35">
        <v>1.2</v>
      </c>
      <c r="V75" s="114">
        <f ca="1">Q75*S75*$I$68</f>
        <v>4.726384425</v>
      </c>
      <c r="W75" s="115">
        <f>Q75*S75*$J$68</f>
        <v>5.8322250000000002</v>
      </c>
      <c r="X75" s="114">
        <f ca="1">R75*S75*T75*$F$68</f>
        <v>18.657599999999999</v>
      </c>
      <c r="Y75" s="115">
        <f ca="1">R75*S75*U75*$G$68</f>
        <v>22.817527199999997</v>
      </c>
      <c r="Z75" s="251">
        <f ca="1">X75*D75</f>
        <v>18.657599999999999</v>
      </c>
      <c r="AA75" s="243">
        <f ca="1">D75*Y75</f>
        <v>22.817527199999997</v>
      </c>
      <c r="AB75" s="163">
        <f ca="1">V75*Basiswerte!$D$3+Tabellen!X75*Basiswerte!$D$4</f>
        <v>771.44139062099998</v>
      </c>
      <c r="AC75" s="173">
        <f ca="1">W75*Basiswerte!$E$3+Tabellen!Y75*Basiswerte!$E$4</f>
        <v>1342.4070264929996</v>
      </c>
      <c r="AD75" s="312"/>
      <c r="AE75" s="284">
        <f>(IF(AD75&gt;0,IF((AD75&lt;AB75),AD75-AB75,(IF((AD75&gt;AC75),AD75-AC75,0))),))*D75</f>
        <v>0</v>
      </c>
    </row>
    <row r="76" spans="1:31" outlineLevel="1" x14ac:dyDescent="0.45">
      <c r="A76" s="54" t="s">
        <v>139</v>
      </c>
      <c r="B76" s="19" t="s">
        <v>86</v>
      </c>
      <c r="C76" s="19"/>
      <c r="D76" s="315">
        <v>1</v>
      </c>
      <c r="E76" s="31">
        <v>0</v>
      </c>
      <c r="F76" s="31">
        <v>0</v>
      </c>
      <c r="G76" s="31">
        <v>0.4</v>
      </c>
      <c r="H76" s="31">
        <v>0.3</v>
      </c>
      <c r="I76" s="31">
        <v>0.3</v>
      </c>
      <c r="J76" s="31">
        <v>0</v>
      </c>
      <c r="K76" s="31">
        <v>0</v>
      </c>
      <c r="L76" s="31">
        <v>0</v>
      </c>
      <c r="M76" s="31">
        <v>0</v>
      </c>
      <c r="N76" s="31">
        <v>0</v>
      </c>
      <c r="O76" s="26">
        <f t="shared" ref="O76:O111" si="1">SUM(E76:N76)</f>
        <v>1</v>
      </c>
      <c r="P76" s="146">
        <f>SQRT(1/(E76/_G08+F76/_G10+G76/_G12+H76/_G14+I76/_G16+J76/_G20+K76/_G26+L76/_G30+M76/_G36+N76/_G40)/10/7.85/PI())*200</f>
        <v>13.520673554379064</v>
      </c>
      <c r="Q76" s="159">
        <f>E76*AWS_08+F76*AWS_10+G76*AWS_12+H76*AWS_14+I76*AWS_16+J76*AWS_20+K76*AWS_26+L76*AWS_30+M76*AWS_36+N76*AWS_40</f>
        <v>2.6</v>
      </c>
      <c r="R76" s="21">
        <f>E76*_AW08+F76*_AW10+G76*_AW12+H76*_AW14+I76*_AW16+J76*_AW20+K76*_AW26+L76*_AW30+M76*_AW36+N76*_AW40</f>
        <v>10.8</v>
      </c>
      <c r="S76" s="22">
        <f>IF(D76&gt;Basiswerte!$P$8,Basiswerte!$Q$9,IF(D76&gt;Basiswerte!$P$7,Basiswerte!$Q$8,IF(D76&gt;Basiswerte!$P$6,Basiswerte!$Q$7,Basiswerte!$Q$6)))</f>
        <v>1.1499999999999999</v>
      </c>
      <c r="T76" s="35">
        <v>1</v>
      </c>
      <c r="U76" s="35">
        <v>1.2</v>
      </c>
      <c r="V76" s="110">
        <f t="shared" ref="V76:V78" ca="1" si="2">Q76*S76*$I$68</f>
        <v>2.925857025</v>
      </c>
      <c r="W76" s="111">
        <f t="shared" ref="W76:W78" si="3">Q76*S76*$J$68</f>
        <v>3.6104249999999998</v>
      </c>
      <c r="X76" s="110">
        <f t="shared" ref="X76:X78" ca="1" si="4">R76*S76*T76*$F$68</f>
        <v>12.9168</v>
      </c>
      <c r="Y76" s="111">
        <f t="shared" ref="Y76:Y78" ca="1" si="5">R76*S76*U76*$G$68</f>
        <v>15.7967496</v>
      </c>
      <c r="Z76" s="251">
        <f ca="1">X76*D76</f>
        <v>12.9168</v>
      </c>
      <c r="AA76" s="243">
        <f ca="1">D76*Y76</f>
        <v>15.7967496</v>
      </c>
      <c r="AB76" s="163">
        <f ca="1">V76*Basiswerte!$D$3+Tabellen!X76*Basiswerte!$D$4</f>
        <v>520.59855381299997</v>
      </c>
      <c r="AC76" s="173">
        <f ca="1">W76*Basiswerte!$E$3+Tabellen!Y76*Basiswerte!$E$4</f>
        <v>906.21977454899991</v>
      </c>
      <c r="AD76" s="312"/>
      <c r="AE76" s="284">
        <f t="shared" ref="AE76:AE78" si="6">(IF(AD76&gt;0,IF((AD76&lt;AB76),AD76-AB76,(IF((AD76&gt;AC76),AD76-AC76,0))),))*D76</f>
        <v>0</v>
      </c>
    </row>
    <row r="77" spans="1:31" outlineLevel="1" x14ac:dyDescent="0.45">
      <c r="A77" s="54" t="s">
        <v>140</v>
      </c>
      <c r="B77" s="19" t="s">
        <v>87</v>
      </c>
      <c r="C77" s="19"/>
      <c r="D77" s="315">
        <v>1</v>
      </c>
      <c r="E77" s="31">
        <v>0</v>
      </c>
      <c r="F77" s="31">
        <v>0</v>
      </c>
      <c r="G77" s="31">
        <v>0</v>
      </c>
      <c r="H77" s="31">
        <v>0</v>
      </c>
      <c r="I77" s="31">
        <v>0</v>
      </c>
      <c r="J77" s="31">
        <v>0.6</v>
      </c>
      <c r="K77" s="31">
        <v>0.3</v>
      </c>
      <c r="L77" s="31">
        <v>0.1</v>
      </c>
      <c r="M77" s="31">
        <v>0</v>
      </c>
      <c r="N77" s="31">
        <v>0</v>
      </c>
      <c r="O77" s="26">
        <f t="shared" si="1"/>
        <v>0.99999999999999989</v>
      </c>
      <c r="P77" s="146">
        <f>SQRT(1/(E77/_G08+F77/_G10+G77/_G12+H77/_G14+I77/_G16+J77/_G20+K77/_G26+L77/_G30+M77/_G36+N77/_G40)/10/7.85/PI())*200</f>
        <v>22.073914279294769</v>
      </c>
      <c r="Q77" s="159">
        <f>E77*AWS_08+F77*AWS_10+G77*AWS_12+H77*AWS_14+I77*AWS_16+J77*AWS_20+K77*AWS_26+L77*AWS_30+M77*AWS_36+N77*AWS_40</f>
        <v>2.2250000000000001</v>
      </c>
      <c r="R77" s="21">
        <f>E77*_AW08+F77*_AW10+G77*_AW12+H77*_AW14+I77*_AW16+J77*_AW20+K77*_AW26+L77*_AW30+M77*_AW36+N77*_AW40</f>
        <v>7.5</v>
      </c>
      <c r="S77" s="22">
        <f>IF(D77&gt;Basiswerte!$P$8,Basiswerte!$Q$9,IF(D77&gt;Basiswerte!$P$7,Basiswerte!$Q$8,IF(D77&gt;Basiswerte!$P$6,Basiswerte!$Q$7,Basiswerte!$Q$6)))</f>
        <v>1.1499999999999999</v>
      </c>
      <c r="T77" s="35">
        <v>1</v>
      </c>
      <c r="U77" s="35">
        <v>1.1000000000000001</v>
      </c>
      <c r="V77" s="110">
        <f t="shared" ca="1" si="2"/>
        <v>2.5038584156249999</v>
      </c>
      <c r="W77" s="111">
        <f t="shared" si="3"/>
        <v>3.0896906249999998</v>
      </c>
      <c r="X77" s="110">
        <f t="shared" ca="1" si="4"/>
        <v>8.9700000000000006</v>
      </c>
      <c r="Y77" s="111">
        <f t="shared" ca="1" si="5"/>
        <v>10.055801250000002</v>
      </c>
      <c r="Z77" s="251">
        <f ca="1">X77*D77</f>
        <v>8.9700000000000006</v>
      </c>
      <c r="AA77" s="243">
        <f ca="1">D77*Y77</f>
        <v>10.055801250000002</v>
      </c>
      <c r="AB77" s="163">
        <f ca="1">V77*Basiswerte!$D$3+Tabellen!X77*Basiswerte!$D$4</f>
        <v>379.89752953612503</v>
      </c>
      <c r="AC77" s="173">
        <f ca="1">W77*Basiswerte!$E$3+Tabellen!Y77*Basiswerte!$E$4</f>
        <v>619.73392991062497</v>
      </c>
      <c r="AD77" s="312"/>
      <c r="AE77" s="284">
        <f t="shared" si="6"/>
        <v>0</v>
      </c>
    </row>
    <row r="78" spans="1:31" outlineLevel="1" x14ac:dyDescent="0.45">
      <c r="A78" s="55" t="s">
        <v>141</v>
      </c>
      <c r="B78" s="2" t="s">
        <v>137</v>
      </c>
      <c r="C78" s="2"/>
      <c r="D78" s="316">
        <v>1</v>
      </c>
      <c r="E78" s="28">
        <v>0</v>
      </c>
      <c r="F78" s="28">
        <v>0</v>
      </c>
      <c r="G78" s="28">
        <v>0</v>
      </c>
      <c r="H78" s="28">
        <v>0</v>
      </c>
      <c r="I78" s="28">
        <v>0</v>
      </c>
      <c r="J78" s="28">
        <v>0</v>
      </c>
      <c r="K78" s="28">
        <v>0</v>
      </c>
      <c r="L78" s="28">
        <v>0</v>
      </c>
      <c r="M78" s="28">
        <v>0.95</v>
      </c>
      <c r="N78" s="28">
        <v>0.05</v>
      </c>
      <c r="O78" s="23">
        <f t="shared" si="1"/>
        <v>1</v>
      </c>
      <c r="P78" s="147">
        <f>SQRT(1/(E78/_G08+F78/_G10+G78/_G12+H78/_G14+I78/_G16+J78/_G20+K78/_G26+L78/_G30+M78/_G36+N78/_G40)/10/7.85/PI())*200</f>
        <v>36.171173673331786</v>
      </c>
      <c r="Q78" s="159">
        <f>E78*AWS_08+F78*AWS_10+G78*AWS_12+H78*AWS_14+I78*AWS_16+J78*AWS_20+K78*AWS_26+L78*AWS_30+M78*AWS_36+N78*AWS_40</f>
        <v>1.9874999999999998</v>
      </c>
      <c r="R78" s="11">
        <f>E78*_AW08+F78*_AW10+G78*_AW12+H78*_AW14+I78*_AW16+J78*_AW20+K78*_AW26+L78*_AW30+M78*_AW36+N78*_AW40</f>
        <v>8.9999999999999982</v>
      </c>
      <c r="S78" s="12">
        <f>IF(D78&gt;Basiswerte!$P$8,Basiswerte!$Q$9,IF(D78&gt;Basiswerte!$P$7,Basiswerte!$Q$8,IF(D78&gt;Basiswerte!$P$6,Basiswerte!$Q$7,Basiswerte!$Q$6)))</f>
        <v>1.1499999999999999</v>
      </c>
      <c r="T78" s="32">
        <v>1</v>
      </c>
      <c r="U78" s="32">
        <v>1.1000000000000001</v>
      </c>
      <c r="V78" s="112">
        <f t="shared" ca="1" si="2"/>
        <v>2.2365926296874998</v>
      </c>
      <c r="W78" s="113">
        <f t="shared" si="3"/>
        <v>2.7598921874999993</v>
      </c>
      <c r="X78" s="112">
        <f t="shared" ca="1" si="4"/>
        <v>10.763999999999998</v>
      </c>
      <c r="Y78" s="113">
        <f t="shared" ca="1" si="5"/>
        <v>12.066961499999998</v>
      </c>
      <c r="Z78" s="251">
        <f ca="1">X78*D78</f>
        <v>10.763999999999998</v>
      </c>
      <c r="AA78" s="243">
        <f ca="1">D78*Y78</f>
        <v>12.066961499999998</v>
      </c>
      <c r="AB78" s="165">
        <f ca="1">V78*Basiswerte!$D$3+Tabellen!X78*Basiswerte!$D$4</f>
        <v>425.98501714743742</v>
      </c>
      <c r="AC78" s="174">
        <f ca="1">W78*Basiswerte!$E$3+Tabellen!Y78*Basiswerte!$E$4</f>
        <v>692.35566325593732</v>
      </c>
      <c r="AD78" s="312"/>
      <c r="AE78" s="284">
        <f t="shared" si="6"/>
        <v>0</v>
      </c>
    </row>
    <row r="79" spans="1:31" x14ac:dyDescent="0.45">
      <c r="A79" s="70" t="s">
        <v>144</v>
      </c>
      <c r="B79" s="64"/>
      <c r="C79" s="64"/>
      <c r="D79" s="234">
        <f>SUM(D75:D78)</f>
        <v>4</v>
      </c>
      <c r="E79" s="64"/>
      <c r="F79" s="64"/>
      <c r="G79" s="64"/>
      <c r="H79" s="64"/>
      <c r="I79" s="64"/>
      <c r="J79" s="64"/>
      <c r="K79" s="64"/>
      <c r="L79" s="64"/>
      <c r="M79" s="64"/>
      <c r="N79" s="64"/>
      <c r="O79" s="64"/>
      <c r="P79" s="137"/>
      <c r="Q79" s="137"/>
      <c r="R79" s="64"/>
      <c r="S79" s="64"/>
      <c r="T79" s="64"/>
      <c r="U79" s="71"/>
      <c r="V79" s="157"/>
      <c r="W79" s="157"/>
      <c r="X79" s="260" t="s">
        <v>206</v>
      </c>
      <c r="Y79" s="122"/>
      <c r="Z79" s="249">
        <f ca="1">SUM(Z75:Z78)</f>
        <v>51.308399999999992</v>
      </c>
      <c r="AA79" s="250">
        <f ca="1">SUM(AA75:AA78)</f>
        <v>60.737039549999999</v>
      </c>
      <c r="AB79" s="122"/>
      <c r="AC79" s="122"/>
      <c r="AD79" s="175"/>
      <c r="AE79" s="285">
        <f>SUM(AE75:AE78)</f>
        <v>0</v>
      </c>
    </row>
    <row r="80" spans="1:31" x14ac:dyDescent="0.45">
      <c r="A80" s="72"/>
      <c r="B80" s="73"/>
      <c r="C80" s="73"/>
      <c r="D80" s="73"/>
      <c r="E80" s="73"/>
      <c r="F80" s="73"/>
      <c r="G80" s="73"/>
      <c r="H80" s="73"/>
      <c r="I80" s="73"/>
      <c r="J80" s="73"/>
      <c r="K80" s="73"/>
      <c r="L80" s="73"/>
      <c r="M80" s="73"/>
      <c r="N80" s="73"/>
      <c r="O80" s="73"/>
      <c r="P80" s="138"/>
      <c r="Q80" s="138"/>
      <c r="R80" s="73"/>
      <c r="S80" s="73"/>
      <c r="T80" s="73"/>
      <c r="U80" s="74"/>
      <c r="V80" s="74"/>
      <c r="W80" s="74"/>
      <c r="X80" s="162" t="s">
        <v>176</v>
      </c>
      <c r="Y80" s="161"/>
      <c r="Z80" s="258">
        <f ca="1">Z79/D79</f>
        <v>12.827099999999998</v>
      </c>
      <c r="AA80" s="259">
        <f ca="1">AA79/D79</f>
        <v>15.1842598875</v>
      </c>
      <c r="AB80" s="324" t="s">
        <v>210</v>
      </c>
      <c r="AC80" s="325"/>
      <c r="AD80" s="176" t="str">
        <f>IF(AE79&lt;&gt;0,(IF(AE79&lt;0,"NEGATIV","POSITIV")),"---")</f>
        <v>---</v>
      </c>
      <c r="AE80" s="236"/>
    </row>
    <row r="81" spans="1:31" x14ac:dyDescent="0.45">
      <c r="A81" s="123"/>
      <c r="B81" s="123"/>
      <c r="C81" s="123"/>
      <c r="D81" s="123"/>
      <c r="E81" s="123"/>
      <c r="F81" s="123"/>
      <c r="G81" s="123"/>
      <c r="H81" s="123"/>
      <c r="I81" s="123"/>
      <c r="J81" s="123"/>
      <c r="K81" s="123"/>
      <c r="L81" s="123"/>
      <c r="M81" s="123"/>
      <c r="N81" s="123"/>
      <c r="O81" s="123"/>
      <c r="P81" s="139"/>
      <c r="Q81" s="139"/>
      <c r="R81" s="123"/>
      <c r="S81" s="123"/>
      <c r="T81" s="123"/>
      <c r="U81" s="124"/>
      <c r="V81" s="124"/>
      <c r="W81" s="124"/>
      <c r="X81" s="125"/>
      <c r="Y81" s="125"/>
      <c r="Z81" s="305"/>
      <c r="AA81" s="305"/>
      <c r="AB81" s="303" t="s">
        <v>228</v>
      </c>
      <c r="AC81" s="304">
        <f ca="1">Basiswerte!D28</f>
        <v>43952</v>
      </c>
      <c r="AD81" s="281"/>
      <c r="AE81" s="282"/>
    </row>
    <row r="82" spans="1:31" x14ac:dyDescent="0.45">
      <c r="A82" s="19"/>
      <c r="B82" s="19"/>
      <c r="C82" s="19"/>
      <c r="D82" s="27"/>
      <c r="E82" s="27"/>
      <c r="F82" s="27"/>
      <c r="G82" s="27"/>
      <c r="H82" s="27"/>
      <c r="I82" s="27"/>
      <c r="J82" s="27"/>
      <c r="K82" s="27"/>
      <c r="L82" s="27"/>
      <c r="M82" s="27"/>
      <c r="N82" s="27"/>
      <c r="O82" s="27"/>
      <c r="P82" s="145"/>
      <c r="Q82" s="145"/>
      <c r="R82" s="27"/>
      <c r="S82" s="27"/>
      <c r="T82" s="27"/>
      <c r="U82" s="56"/>
      <c r="V82" s="56"/>
      <c r="W82" s="56"/>
      <c r="X82" s="95"/>
      <c r="Y82" s="95"/>
      <c r="Z82" s="96"/>
      <c r="AA82" s="96"/>
      <c r="AB82" s="95"/>
      <c r="AC82" s="95"/>
    </row>
    <row r="83" spans="1:31" ht="30" customHeight="1" x14ac:dyDescent="0.45">
      <c r="A83" s="328" t="s">
        <v>200</v>
      </c>
      <c r="B83" s="329"/>
      <c r="C83" s="329"/>
      <c r="D83" s="330"/>
      <c r="E83" s="59"/>
      <c r="F83" s="59"/>
      <c r="G83" s="59"/>
      <c r="H83" s="59"/>
      <c r="I83" s="59"/>
      <c r="J83" s="59"/>
      <c r="K83" s="59"/>
      <c r="L83" s="59"/>
      <c r="M83" s="59"/>
      <c r="N83" s="59"/>
      <c r="O83" s="64"/>
      <c r="P83" s="142"/>
      <c r="Q83" s="142"/>
      <c r="R83" s="59"/>
      <c r="S83" s="59"/>
      <c r="T83" s="59"/>
      <c r="U83" s="65"/>
      <c r="V83" s="326" t="s">
        <v>207</v>
      </c>
      <c r="W83" s="327"/>
      <c r="X83" s="326" t="s">
        <v>208</v>
      </c>
      <c r="Y83" s="327"/>
      <c r="Z83" s="326" t="str">
        <f>Z73</f>
        <v>Verlegeaufwand (Gesamtstunden)</v>
      </c>
      <c r="AA83" s="331"/>
      <c r="AB83" s="326" t="s">
        <v>227</v>
      </c>
      <c r="AC83" s="327"/>
      <c r="AD83" s="322" t="s">
        <v>203</v>
      </c>
      <c r="AE83" s="322" t="s">
        <v>209</v>
      </c>
    </row>
    <row r="84" spans="1:31" ht="28.5" x14ac:dyDescent="0.45">
      <c r="A84" s="57" t="s">
        <v>142</v>
      </c>
      <c r="B84" s="2" t="s">
        <v>143</v>
      </c>
      <c r="C84" s="2"/>
      <c r="D84" s="85" t="str">
        <f>D74</f>
        <v>Menge [in Tonnen]</v>
      </c>
      <c r="E84" s="2" t="s">
        <v>3</v>
      </c>
      <c r="F84" s="2" t="s">
        <v>4</v>
      </c>
      <c r="G84" s="2" t="s">
        <v>0</v>
      </c>
      <c r="H84" s="2" t="s">
        <v>5</v>
      </c>
      <c r="I84" s="2" t="s">
        <v>2</v>
      </c>
      <c r="J84" s="2" t="s">
        <v>6</v>
      </c>
      <c r="K84" s="2" t="s">
        <v>7</v>
      </c>
      <c r="L84" s="2" t="s">
        <v>8</v>
      </c>
      <c r="M84" s="2" t="s">
        <v>9</v>
      </c>
      <c r="N84" s="2" t="s">
        <v>10</v>
      </c>
      <c r="O84" s="2" t="s">
        <v>82</v>
      </c>
      <c r="P84" s="144" t="s">
        <v>165</v>
      </c>
      <c r="Q84" s="143" t="s">
        <v>172</v>
      </c>
      <c r="R84" s="83" t="s">
        <v>171</v>
      </c>
      <c r="S84" s="2" t="s">
        <v>76</v>
      </c>
      <c r="T84" s="84" t="s">
        <v>168</v>
      </c>
      <c r="U84" s="84" t="s">
        <v>169</v>
      </c>
      <c r="V84" s="132" t="s">
        <v>22</v>
      </c>
      <c r="W84" s="133" t="s">
        <v>23</v>
      </c>
      <c r="X84" s="97" t="s">
        <v>22</v>
      </c>
      <c r="Y84" s="98" t="s">
        <v>23</v>
      </c>
      <c r="Z84" s="97" t="s">
        <v>22</v>
      </c>
      <c r="AA84" s="99" t="s">
        <v>23</v>
      </c>
      <c r="AB84" s="90" t="s">
        <v>22</v>
      </c>
      <c r="AC84" s="91" t="s">
        <v>23</v>
      </c>
      <c r="AD84" s="323"/>
      <c r="AE84" s="323"/>
    </row>
    <row r="85" spans="1:31" x14ac:dyDescent="0.45">
      <c r="A85" s="6" t="s">
        <v>31</v>
      </c>
      <c r="B85" s="19" t="s">
        <v>32</v>
      </c>
      <c r="C85" s="19"/>
      <c r="D85" s="315">
        <v>1</v>
      </c>
      <c r="E85" s="31">
        <v>0</v>
      </c>
      <c r="F85" s="31">
        <v>0</v>
      </c>
      <c r="G85" s="31">
        <v>0.4</v>
      </c>
      <c r="H85" s="31">
        <v>0.4</v>
      </c>
      <c r="I85" s="31">
        <v>0.2</v>
      </c>
      <c r="J85" s="31">
        <v>0</v>
      </c>
      <c r="K85" s="31">
        <v>0</v>
      </c>
      <c r="L85" s="31">
        <v>0</v>
      </c>
      <c r="M85" s="31">
        <v>0</v>
      </c>
      <c r="N85" s="31">
        <v>0</v>
      </c>
      <c r="O85" s="26">
        <f t="shared" si="1"/>
        <v>1</v>
      </c>
      <c r="P85" s="146">
        <f t="shared" ref="P85:P111" si="7">SQRT((E85*_G08+F85*_G10+G85*_G12+H85*_G14+I85*_G16+J85*_G20+K85*_G26+L85*_G30+M85*_G36+N85*_G40)/0.0246803)*2</f>
        <v>13.68780140647517</v>
      </c>
      <c r="Q85" s="159">
        <f t="shared" ref="Q85:Q111" si="8">E85*AWS_08+F85*AWS_10+G85*AWS_12+H85*AWS_14+I85*AWS_16+J85*AWS_20+K85*AWS_26+L85*AWS_30+M85*AWS_36+N85*AWS_40</f>
        <v>2.6</v>
      </c>
      <c r="R85" s="21">
        <f t="shared" ref="R85:R111" si="9">E85*_AW08+F85*_AW10+G85*_AW12+H85*_AW14+I85*_AW16+J85*_AW20+K85*_AW26+L85*_AW30+M85*_AW36+N85*_AW40</f>
        <v>11.000000000000002</v>
      </c>
      <c r="S85" s="22">
        <f>IF(D85&gt;Basiswerte!$P$8,Basiswerte!$Q$9,IF(D85&gt;Basiswerte!$P$7,Basiswerte!$Q$8,IF(D85&gt;Basiswerte!$P$6,Basiswerte!$Q$7,Basiswerte!$Q$6)))</f>
        <v>1.1499999999999999</v>
      </c>
      <c r="T85" s="35">
        <v>0.7</v>
      </c>
      <c r="U85" s="35">
        <v>0.9</v>
      </c>
      <c r="V85" s="114">
        <f t="shared" ref="V85" ca="1" si="10">Q85*S85*$I$68</f>
        <v>2.925857025</v>
      </c>
      <c r="W85" s="115">
        <f t="shared" ref="W85" si="11">Q85*S85*$J$68</f>
        <v>3.6104249999999998</v>
      </c>
      <c r="X85" s="117">
        <f t="shared" ref="X85:X111" ca="1" si="12">R85*S85*T85*$F$68</f>
        <v>9.2092000000000009</v>
      </c>
      <c r="Y85" s="117">
        <f t="shared" ref="Y85:Y111" ca="1" si="13">R85*S85*U85*$G$68</f>
        <v>12.0669615</v>
      </c>
      <c r="Z85" s="242">
        <f t="shared" ref="Z85:Z111" ca="1" si="14">X85*D85</f>
        <v>9.2092000000000009</v>
      </c>
      <c r="AA85" s="243">
        <f t="shared" ref="AA85:AA111" ca="1" si="15">D85*Y85</f>
        <v>12.0669615</v>
      </c>
      <c r="AB85" s="169">
        <f ca="1">V85*Basiswerte!$D$3+Tabellen!X85*Basiswerte!$D$4</f>
        <v>403.853645013</v>
      </c>
      <c r="AC85" s="170">
        <f ca="1">W85*Basiswerte!$E$3+Tabellen!Y85*Basiswerte!$E$4</f>
        <v>738.41660792999983</v>
      </c>
      <c r="AD85" s="319"/>
      <c r="AE85" s="285">
        <f>(IF(AD85&gt;0,IF((AD85&lt;AB85),AD85-AB85,(IF((AD85&gt;AC85),AD85-AC85,0))),))*D85</f>
        <v>0</v>
      </c>
    </row>
    <row r="86" spans="1:31" x14ac:dyDescent="0.45">
      <c r="A86" s="6" t="s">
        <v>29</v>
      </c>
      <c r="B86" s="19" t="s">
        <v>30</v>
      </c>
      <c r="C86" s="19"/>
      <c r="D86" s="315">
        <v>1</v>
      </c>
      <c r="E86" s="31">
        <v>0</v>
      </c>
      <c r="F86" s="31">
        <v>0</v>
      </c>
      <c r="G86" s="31">
        <v>0.3</v>
      </c>
      <c r="H86" s="31">
        <v>0.3</v>
      </c>
      <c r="I86" s="31">
        <v>0.2</v>
      </c>
      <c r="J86" s="31">
        <v>0.1</v>
      </c>
      <c r="K86" s="31">
        <v>0.05</v>
      </c>
      <c r="L86" s="31">
        <v>0.05</v>
      </c>
      <c r="M86" s="31">
        <v>0</v>
      </c>
      <c r="N86" s="31">
        <v>0</v>
      </c>
      <c r="O86" s="26">
        <f t="shared" si="1"/>
        <v>1</v>
      </c>
      <c r="P86" s="146">
        <f t="shared" si="7"/>
        <v>16.496056161497492</v>
      </c>
      <c r="Q86" s="159">
        <f t="shared" si="8"/>
        <v>2.5125000000000002</v>
      </c>
      <c r="R86" s="21">
        <f t="shared" si="9"/>
        <v>10.15</v>
      </c>
      <c r="S86" s="22">
        <f>IF(D86&gt;Basiswerte!$P$8,Basiswerte!$Q$9,IF(D86&gt;Basiswerte!$P$7,Basiswerte!$Q$8,IF(D86&gt;Basiswerte!$P$6,Basiswerte!$Q$7,Basiswerte!$Q$6)))</f>
        <v>1.1499999999999999</v>
      </c>
      <c r="T86" s="35">
        <v>0.8</v>
      </c>
      <c r="U86" s="35">
        <v>1</v>
      </c>
      <c r="V86" s="110">
        <f t="shared" ref="V86:V111" ca="1" si="16">Q86*S86*$I$68</f>
        <v>2.8273906828124997</v>
      </c>
      <c r="W86" s="111">
        <f t="shared" ref="W86:W111" si="17">Q86*S86*$J$68</f>
        <v>3.4889203124999999</v>
      </c>
      <c r="X86" s="117">
        <f t="shared" ca="1" si="12"/>
        <v>9.7115200000000002</v>
      </c>
      <c r="Y86" s="117">
        <f t="shared" ca="1" si="13"/>
        <v>12.37168275</v>
      </c>
      <c r="Z86" s="242">
        <f t="shared" ca="1" si="14"/>
        <v>9.7115200000000002</v>
      </c>
      <c r="AA86" s="243">
        <f t="shared" ca="1" si="15"/>
        <v>12.37168275</v>
      </c>
      <c r="AB86" s="163">
        <f ca="1">V86*Basiswerte!$D$3+Tabellen!X86*Basiswerte!$D$4</f>
        <v>415.83838713506253</v>
      </c>
      <c r="AC86" s="164">
        <f ca="1">W86*Basiswerte!$E$3+Tabellen!Y86*Basiswerte!$E$4</f>
        <v>745.54588201406239</v>
      </c>
      <c r="AD86" s="312"/>
      <c r="AE86" s="284">
        <f t="shared" ref="AE86:AE88" si="18">(IF(AD86&gt;0,IF((AD86&lt;AB86),AD86-AB86,(IF((AD86&gt;AC86),AD86-AC86,0))),))*D86</f>
        <v>0</v>
      </c>
    </row>
    <row r="87" spans="1:31" x14ac:dyDescent="0.45">
      <c r="A87" s="6" t="s">
        <v>33</v>
      </c>
      <c r="B87" s="19" t="s">
        <v>34</v>
      </c>
      <c r="C87" s="19"/>
      <c r="D87" s="315">
        <v>1</v>
      </c>
      <c r="E87" s="31">
        <v>0</v>
      </c>
      <c r="F87" s="31">
        <v>0</v>
      </c>
      <c r="G87" s="31">
        <v>0.3</v>
      </c>
      <c r="H87" s="31">
        <v>0.3</v>
      </c>
      <c r="I87" s="31">
        <v>0.2</v>
      </c>
      <c r="J87" s="31">
        <v>0.1</v>
      </c>
      <c r="K87" s="31">
        <v>0.05</v>
      </c>
      <c r="L87" s="31">
        <v>0.05</v>
      </c>
      <c r="M87" s="31">
        <v>0</v>
      </c>
      <c r="N87" s="31">
        <v>0</v>
      </c>
      <c r="O87" s="26">
        <f t="shared" si="1"/>
        <v>1</v>
      </c>
      <c r="P87" s="146">
        <f t="shared" si="7"/>
        <v>16.496056161497492</v>
      </c>
      <c r="Q87" s="146">
        <f t="shared" si="8"/>
        <v>2.5125000000000002</v>
      </c>
      <c r="R87" s="21">
        <f t="shared" si="9"/>
        <v>10.15</v>
      </c>
      <c r="S87" s="22">
        <f>IF(D87&gt;Basiswerte!$P$8,Basiswerte!$Q$9,IF(D87&gt;Basiswerte!$P$7,Basiswerte!$Q$8,IF(D87&gt;Basiswerte!$P$6,Basiswerte!$Q$7,Basiswerte!$Q$6)))</f>
        <v>1.1499999999999999</v>
      </c>
      <c r="T87" s="35">
        <v>0.6</v>
      </c>
      <c r="U87" s="35">
        <v>0.9</v>
      </c>
      <c r="V87" s="110">
        <f t="shared" ca="1" si="16"/>
        <v>2.8273906828124997</v>
      </c>
      <c r="W87" s="111">
        <f t="shared" si="17"/>
        <v>3.4889203124999999</v>
      </c>
      <c r="X87" s="117">
        <f t="shared" ca="1" si="12"/>
        <v>7.2836400000000001</v>
      </c>
      <c r="Y87" s="117">
        <f t="shared" ca="1" si="13"/>
        <v>11.134514475000001</v>
      </c>
      <c r="Z87" s="242">
        <f t="shared" ca="1" si="14"/>
        <v>7.2836400000000001</v>
      </c>
      <c r="AA87" s="243">
        <f t="shared" ca="1" si="15"/>
        <v>11.134514475000001</v>
      </c>
      <c r="AB87" s="163">
        <f ca="1">V87*Basiswerte!$D$3+Tabellen!X87*Basiswerte!$D$4</f>
        <v>339.3893016950625</v>
      </c>
      <c r="AC87" s="164">
        <f ca="1">W87*Basiswerte!$E$3+Tabellen!Y87*Basiswerte!$E$4</f>
        <v>689.88568132181251</v>
      </c>
      <c r="AD87" s="312"/>
      <c r="AE87" s="284">
        <f t="shared" si="18"/>
        <v>0</v>
      </c>
    </row>
    <row r="88" spans="1:31" x14ac:dyDescent="0.45">
      <c r="A88" s="57" t="s">
        <v>35</v>
      </c>
      <c r="B88" s="2" t="s">
        <v>36</v>
      </c>
      <c r="C88" s="2"/>
      <c r="D88" s="316">
        <v>1</v>
      </c>
      <c r="E88" s="28">
        <v>0</v>
      </c>
      <c r="F88" s="28">
        <v>0</v>
      </c>
      <c r="G88" s="28">
        <v>0.45</v>
      </c>
      <c r="H88" s="28">
        <v>0.25</v>
      </c>
      <c r="I88" s="28">
        <v>0.15</v>
      </c>
      <c r="J88" s="28">
        <v>0.1</v>
      </c>
      <c r="K88" s="28">
        <v>0.05</v>
      </c>
      <c r="L88" s="28">
        <v>0</v>
      </c>
      <c r="M88" s="28">
        <v>0</v>
      </c>
      <c r="N88" s="28">
        <v>0</v>
      </c>
      <c r="O88" s="23">
        <f t="shared" si="1"/>
        <v>1</v>
      </c>
      <c r="P88" s="147">
        <f t="shared" si="7"/>
        <v>15.039025608750093</v>
      </c>
      <c r="Q88" s="147">
        <f t="shared" si="8"/>
        <v>2.5749999999999997</v>
      </c>
      <c r="R88" s="11">
        <f t="shared" si="9"/>
        <v>10.65</v>
      </c>
      <c r="S88" s="12">
        <f>IF(D88&gt;Basiswerte!$P$8,Basiswerte!$Q$9,IF(D88&gt;Basiswerte!$P$7,Basiswerte!$Q$8,IF(D88&gt;Basiswerte!$P$6,Basiswerte!$Q$7,Basiswerte!$Q$6)))</f>
        <v>1.1499999999999999</v>
      </c>
      <c r="T88" s="32">
        <v>1.3</v>
      </c>
      <c r="U88" s="32">
        <v>1.5</v>
      </c>
      <c r="V88" s="110">
        <f t="shared" ca="1" si="16"/>
        <v>2.8977237843749992</v>
      </c>
      <c r="W88" s="111">
        <f t="shared" si="17"/>
        <v>3.5757093749999993</v>
      </c>
      <c r="X88" s="118">
        <f t="shared" ca="1" si="12"/>
        <v>16.558620000000001</v>
      </c>
      <c r="Y88" s="118">
        <f t="shared" ca="1" si="13"/>
        <v>19.471687874999997</v>
      </c>
      <c r="Z88" s="244">
        <f t="shared" ca="1" si="14"/>
        <v>16.558620000000001</v>
      </c>
      <c r="AA88" s="245">
        <f t="shared" ca="1" si="15"/>
        <v>19.471687874999997</v>
      </c>
      <c r="AB88" s="165">
        <f ca="1">V88*Basiswerte!$D$3+Tabellen!X88*Basiswerte!$D$4</f>
        <v>634.17723624787493</v>
      </c>
      <c r="AC88" s="166">
        <f ca="1">W88*Basiswerte!$E$3+Tabellen!Y88*Basiswerte!$E$4</f>
        <v>1069.6752089831248</v>
      </c>
      <c r="AD88" s="320"/>
      <c r="AE88" s="292">
        <f t="shared" si="18"/>
        <v>0</v>
      </c>
    </row>
    <row r="89" spans="1:31" x14ac:dyDescent="0.45">
      <c r="A89" s="6" t="s">
        <v>37</v>
      </c>
      <c r="B89" s="19" t="s">
        <v>38</v>
      </c>
      <c r="C89" s="19"/>
      <c r="D89" s="315">
        <v>1</v>
      </c>
      <c r="E89" s="31">
        <v>0</v>
      </c>
      <c r="F89" s="31">
        <v>0</v>
      </c>
      <c r="G89" s="31">
        <v>0.6</v>
      </c>
      <c r="H89" s="31">
        <v>0.4</v>
      </c>
      <c r="I89" s="31">
        <v>0</v>
      </c>
      <c r="J89" s="31">
        <v>0</v>
      </c>
      <c r="K89" s="31">
        <v>0</v>
      </c>
      <c r="L89" s="31">
        <v>0</v>
      </c>
      <c r="M89" s="31">
        <v>0</v>
      </c>
      <c r="N89" s="31">
        <v>0</v>
      </c>
      <c r="O89" s="26">
        <f t="shared" si="1"/>
        <v>1</v>
      </c>
      <c r="P89" s="146">
        <f t="shared" si="7"/>
        <v>12.844839069546964</v>
      </c>
      <c r="Q89" s="146">
        <f t="shared" si="8"/>
        <v>2.65</v>
      </c>
      <c r="R89" s="21">
        <f t="shared" si="9"/>
        <v>11.6</v>
      </c>
      <c r="S89" s="22">
        <f>IF(D89&gt;Basiswerte!$P$8,Basiswerte!$Q$9,IF(D89&gt;Basiswerte!$P$7,Basiswerte!$Q$8,IF(D89&gt;Basiswerte!$P$6,Basiswerte!$Q$7,Basiswerte!$Q$6)))</f>
        <v>1.1499999999999999</v>
      </c>
      <c r="T89" s="35">
        <v>0.9</v>
      </c>
      <c r="U89" s="35">
        <v>1.3</v>
      </c>
      <c r="V89" s="114">
        <f t="shared" ca="1" si="16"/>
        <v>2.9821235062499998</v>
      </c>
      <c r="W89" s="115">
        <f t="shared" si="17"/>
        <v>3.6798562499999998</v>
      </c>
      <c r="X89" s="117">
        <f t="shared" ca="1" si="12"/>
        <v>12.486239999999999</v>
      </c>
      <c r="Y89" s="117">
        <f t="shared" ca="1" si="13"/>
        <v>18.380785799999998</v>
      </c>
      <c r="Z89" s="242">
        <f t="shared" ca="1" si="14"/>
        <v>12.486239999999999</v>
      </c>
      <c r="AA89" s="243">
        <f t="shared" ca="1" si="15"/>
        <v>18.380785799999998</v>
      </c>
      <c r="AB89" s="169">
        <f ca="1">V89*Basiswerte!$D$3+Tabellen!X89*Basiswerte!$D$4</f>
        <v>509.23097198324996</v>
      </c>
      <c r="AC89" s="170">
        <f ca="1">W89*Basiswerte!$E$3+Tabellen!Y89*Basiswerte!$E$4</f>
        <v>1026.23564030325</v>
      </c>
      <c r="AD89" s="319"/>
      <c r="AE89" s="285">
        <f t="shared" ref="AE89:AE111" si="19">(IF(AD89&gt;0,IF((AD89&lt;AB89),AD89-AB89,(IF((AD89&gt;AC89),AD89-AC89,0))),))*D89</f>
        <v>0</v>
      </c>
    </row>
    <row r="90" spans="1:31" x14ac:dyDescent="0.45">
      <c r="A90" s="57" t="s">
        <v>39</v>
      </c>
      <c r="B90" s="2" t="s">
        <v>119</v>
      </c>
      <c r="C90" s="2"/>
      <c r="D90" s="316">
        <v>1</v>
      </c>
      <c r="E90" s="28">
        <v>0</v>
      </c>
      <c r="F90" s="28">
        <v>0</v>
      </c>
      <c r="G90" s="28">
        <v>0.6</v>
      </c>
      <c r="H90" s="28">
        <v>0.4</v>
      </c>
      <c r="I90" s="28">
        <v>0</v>
      </c>
      <c r="J90" s="28">
        <v>0</v>
      </c>
      <c r="K90" s="28">
        <v>0</v>
      </c>
      <c r="L90" s="28">
        <v>0</v>
      </c>
      <c r="M90" s="28">
        <v>0</v>
      </c>
      <c r="N90" s="28">
        <v>0</v>
      </c>
      <c r="O90" s="23">
        <f t="shared" si="1"/>
        <v>1</v>
      </c>
      <c r="P90" s="147">
        <f t="shared" si="7"/>
        <v>12.844839069546964</v>
      </c>
      <c r="Q90" s="147">
        <f t="shared" si="8"/>
        <v>2.65</v>
      </c>
      <c r="R90" s="11">
        <f t="shared" si="9"/>
        <v>11.6</v>
      </c>
      <c r="S90" s="12">
        <f>IF(D90&gt;Basiswerte!$P$8,Basiswerte!$Q$9,IF(D90&gt;Basiswerte!$P$7,Basiswerte!$Q$8,IF(D90&gt;Basiswerte!$P$6,Basiswerte!$Q$7,Basiswerte!$Q$6)))</f>
        <v>1.1499999999999999</v>
      </c>
      <c r="T90" s="32">
        <v>1</v>
      </c>
      <c r="U90" s="32">
        <v>1.45</v>
      </c>
      <c r="V90" s="112">
        <f t="shared" ca="1" si="16"/>
        <v>2.9821235062499998</v>
      </c>
      <c r="W90" s="113">
        <f t="shared" si="17"/>
        <v>3.6798562499999998</v>
      </c>
      <c r="X90" s="118">
        <f t="shared" ca="1" si="12"/>
        <v>13.873599999999998</v>
      </c>
      <c r="Y90" s="118">
        <f t="shared" ca="1" si="13"/>
        <v>20.501645699999997</v>
      </c>
      <c r="Z90" s="244">
        <f t="shared" ca="1" si="14"/>
        <v>13.873599999999998</v>
      </c>
      <c r="AA90" s="245">
        <f t="shared" ca="1" si="15"/>
        <v>20.501645699999997</v>
      </c>
      <c r="AB90" s="165">
        <f ca="1">V90*Basiswerte!$D$3+Tabellen!X90*Basiswerte!$D$4</f>
        <v>552.9161636632499</v>
      </c>
      <c r="AC90" s="166">
        <f ca="1">W90*Basiswerte!$E$3+Tabellen!Y90*Basiswerte!$E$4</f>
        <v>1121.6531272042498</v>
      </c>
      <c r="AD90" s="320"/>
      <c r="AE90" s="292">
        <f t="shared" si="19"/>
        <v>0</v>
      </c>
    </row>
    <row r="91" spans="1:31" x14ac:dyDescent="0.45">
      <c r="A91" s="61" t="s">
        <v>40</v>
      </c>
      <c r="B91" s="13" t="s">
        <v>41</v>
      </c>
      <c r="C91" s="13"/>
      <c r="D91" s="317">
        <v>1</v>
      </c>
      <c r="E91" s="29">
        <v>0</v>
      </c>
      <c r="F91" s="29">
        <v>0</v>
      </c>
      <c r="G91" s="29">
        <v>0.7</v>
      </c>
      <c r="H91" s="29">
        <v>0.3</v>
      </c>
      <c r="I91" s="29">
        <v>0</v>
      </c>
      <c r="J91" s="29">
        <v>0</v>
      </c>
      <c r="K91" s="29">
        <v>0</v>
      </c>
      <c r="L91" s="29">
        <v>0</v>
      </c>
      <c r="M91" s="29">
        <v>0</v>
      </c>
      <c r="N91" s="29">
        <v>0</v>
      </c>
      <c r="O91" s="24">
        <f t="shared" si="1"/>
        <v>1</v>
      </c>
      <c r="P91" s="148">
        <f t="shared" si="7"/>
        <v>12.641343600580649</v>
      </c>
      <c r="Q91" s="148">
        <f t="shared" si="8"/>
        <v>2.6749999999999998</v>
      </c>
      <c r="R91" s="14">
        <f t="shared" si="9"/>
        <v>11.7</v>
      </c>
      <c r="S91" s="15">
        <f>IF(D91&gt;Basiswerte!$P$8,Basiswerte!$Q$9,IF(D91&gt;Basiswerte!$P$7,Basiswerte!$Q$8,IF(D91&gt;Basiswerte!$P$6,Basiswerte!$Q$7,Basiswerte!$Q$6)))</f>
        <v>1.1499999999999999</v>
      </c>
      <c r="T91" s="33">
        <v>1</v>
      </c>
      <c r="U91" s="33">
        <v>1.1499999999999999</v>
      </c>
      <c r="V91" s="110">
        <f t="shared" ca="1" si="16"/>
        <v>3.0102567468749997</v>
      </c>
      <c r="W91" s="111">
        <f t="shared" si="17"/>
        <v>3.7145718749999994</v>
      </c>
      <c r="X91" s="116">
        <f t="shared" ca="1" si="12"/>
        <v>13.993199999999998</v>
      </c>
      <c r="Y91" s="119">
        <f t="shared" ca="1" si="13"/>
        <v>16.400097674999998</v>
      </c>
      <c r="Z91" s="246">
        <f t="shared" ca="1" si="14"/>
        <v>13.993199999999998</v>
      </c>
      <c r="AA91" s="247">
        <f t="shared" ca="1" si="15"/>
        <v>16.400097674999998</v>
      </c>
      <c r="AB91" s="167">
        <f ca="1">V91*Basiswerte!$D$3+Tabellen!X91*Basiswerte!$D$4</f>
        <v>557.77707418837485</v>
      </c>
      <c r="AC91" s="168">
        <f ca="1">W91*Basiswerte!$E$3+Tabellen!Y91*Basiswerte!$E$4</f>
        <v>939.00452011762479</v>
      </c>
      <c r="AD91" s="321"/>
      <c r="AE91" s="284">
        <f t="shared" si="19"/>
        <v>0</v>
      </c>
    </row>
    <row r="92" spans="1:31" x14ac:dyDescent="0.45">
      <c r="A92" s="4" t="s">
        <v>42</v>
      </c>
      <c r="B92" s="16" t="s">
        <v>43</v>
      </c>
      <c r="C92" s="16"/>
      <c r="D92" s="318">
        <v>1</v>
      </c>
      <c r="E92" s="30">
        <v>0</v>
      </c>
      <c r="F92" s="30">
        <v>0</v>
      </c>
      <c r="G92" s="30">
        <v>0.3</v>
      </c>
      <c r="H92" s="30">
        <v>0.3</v>
      </c>
      <c r="I92" s="30">
        <v>0.2</v>
      </c>
      <c r="J92" s="30">
        <v>0.2</v>
      </c>
      <c r="K92" s="30">
        <v>0</v>
      </c>
      <c r="L92" s="30">
        <v>0</v>
      </c>
      <c r="M92" s="30">
        <v>0</v>
      </c>
      <c r="N92" s="30">
        <v>0</v>
      </c>
      <c r="O92" s="25">
        <f t="shared" si="1"/>
        <v>1</v>
      </c>
      <c r="P92" s="149">
        <f t="shared" si="7"/>
        <v>15.276927742770971</v>
      </c>
      <c r="Q92" s="149">
        <f t="shared" si="8"/>
        <v>2.5250000000000004</v>
      </c>
      <c r="R92" s="17">
        <f t="shared" si="9"/>
        <v>10.299999999999999</v>
      </c>
      <c r="S92" s="18">
        <f>IF(D92&gt;Basiswerte!$P$8,Basiswerte!$Q$9,IF(D92&gt;Basiswerte!$P$7,Basiswerte!$Q$8,IF(D92&gt;Basiswerte!$P$6,Basiswerte!$Q$7,Basiswerte!$Q$6)))</f>
        <v>1.1499999999999999</v>
      </c>
      <c r="T92" s="34">
        <v>0.9</v>
      </c>
      <c r="U92" s="34">
        <v>1.1499999999999999</v>
      </c>
      <c r="V92" s="114">
        <f t="shared" ca="1" si="16"/>
        <v>2.8414573031249999</v>
      </c>
      <c r="W92" s="115">
        <f t="shared" si="17"/>
        <v>3.5062781250000001</v>
      </c>
      <c r="X92" s="120">
        <f t="shared" ca="1" si="12"/>
        <v>11.086919999999997</v>
      </c>
      <c r="Y92" s="120">
        <f t="shared" ca="1" si="13"/>
        <v>14.437692824999996</v>
      </c>
      <c r="Z92" s="241">
        <f t="shared" ca="1" si="14"/>
        <v>11.086919999999997</v>
      </c>
      <c r="AA92" s="248">
        <f t="shared" ca="1" si="15"/>
        <v>14.437692824999996</v>
      </c>
      <c r="AB92" s="169">
        <f ca="1">V92*Basiswerte!$D$3+Tabellen!X92*Basiswerte!$D$4</f>
        <v>459.6944551976249</v>
      </c>
      <c r="AC92" s="170">
        <f ca="1">W92*Basiswerte!$E$3+Tabellen!Y92*Basiswerte!$E$4</f>
        <v>839.43569456737464</v>
      </c>
      <c r="AD92" s="319"/>
      <c r="AE92" s="285">
        <f t="shared" si="19"/>
        <v>0</v>
      </c>
    </row>
    <row r="93" spans="1:31" x14ac:dyDescent="0.45">
      <c r="A93" s="57" t="s">
        <v>44</v>
      </c>
      <c r="B93" s="2" t="s">
        <v>120</v>
      </c>
      <c r="C93" s="2"/>
      <c r="D93" s="316">
        <v>1</v>
      </c>
      <c r="E93" s="28">
        <v>0</v>
      </c>
      <c r="F93" s="28">
        <v>0</v>
      </c>
      <c r="G93" s="28">
        <v>0.2</v>
      </c>
      <c r="H93" s="28">
        <v>0.2</v>
      </c>
      <c r="I93" s="28">
        <v>0.2</v>
      </c>
      <c r="J93" s="28">
        <v>0.2</v>
      </c>
      <c r="K93" s="28">
        <v>0.2</v>
      </c>
      <c r="L93" s="28">
        <v>0</v>
      </c>
      <c r="M93" s="28">
        <v>0</v>
      </c>
      <c r="N93" s="28">
        <v>0</v>
      </c>
      <c r="O93" s="23">
        <f t="shared" si="1"/>
        <v>1</v>
      </c>
      <c r="P93" s="147">
        <f t="shared" si="7"/>
        <v>18.289828151267898</v>
      </c>
      <c r="Q93" s="147">
        <f t="shared" si="8"/>
        <v>2.4500000000000002</v>
      </c>
      <c r="R93" s="11">
        <f t="shared" si="9"/>
        <v>9.4</v>
      </c>
      <c r="S93" s="12">
        <f>IF(D93&gt;Basiswerte!$P$8,Basiswerte!$Q$9,IF(D93&gt;Basiswerte!$P$7,Basiswerte!$Q$8,IF(D93&gt;Basiswerte!$P$6,Basiswerte!$Q$7,Basiswerte!$Q$6)))</f>
        <v>1.1499999999999999</v>
      </c>
      <c r="T93" s="32">
        <v>1.1000000000000001</v>
      </c>
      <c r="U93" s="32">
        <v>1.25</v>
      </c>
      <c r="V93" s="110">
        <f t="shared" ca="1" si="16"/>
        <v>2.7570575812499998</v>
      </c>
      <c r="W93" s="111">
        <f t="shared" si="17"/>
        <v>3.4021312500000001</v>
      </c>
      <c r="X93" s="118">
        <f t="shared" ca="1" si="12"/>
        <v>12.36664</v>
      </c>
      <c r="Y93" s="118">
        <f t="shared" ca="1" si="13"/>
        <v>14.321898750000001</v>
      </c>
      <c r="Z93" s="244">
        <f t="shared" ca="1" si="14"/>
        <v>12.36664</v>
      </c>
      <c r="AA93" s="245">
        <f t="shared" ca="1" si="15"/>
        <v>14.321898750000001</v>
      </c>
      <c r="AB93" s="165">
        <f ca="1">V93*Basiswerte!$D$3+Tabellen!X93*Basiswerte!$D$4</f>
        <v>496.70544138225</v>
      </c>
      <c r="AC93" s="166">
        <f ca="1">W93*Basiswerte!$E$3+Tabellen!Y93*Basiswerte!$E$4</f>
        <v>828.58600345874993</v>
      </c>
      <c r="AD93" s="320"/>
      <c r="AE93" s="292">
        <f t="shared" si="19"/>
        <v>0</v>
      </c>
    </row>
    <row r="94" spans="1:31" x14ac:dyDescent="0.45">
      <c r="A94" s="4" t="s">
        <v>45</v>
      </c>
      <c r="B94" s="16" t="s">
        <v>46</v>
      </c>
      <c r="C94" s="16"/>
      <c r="D94" s="318">
        <v>1</v>
      </c>
      <c r="E94" s="30">
        <v>0</v>
      </c>
      <c r="F94" s="30">
        <v>0</v>
      </c>
      <c r="G94" s="30">
        <v>0.6</v>
      </c>
      <c r="H94" s="30">
        <v>0.4</v>
      </c>
      <c r="I94" s="30">
        <v>0</v>
      </c>
      <c r="J94" s="30">
        <v>0</v>
      </c>
      <c r="K94" s="30">
        <v>0</v>
      </c>
      <c r="L94" s="30">
        <v>0</v>
      </c>
      <c r="M94" s="30">
        <v>0</v>
      </c>
      <c r="N94" s="30">
        <v>0</v>
      </c>
      <c r="O94" s="25">
        <f t="shared" si="1"/>
        <v>1</v>
      </c>
      <c r="P94" s="149">
        <f t="shared" si="7"/>
        <v>12.844839069546964</v>
      </c>
      <c r="Q94" s="149">
        <f t="shared" si="8"/>
        <v>2.65</v>
      </c>
      <c r="R94" s="17">
        <f t="shared" si="9"/>
        <v>11.6</v>
      </c>
      <c r="S94" s="18">
        <f>IF(D94&gt;Basiswerte!$P$8,Basiswerte!$Q$9,IF(D94&gt;Basiswerte!$P$7,Basiswerte!$Q$8,IF(D94&gt;Basiswerte!$P$6,Basiswerte!$Q$7,Basiswerte!$Q$6)))</f>
        <v>1.1499999999999999</v>
      </c>
      <c r="T94" s="34">
        <v>1</v>
      </c>
      <c r="U94" s="34">
        <v>1.2</v>
      </c>
      <c r="V94" s="114">
        <f t="shared" ca="1" si="16"/>
        <v>2.9821235062499998</v>
      </c>
      <c r="W94" s="115">
        <f t="shared" si="17"/>
        <v>3.6798562499999998</v>
      </c>
      <c r="X94" s="120">
        <f t="shared" ca="1" si="12"/>
        <v>13.873599999999998</v>
      </c>
      <c r="Y94" s="120">
        <f t="shared" ca="1" si="13"/>
        <v>16.966879199999997</v>
      </c>
      <c r="Z94" s="241">
        <f t="shared" ca="1" si="14"/>
        <v>13.873599999999998</v>
      </c>
      <c r="AA94" s="248">
        <f t="shared" ca="1" si="15"/>
        <v>16.966879199999997</v>
      </c>
      <c r="AB94" s="169">
        <f ca="1">V94*Basiswerte!$D$3+Tabellen!X94*Basiswerte!$D$4</f>
        <v>552.9161636632499</v>
      </c>
      <c r="AC94" s="170">
        <f ca="1">W94*Basiswerte!$E$3+Tabellen!Y94*Basiswerte!$E$4</f>
        <v>962.6239823692498</v>
      </c>
      <c r="AD94" s="319"/>
      <c r="AE94" s="285">
        <f t="shared" si="19"/>
        <v>0</v>
      </c>
    </row>
    <row r="95" spans="1:31" x14ac:dyDescent="0.45">
      <c r="A95" s="57" t="s">
        <v>47</v>
      </c>
      <c r="B95" s="2" t="s">
        <v>213</v>
      </c>
      <c r="C95" s="2"/>
      <c r="D95" s="316">
        <v>1</v>
      </c>
      <c r="E95" s="28">
        <v>0</v>
      </c>
      <c r="F95" s="28">
        <v>0</v>
      </c>
      <c r="G95" s="28">
        <v>0.6</v>
      </c>
      <c r="H95" s="28">
        <v>0.4</v>
      </c>
      <c r="I95" s="28">
        <v>0</v>
      </c>
      <c r="J95" s="28">
        <v>0</v>
      </c>
      <c r="K95" s="28">
        <v>0</v>
      </c>
      <c r="L95" s="28">
        <v>0</v>
      </c>
      <c r="M95" s="28">
        <v>0</v>
      </c>
      <c r="N95" s="28">
        <v>0</v>
      </c>
      <c r="O95" s="23">
        <f t="shared" si="1"/>
        <v>1</v>
      </c>
      <c r="P95" s="147">
        <f t="shared" si="7"/>
        <v>12.844839069546964</v>
      </c>
      <c r="Q95" s="147">
        <f t="shared" si="8"/>
        <v>2.65</v>
      </c>
      <c r="R95" s="11">
        <f t="shared" si="9"/>
        <v>11.6</v>
      </c>
      <c r="S95" s="12">
        <f>IF(D95&gt;Basiswerte!$P$8,Basiswerte!$Q$9,IF(D95&gt;Basiswerte!$P$7,Basiswerte!$Q$8,IF(D95&gt;Basiswerte!$P$6,Basiswerte!$Q$7,Basiswerte!$Q$6)))</f>
        <v>1.1499999999999999</v>
      </c>
      <c r="T95" s="32">
        <v>1.1000000000000001</v>
      </c>
      <c r="U95" s="32">
        <v>1.3</v>
      </c>
      <c r="V95" s="112">
        <f t="shared" ca="1" si="16"/>
        <v>2.9821235062499998</v>
      </c>
      <c r="W95" s="113">
        <f t="shared" si="17"/>
        <v>3.6798562499999998</v>
      </c>
      <c r="X95" s="118">
        <f t="shared" ca="1" si="12"/>
        <v>15.260960000000001</v>
      </c>
      <c r="Y95" s="118">
        <f t="shared" ca="1" si="13"/>
        <v>18.380785799999998</v>
      </c>
      <c r="Z95" s="244">
        <f t="shared" ca="1" si="14"/>
        <v>15.260960000000001</v>
      </c>
      <c r="AA95" s="245">
        <f t="shared" ca="1" si="15"/>
        <v>18.380785799999998</v>
      </c>
      <c r="AB95" s="165">
        <f ca="1">V95*Basiswerte!$D$3+Tabellen!X95*Basiswerte!$D$4</f>
        <v>596.60135534325002</v>
      </c>
      <c r="AC95" s="166">
        <f ca="1">W95*Basiswerte!$E$3+Tabellen!Y95*Basiswerte!$E$4</f>
        <v>1026.23564030325</v>
      </c>
      <c r="AD95" s="320"/>
      <c r="AE95" s="292">
        <f t="shared" si="19"/>
        <v>0</v>
      </c>
    </row>
    <row r="96" spans="1:31" x14ac:dyDescent="0.45">
      <c r="A96" s="61" t="s">
        <v>48</v>
      </c>
      <c r="B96" s="13" t="s">
        <v>49</v>
      </c>
      <c r="C96" s="13"/>
      <c r="D96" s="317">
        <v>1</v>
      </c>
      <c r="E96" s="29">
        <v>0</v>
      </c>
      <c r="F96" s="29">
        <v>0</v>
      </c>
      <c r="G96" s="29">
        <v>0.5</v>
      </c>
      <c r="H96" s="29">
        <v>0.3</v>
      </c>
      <c r="I96" s="29">
        <v>0.2</v>
      </c>
      <c r="J96" s="29">
        <v>0</v>
      </c>
      <c r="K96" s="29">
        <v>0</v>
      </c>
      <c r="L96" s="29">
        <v>0</v>
      </c>
      <c r="M96" s="29">
        <v>0</v>
      </c>
      <c r="N96" s="29">
        <v>0</v>
      </c>
      <c r="O96" s="24">
        <f t="shared" si="1"/>
        <v>1</v>
      </c>
      <c r="P96" s="148">
        <f t="shared" si="7"/>
        <v>13.497021325036307</v>
      </c>
      <c r="Q96" s="148">
        <f t="shared" si="8"/>
        <v>2.625</v>
      </c>
      <c r="R96" s="14">
        <f t="shared" si="9"/>
        <v>11.100000000000001</v>
      </c>
      <c r="S96" s="15">
        <f>IF(D96&gt;Basiswerte!$P$8,Basiswerte!$Q$9,IF(D96&gt;Basiswerte!$P$7,Basiswerte!$Q$8,IF(D96&gt;Basiswerte!$P$6,Basiswerte!$Q$7,Basiswerte!$Q$6)))</f>
        <v>1.1499999999999999</v>
      </c>
      <c r="T96" s="33">
        <v>1</v>
      </c>
      <c r="U96" s="33">
        <v>1.25</v>
      </c>
      <c r="V96" s="110">
        <f t="shared" ca="1" si="16"/>
        <v>2.9539902656249999</v>
      </c>
      <c r="W96" s="111">
        <f t="shared" si="17"/>
        <v>3.6451406249999998</v>
      </c>
      <c r="X96" s="116">
        <f t="shared" ca="1" si="12"/>
        <v>13.275600000000001</v>
      </c>
      <c r="Y96" s="119">
        <f t="shared" ca="1" si="13"/>
        <v>16.912029375000003</v>
      </c>
      <c r="Z96" s="246">
        <f t="shared" ca="1" si="14"/>
        <v>13.275600000000001</v>
      </c>
      <c r="AA96" s="247">
        <f t="shared" ca="1" si="15"/>
        <v>16.912029375000003</v>
      </c>
      <c r="AB96" s="167">
        <f ca="1">V96*Basiswerte!$D$3+Tabellen!X96*Basiswerte!$D$4</f>
        <v>532.99139393812504</v>
      </c>
      <c r="AC96" s="168">
        <f ca="1">W96*Basiswerte!$E$3+Tabellen!Y96*Basiswerte!$E$4</f>
        <v>958.27625018437493</v>
      </c>
      <c r="AD96" s="321"/>
      <c r="AE96" s="284">
        <f t="shared" si="19"/>
        <v>0</v>
      </c>
    </row>
    <row r="97" spans="1:31" x14ac:dyDescent="0.45">
      <c r="A97" s="4" t="s">
        <v>50</v>
      </c>
      <c r="B97" s="16" t="s">
        <v>51</v>
      </c>
      <c r="C97" s="16"/>
      <c r="D97" s="318">
        <v>1</v>
      </c>
      <c r="E97" s="30">
        <v>0</v>
      </c>
      <c r="F97" s="30">
        <v>0</v>
      </c>
      <c r="G97" s="30">
        <v>0.5</v>
      </c>
      <c r="H97" s="30">
        <v>0.3</v>
      </c>
      <c r="I97" s="30">
        <v>0.2</v>
      </c>
      <c r="J97" s="30">
        <v>0</v>
      </c>
      <c r="K97" s="30">
        <v>0</v>
      </c>
      <c r="L97" s="30">
        <v>0</v>
      </c>
      <c r="M97" s="30">
        <v>0</v>
      </c>
      <c r="N97" s="30">
        <v>0</v>
      </c>
      <c r="O97" s="25">
        <f t="shared" si="1"/>
        <v>1</v>
      </c>
      <c r="P97" s="149">
        <f t="shared" si="7"/>
        <v>13.497021325036307</v>
      </c>
      <c r="Q97" s="149">
        <f t="shared" si="8"/>
        <v>2.625</v>
      </c>
      <c r="R97" s="17">
        <f t="shared" si="9"/>
        <v>11.100000000000001</v>
      </c>
      <c r="S97" s="22">
        <f>IF(D97&gt;Basiswerte!$P$8,Basiswerte!$Q$9,IF(D97&gt;Basiswerte!$P$7,Basiswerte!$Q$8,IF(D97&gt;Basiswerte!$P$6,Basiswerte!$Q$7,Basiswerte!$Q$6)))</f>
        <v>1.1499999999999999</v>
      </c>
      <c r="T97" s="34">
        <v>0.65</v>
      </c>
      <c r="U97" s="34">
        <v>1</v>
      </c>
      <c r="V97" s="114">
        <f t="shared" ca="1" si="16"/>
        <v>2.9539902656249999</v>
      </c>
      <c r="W97" s="115">
        <f t="shared" si="17"/>
        <v>3.6451406249999998</v>
      </c>
      <c r="X97" s="120">
        <f t="shared" ca="1" si="12"/>
        <v>8.6291399999999996</v>
      </c>
      <c r="Y97" s="120">
        <f t="shared" ca="1" si="13"/>
        <v>13.529623500000001</v>
      </c>
      <c r="Z97" s="241">
        <f t="shared" ca="1" si="14"/>
        <v>8.6291399999999996</v>
      </c>
      <c r="AA97" s="248">
        <f t="shared" ca="1" si="15"/>
        <v>13.529623500000001</v>
      </c>
      <c r="AB97" s="169">
        <f ca="1">V97*Basiswerte!$D$3+Tabellen!X97*Basiswerte!$D$4</f>
        <v>386.68366145812496</v>
      </c>
      <c r="AC97" s="170">
        <f ca="1">W97*Basiswerte!$E$3+Tabellen!Y97*Basiswerte!$E$4</f>
        <v>806.10180986812497</v>
      </c>
      <c r="AD97" s="319"/>
      <c r="AE97" s="285">
        <f t="shared" si="19"/>
        <v>0</v>
      </c>
    </row>
    <row r="98" spans="1:31" x14ac:dyDescent="0.45">
      <c r="A98" s="6" t="s">
        <v>52</v>
      </c>
      <c r="B98" s="19" t="s">
        <v>121</v>
      </c>
      <c r="C98" s="19"/>
      <c r="D98" s="315">
        <v>1</v>
      </c>
      <c r="E98" s="31">
        <v>0</v>
      </c>
      <c r="F98" s="31">
        <v>0</v>
      </c>
      <c r="G98" s="31">
        <v>0.5</v>
      </c>
      <c r="H98" s="31">
        <v>0.3</v>
      </c>
      <c r="I98" s="31">
        <v>0.2</v>
      </c>
      <c r="J98" s="31">
        <v>0</v>
      </c>
      <c r="K98" s="31">
        <v>0</v>
      </c>
      <c r="L98" s="31">
        <v>0</v>
      </c>
      <c r="M98" s="31">
        <v>0</v>
      </c>
      <c r="N98" s="31">
        <v>0</v>
      </c>
      <c r="O98" s="26">
        <f t="shared" si="1"/>
        <v>1</v>
      </c>
      <c r="P98" s="146">
        <f t="shared" si="7"/>
        <v>13.497021325036307</v>
      </c>
      <c r="Q98" s="146">
        <f t="shared" si="8"/>
        <v>2.625</v>
      </c>
      <c r="R98" s="21">
        <f t="shared" si="9"/>
        <v>11.100000000000001</v>
      </c>
      <c r="S98" s="22">
        <f>IF(D98&gt;Basiswerte!$P$8,Basiswerte!$Q$9,IF(D98&gt;Basiswerte!$P$7,Basiswerte!$Q$8,IF(D98&gt;Basiswerte!$P$6,Basiswerte!$Q$7,Basiswerte!$Q$6)))</f>
        <v>1.1499999999999999</v>
      </c>
      <c r="T98" s="35">
        <v>0.7</v>
      </c>
      <c r="U98" s="35">
        <v>1.05</v>
      </c>
      <c r="V98" s="110">
        <f t="shared" ca="1" si="16"/>
        <v>2.9539902656249999</v>
      </c>
      <c r="W98" s="111">
        <f t="shared" si="17"/>
        <v>3.6451406249999998</v>
      </c>
      <c r="X98" s="117">
        <f t="shared" ca="1" si="12"/>
        <v>9.2929199999999987</v>
      </c>
      <c r="Y98" s="117">
        <f t="shared" ca="1" si="13"/>
        <v>14.206104675000002</v>
      </c>
      <c r="Z98" s="242">
        <f t="shared" ca="1" si="14"/>
        <v>9.2929199999999987</v>
      </c>
      <c r="AA98" s="243">
        <f t="shared" ca="1" si="15"/>
        <v>14.206104675000002</v>
      </c>
      <c r="AB98" s="163">
        <f ca="1">V98*Basiswerte!$D$3+Tabellen!X98*Basiswerte!$D$4</f>
        <v>407.58476609812493</v>
      </c>
      <c r="AC98" s="164">
        <f ca="1">W98*Basiswerte!$E$3+Tabellen!Y98*Basiswerte!$E$4</f>
        <v>836.5366979313751</v>
      </c>
      <c r="AD98" s="312"/>
      <c r="AE98" s="284">
        <f t="shared" si="19"/>
        <v>0</v>
      </c>
    </row>
    <row r="99" spans="1:31" x14ac:dyDescent="0.45">
      <c r="A99" s="6" t="s">
        <v>53</v>
      </c>
      <c r="B99" s="19" t="s">
        <v>54</v>
      </c>
      <c r="C99" s="19"/>
      <c r="D99" s="315">
        <v>1</v>
      </c>
      <c r="E99" s="31">
        <v>0</v>
      </c>
      <c r="F99" s="31">
        <v>0</v>
      </c>
      <c r="G99" s="31">
        <v>0.5</v>
      </c>
      <c r="H99" s="31">
        <v>0.2</v>
      </c>
      <c r="I99" s="31">
        <v>0.2</v>
      </c>
      <c r="J99" s="31">
        <v>0.1</v>
      </c>
      <c r="K99" s="31">
        <v>0</v>
      </c>
      <c r="L99" s="31">
        <v>0</v>
      </c>
      <c r="M99" s="31">
        <v>0</v>
      </c>
      <c r="N99" s="31">
        <v>0</v>
      </c>
      <c r="O99" s="26">
        <f t="shared" si="1"/>
        <v>0.99999999999999989</v>
      </c>
      <c r="P99" s="146">
        <f t="shared" si="7"/>
        <v>14.233437050078464</v>
      </c>
      <c r="Q99" s="146">
        <f t="shared" si="8"/>
        <v>2.6</v>
      </c>
      <c r="R99" s="21">
        <f t="shared" si="9"/>
        <v>10.8</v>
      </c>
      <c r="S99" s="22">
        <f>IF(D99&gt;Basiswerte!$P$8,Basiswerte!$Q$9,IF(D99&gt;Basiswerte!$P$7,Basiswerte!$Q$8,IF(D99&gt;Basiswerte!$P$6,Basiswerte!$Q$7,Basiswerte!$Q$6)))</f>
        <v>1.1499999999999999</v>
      </c>
      <c r="T99" s="35">
        <v>0.75</v>
      </c>
      <c r="U99" s="35">
        <v>1.05</v>
      </c>
      <c r="V99" s="110">
        <f t="shared" ca="1" si="16"/>
        <v>2.925857025</v>
      </c>
      <c r="W99" s="111">
        <f t="shared" si="17"/>
        <v>3.6104249999999998</v>
      </c>
      <c r="X99" s="117">
        <f t="shared" ca="1" si="12"/>
        <v>9.6875999999999998</v>
      </c>
      <c r="Y99" s="117">
        <f t="shared" ca="1" si="13"/>
        <v>13.822155900000002</v>
      </c>
      <c r="Z99" s="242">
        <f t="shared" ca="1" si="14"/>
        <v>9.6875999999999998</v>
      </c>
      <c r="AA99" s="243">
        <f t="shared" ca="1" si="15"/>
        <v>13.822155900000002</v>
      </c>
      <c r="AB99" s="163">
        <f ca="1">V99*Basiswerte!$D$3+Tabellen!X99*Basiswerte!$D$4</f>
        <v>418.91750421299997</v>
      </c>
      <c r="AC99" s="164">
        <f ca="1">W99*Basiswerte!$E$3+Tabellen!Y99*Basiswerte!$E$4</f>
        <v>817.382803986</v>
      </c>
      <c r="AD99" s="312"/>
      <c r="AE99" s="284">
        <f t="shared" si="19"/>
        <v>0</v>
      </c>
    </row>
    <row r="100" spans="1:31" x14ac:dyDescent="0.45">
      <c r="A100" s="6" t="s">
        <v>55</v>
      </c>
      <c r="B100" s="19" t="s">
        <v>214</v>
      </c>
      <c r="C100" s="19"/>
      <c r="D100" s="315">
        <v>1</v>
      </c>
      <c r="E100" s="31">
        <v>0</v>
      </c>
      <c r="F100" s="31">
        <v>0</v>
      </c>
      <c r="G100" s="31">
        <v>0.5</v>
      </c>
      <c r="H100" s="31">
        <v>0.2</v>
      </c>
      <c r="I100" s="31">
        <v>0.2</v>
      </c>
      <c r="J100" s="31">
        <v>0.1</v>
      </c>
      <c r="K100" s="31">
        <v>0</v>
      </c>
      <c r="L100" s="31">
        <v>0</v>
      </c>
      <c r="M100" s="31">
        <v>0</v>
      </c>
      <c r="N100" s="31">
        <v>0</v>
      </c>
      <c r="O100" s="26">
        <f t="shared" si="1"/>
        <v>0.99999999999999989</v>
      </c>
      <c r="P100" s="146">
        <f t="shared" si="7"/>
        <v>14.233437050078464</v>
      </c>
      <c r="Q100" s="146">
        <f t="shared" si="8"/>
        <v>2.6</v>
      </c>
      <c r="R100" s="21">
        <f t="shared" si="9"/>
        <v>10.8</v>
      </c>
      <c r="S100" s="22">
        <f>IF(D100&gt;Basiswerte!$P$8,Basiswerte!$Q$9,IF(D100&gt;Basiswerte!$P$7,Basiswerte!$Q$8,IF(D100&gt;Basiswerte!$P$6,Basiswerte!$Q$7,Basiswerte!$Q$6)))</f>
        <v>1.1499999999999999</v>
      </c>
      <c r="T100" s="35">
        <v>0.8</v>
      </c>
      <c r="U100" s="35">
        <v>1.1000000000000001</v>
      </c>
      <c r="V100" s="110">
        <f t="shared" ca="1" si="16"/>
        <v>2.925857025</v>
      </c>
      <c r="W100" s="111">
        <f t="shared" si="17"/>
        <v>3.6104249999999998</v>
      </c>
      <c r="X100" s="117">
        <f t="shared" ca="1" si="12"/>
        <v>10.33344</v>
      </c>
      <c r="Y100" s="117">
        <f t="shared" ca="1" si="13"/>
        <v>14.480353800000001</v>
      </c>
      <c r="Z100" s="242">
        <f t="shared" ca="1" si="14"/>
        <v>10.33344</v>
      </c>
      <c r="AA100" s="243">
        <f t="shared" ca="1" si="15"/>
        <v>14.480353800000001</v>
      </c>
      <c r="AB100" s="163">
        <f ca="1">V100*Basiswerte!$D$3+Tabellen!X100*Basiswerte!$D$4</f>
        <v>439.25371413299996</v>
      </c>
      <c r="AC100" s="164">
        <f ca="1">W100*Basiswerte!$E$3+Tabellen!Y100*Basiswerte!$E$4</f>
        <v>846.99512750699989</v>
      </c>
      <c r="AD100" s="312"/>
      <c r="AE100" s="284">
        <f t="shared" si="19"/>
        <v>0</v>
      </c>
    </row>
    <row r="101" spans="1:31" x14ac:dyDescent="0.45">
      <c r="A101" s="6" t="s">
        <v>56</v>
      </c>
      <c r="B101" s="19" t="s">
        <v>57</v>
      </c>
      <c r="C101" s="19"/>
      <c r="D101" s="315">
        <v>1</v>
      </c>
      <c r="E101" s="31">
        <v>0</v>
      </c>
      <c r="F101" s="31">
        <v>0</v>
      </c>
      <c r="G101" s="31">
        <v>0.4</v>
      </c>
      <c r="H101" s="31">
        <v>0.2</v>
      </c>
      <c r="I101" s="31">
        <v>0.2</v>
      </c>
      <c r="J101" s="31">
        <v>0.2</v>
      </c>
      <c r="K101" s="31">
        <v>0</v>
      </c>
      <c r="L101" s="31">
        <v>0</v>
      </c>
      <c r="M101" s="31">
        <v>0</v>
      </c>
      <c r="N101" s="31">
        <v>0</v>
      </c>
      <c r="O101" s="26">
        <f t="shared" si="1"/>
        <v>1</v>
      </c>
      <c r="P101" s="146">
        <f t="shared" si="7"/>
        <v>15.106230455121045</v>
      </c>
      <c r="Q101" s="146">
        <f t="shared" si="8"/>
        <v>2.5500000000000003</v>
      </c>
      <c r="R101" s="21">
        <f t="shared" si="9"/>
        <v>10.4</v>
      </c>
      <c r="S101" s="22">
        <f>IF(D101&gt;Basiswerte!$P$8,Basiswerte!$Q$9,IF(D101&gt;Basiswerte!$P$7,Basiswerte!$Q$8,IF(D101&gt;Basiswerte!$P$6,Basiswerte!$Q$7,Basiswerte!$Q$6)))</f>
        <v>1.1499999999999999</v>
      </c>
      <c r="T101" s="35">
        <v>0.8</v>
      </c>
      <c r="U101" s="35">
        <v>1.1000000000000001</v>
      </c>
      <c r="V101" s="110">
        <f t="shared" ca="1" si="16"/>
        <v>2.8695905437500002</v>
      </c>
      <c r="W101" s="111">
        <f t="shared" si="17"/>
        <v>3.5409937500000002</v>
      </c>
      <c r="X101" s="117">
        <f t="shared" ca="1" si="12"/>
        <v>9.9507200000000005</v>
      </c>
      <c r="Y101" s="117">
        <f t="shared" ca="1" si="13"/>
        <v>13.944044400000001</v>
      </c>
      <c r="Z101" s="242">
        <f t="shared" ca="1" si="14"/>
        <v>9.9507200000000005</v>
      </c>
      <c r="AA101" s="243">
        <f t="shared" ca="1" si="15"/>
        <v>13.944044400000001</v>
      </c>
      <c r="AB101" s="163">
        <f ca="1">V101*Basiswerte!$D$3+Tabellen!X101*Basiswerte!$D$4</f>
        <v>425.01273532275002</v>
      </c>
      <c r="AC101" s="164">
        <f ca="1">W101*Basiswerte!$E$3+Tabellen!Y101*Basiswerte!$E$4</f>
        <v>819.10649048475</v>
      </c>
      <c r="AD101" s="312"/>
      <c r="AE101" s="284">
        <f t="shared" si="19"/>
        <v>0</v>
      </c>
    </row>
    <row r="102" spans="1:31" x14ac:dyDescent="0.45">
      <c r="A102" s="57" t="s">
        <v>58</v>
      </c>
      <c r="B102" s="2" t="s">
        <v>59</v>
      </c>
      <c r="C102" s="2"/>
      <c r="D102" s="316">
        <v>1</v>
      </c>
      <c r="E102" s="28">
        <v>0</v>
      </c>
      <c r="F102" s="28">
        <v>0</v>
      </c>
      <c r="G102" s="28">
        <v>0.4</v>
      </c>
      <c r="H102" s="28">
        <v>0.2</v>
      </c>
      <c r="I102" s="28">
        <v>0.2</v>
      </c>
      <c r="J102" s="28">
        <v>0.2</v>
      </c>
      <c r="K102" s="28">
        <v>0</v>
      </c>
      <c r="L102" s="28">
        <v>0</v>
      </c>
      <c r="M102" s="28">
        <v>0</v>
      </c>
      <c r="N102" s="28">
        <v>0</v>
      </c>
      <c r="O102" s="23">
        <f t="shared" si="1"/>
        <v>1</v>
      </c>
      <c r="P102" s="147">
        <f t="shared" si="7"/>
        <v>15.106230455121045</v>
      </c>
      <c r="Q102" s="147">
        <f t="shared" si="8"/>
        <v>2.5500000000000003</v>
      </c>
      <c r="R102" s="11">
        <f t="shared" si="9"/>
        <v>10.4</v>
      </c>
      <c r="S102" s="12">
        <f>IF(D102&gt;Basiswerte!$P$8,Basiswerte!$Q$9,IF(D102&gt;Basiswerte!$P$7,Basiswerte!$Q$8,IF(D102&gt;Basiswerte!$P$6,Basiswerte!$Q$7,Basiswerte!$Q$6)))</f>
        <v>1.1499999999999999</v>
      </c>
      <c r="T102" s="32">
        <v>0.85</v>
      </c>
      <c r="U102" s="32">
        <v>1.1499999999999999</v>
      </c>
      <c r="V102" s="112">
        <f t="shared" ca="1" si="16"/>
        <v>2.8695905437500002</v>
      </c>
      <c r="W102" s="113">
        <f t="shared" si="17"/>
        <v>3.5409937500000002</v>
      </c>
      <c r="X102" s="118">
        <f t="shared" ca="1" si="12"/>
        <v>10.572639999999998</v>
      </c>
      <c r="Y102" s="118">
        <f t="shared" ca="1" si="13"/>
        <v>14.577864599999998</v>
      </c>
      <c r="Z102" s="244">
        <f t="shared" ca="1" si="14"/>
        <v>10.572639999999998</v>
      </c>
      <c r="AA102" s="245">
        <f t="shared" ca="1" si="15"/>
        <v>14.577864599999998</v>
      </c>
      <c r="AB102" s="165">
        <f ca="1">V102*Basiswerte!$D$3+Tabellen!X102*Basiswerte!$D$4</f>
        <v>444.59575228274991</v>
      </c>
      <c r="AC102" s="166">
        <f ca="1">W102*Basiswerte!$E$3+Tabellen!Y102*Basiswerte!$E$4</f>
        <v>847.62206128274988</v>
      </c>
      <c r="AD102" s="320"/>
      <c r="AE102" s="292">
        <f t="shared" si="19"/>
        <v>0</v>
      </c>
    </row>
    <row r="103" spans="1:31" x14ac:dyDescent="0.45">
      <c r="A103" s="61" t="s">
        <v>60</v>
      </c>
      <c r="B103" s="13" t="s">
        <v>61</v>
      </c>
      <c r="C103" s="13"/>
      <c r="D103" s="317">
        <v>1</v>
      </c>
      <c r="E103" s="29">
        <v>0</v>
      </c>
      <c r="F103" s="29">
        <v>0</v>
      </c>
      <c r="G103" s="29">
        <v>0.4</v>
      </c>
      <c r="H103" s="29">
        <v>0.3</v>
      </c>
      <c r="I103" s="29">
        <v>0.1</v>
      </c>
      <c r="J103" s="29">
        <v>0.1</v>
      </c>
      <c r="K103" s="29">
        <v>0.1</v>
      </c>
      <c r="L103" s="29">
        <v>0</v>
      </c>
      <c r="M103" s="29">
        <v>0</v>
      </c>
      <c r="N103" s="29">
        <v>0</v>
      </c>
      <c r="O103" s="24">
        <f t="shared" si="1"/>
        <v>0.99999999999999989</v>
      </c>
      <c r="P103" s="148">
        <f t="shared" si="7"/>
        <v>15.803602509008378</v>
      </c>
      <c r="Q103" s="148">
        <f t="shared" si="8"/>
        <v>2.5500000000000003</v>
      </c>
      <c r="R103" s="14">
        <f t="shared" si="9"/>
        <v>10.500000000000002</v>
      </c>
      <c r="S103" s="15">
        <f>IF(D103&gt;Basiswerte!$P$8,Basiswerte!$Q$9,IF(D103&gt;Basiswerte!$P$7,Basiswerte!$Q$8,IF(D103&gt;Basiswerte!$P$6,Basiswerte!$Q$7,Basiswerte!$Q$6)))</f>
        <v>1.1499999999999999</v>
      </c>
      <c r="T103" s="33">
        <v>1</v>
      </c>
      <c r="U103" s="33">
        <v>1.1499999999999999</v>
      </c>
      <c r="V103" s="110">
        <f t="shared" ca="1" si="16"/>
        <v>2.8695905437500002</v>
      </c>
      <c r="W103" s="111">
        <f t="shared" si="17"/>
        <v>3.5409937500000002</v>
      </c>
      <c r="X103" s="116">
        <f t="shared" ca="1" si="12"/>
        <v>12.558000000000002</v>
      </c>
      <c r="Y103" s="119">
        <f t="shared" ca="1" si="13"/>
        <v>14.718036375000001</v>
      </c>
      <c r="Z103" s="246">
        <f t="shared" ca="1" si="14"/>
        <v>12.558000000000002</v>
      </c>
      <c r="AA103" s="247">
        <f t="shared" ca="1" si="15"/>
        <v>14.718036375000001</v>
      </c>
      <c r="AB103" s="167">
        <f ca="1">V103*Basiswerte!$D$3+Tabellen!X103*Basiswerte!$D$4</f>
        <v>507.11076796275006</v>
      </c>
      <c r="AC103" s="168">
        <f ca="1">W103*Basiswerte!$E$3+Tabellen!Y103*Basiswerte!$E$4</f>
        <v>853.92838943999993</v>
      </c>
      <c r="AD103" s="321"/>
      <c r="AE103" s="284">
        <f t="shared" si="19"/>
        <v>0</v>
      </c>
    </row>
    <row r="104" spans="1:31" x14ac:dyDescent="0.45">
      <c r="A104" s="4" t="s">
        <v>62</v>
      </c>
      <c r="B104" s="16" t="s">
        <v>63</v>
      </c>
      <c r="C104" s="16"/>
      <c r="D104" s="318">
        <v>1</v>
      </c>
      <c r="E104" s="30">
        <v>0</v>
      </c>
      <c r="F104" s="30">
        <v>0.35</v>
      </c>
      <c r="G104" s="30">
        <v>0.45</v>
      </c>
      <c r="H104" s="30">
        <v>0.2</v>
      </c>
      <c r="I104" s="30">
        <v>0</v>
      </c>
      <c r="J104" s="30">
        <v>0</v>
      </c>
      <c r="K104" s="30">
        <v>0</v>
      </c>
      <c r="L104" s="30">
        <v>0</v>
      </c>
      <c r="M104" s="30">
        <v>0</v>
      </c>
      <c r="N104" s="30">
        <v>0</v>
      </c>
      <c r="O104" s="25">
        <f t="shared" si="1"/>
        <v>1</v>
      </c>
      <c r="P104" s="149">
        <f t="shared" si="7"/>
        <v>11.802600820402953</v>
      </c>
      <c r="Q104" s="149">
        <f t="shared" si="8"/>
        <v>3.1375000000000002</v>
      </c>
      <c r="R104" s="17">
        <f t="shared" si="9"/>
        <v>12.850000000000001</v>
      </c>
      <c r="S104" s="18">
        <f>IF(D104&gt;Basiswerte!$P$8,Basiswerte!$Q$9,IF(D104&gt;Basiswerte!$P$7,Basiswerte!$Q$8,IF(D104&gt;Basiswerte!$P$6,Basiswerte!$Q$7,Basiswerte!$Q$6)))</f>
        <v>1.1499999999999999</v>
      </c>
      <c r="T104" s="34">
        <v>1.2</v>
      </c>
      <c r="U104" s="34">
        <v>1.8</v>
      </c>
      <c r="V104" s="114">
        <f t="shared" ca="1" si="16"/>
        <v>3.5307216984375001</v>
      </c>
      <c r="W104" s="115">
        <f t="shared" si="17"/>
        <v>4.3568109374999997</v>
      </c>
      <c r="X104" s="120">
        <f t="shared" ca="1" si="12"/>
        <v>18.442320000000002</v>
      </c>
      <c r="Y104" s="120">
        <f t="shared" ca="1" si="13"/>
        <v>28.192810050000002</v>
      </c>
      <c r="Z104" s="241">
        <f t="shared" ca="1" si="14"/>
        <v>18.442320000000002</v>
      </c>
      <c r="AA104" s="248">
        <f t="shared" ca="1" si="15"/>
        <v>28.192810050000002</v>
      </c>
      <c r="AB104" s="169">
        <f ca="1">V104*Basiswerte!$D$3+Tabellen!X104*Basiswerte!$D$4</f>
        <v>718.12746066318755</v>
      </c>
      <c r="AC104" s="170">
        <f ca="1">W104*Basiswerte!$E$3+Tabellen!Y104*Basiswerte!$E$4</f>
        <v>1504.3393631941876</v>
      </c>
      <c r="AD104" s="319"/>
      <c r="AE104" s="285">
        <f t="shared" si="19"/>
        <v>0</v>
      </c>
    </row>
    <row r="105" spans="1:31" x14ac:dyDescent="0.45">
      <c r="A105" s="57" t="s">
        <v>64</v>
      </c>
      <c r="B105" s="2" t="s">
        <v>122</v>
      </c>
      <c r="C105" s="2"/>
      <c r="D105" s="316">
        <v>1</v>
      </c>
      <c r="E105" s="28">
        <v>0</v>
      </c>
      <c r="F105" s="28">
        <v>0.35</v>
      </c>
      <c r="G105" s="28">
        <v>0.45</v>
      </c>
      <c r="H105" s="28">
        <v>0.2</v>
      </c>
      <c r="I105" s="28">
        <v>0</v>
      </c>
      <c r="J105" s="28">
        <v>0</v>
      </c>
      <c r="K105" s="28">
        <v>0</v>
      </c>
      <c r="L105" s="28">
        <v>0</v>
      </c>
      <c r="M105" s="28">
        <v>0</v>
      </c>
      <c r="N105" s="28">
        <v>0</v>
      </c>
      <c r="O105" s="23">
        <f t="shared" si="1"/>
        <v>1</v>
      </c>
      <c r="P105" s="147">
        <f t="shared" si="7"/>
        <v>11.802600820402953</v>
      </c>
      <c r="Q105" s="147">
        <f t="shared" si="8"/>
        <v>3.1375000000000002</v>
      </c>
      <c r="R105" s="11">
        <f t="shared" si="9"/>
        <v>12.850000000000001</v>
      </c>
      <c r="S105" s="12">
        <f>IF(D105&gt;Basiswerte!$P$8,Basiswerte!$Q$9,IF(D105&gt;Basiswerte!$P$7,Basiswerte!$Q$8,IF(D105&gt;Basiswerte!$P$6,Basiswerte!$Q$7,Basiswerte!$Q$6)))</f>
        <v>1.1499999999999999</v>
      </c>
      <c r="T105" s="32">
        <v>1.25</v>
      </c>
      <c r="U105" s="32">
        <v>2</v>
      </c>
      <c r="V105" s="110">
        <f t="shared" ca="1" si="16"/>
        <v>3.5307216984375001</v>
      </c>
      <c r="W105" s="111">
        <f t="shared" si="17"/>
        <v>4.3568109374999997</v>
      </c>
      <c r="X105" s="118">
        <f t="shared" ca="1" si="12"/>
        <v>19.210750000000001</v>
      </c>
      <c r="Y105" s="118">
        <f t="shared" ca="1" si="13"/>
        <v>31.3253445</v>
      </c>
      <c r="Z105" s="244">
        <f t="shared" ca="1" si="14"/>
        <v>19.210750000000001</v>
      </c>
      <c r="AA105" s="245">
        <f t="shared" ca="1" si="15"/>
        <v>31.3253445</v>
      </c>
      <c r="AB105" s="165">
        <f ca="1">V105*Basiswerte!$D$3+Tabellen!X105*Basiswerte!$D$4</f>
        <v>742.32378450318754</v>
      </c>
      <c r="AC105" s="166">
        <f ca="1">W105*Basiswerte!$E$3+Tabellen!Y105*Basiswerte!$E$4</f>
        <v>1645.2720880996874</v>
      </c>
      <c r="AD105" s="320"/>
      <c r="AE105" s="292">
        <f t="shared" si="19"/>
        <v>0</v>
      </c>
    </row>
    <row r="106" spans="1:31" x14ac:dyDescent="0.45">
      <c r="A106" s="4" t="s">
        <v>65</v>
      </c>
      <c r="B106" s="16" t="s">
        <v>66</v>
      </c>
      <c r="C106" s="16"/>
      <c r="D106" s="318">
        <v>1</v>
      </c>
      <c r="E106" s="30">
        <v>0</v>
      </c>
      <c r="F106" s="30">
        <v>0</v>
      </c>
      <c r="G106" s="30">
        <v>0.8</v>
      </c>
      <c r="H106" s="30">
        <v>0.2</v>
      </c>
      <c r="I106" s="30">
        <v>0</v>
      </c>
      <c r="J106" s="30">
        <v>0</v>
      </c>
      <c r="K106" s="30">
        <v>0</v>
      </c>
      <c r="L106" s="30">
        <v>0</v>
      </c>
      <c r="M106" s="30">
        <v>0</v>
      </c>
      <c r="N106" s="30">
        <v>0</v>
      </c>
      <c r="O106" s="25">
        <f t="shared" si="1"/>
        <v>1</v>
      </c>
      <c r="P106" s="149">
        <f t="shared" si="7"/>
        <v>12.434518299207355</v>
      </c>
      <c r="Q106" s="149">
        <f t="shared" si="8"/>
        <v>2.7</v>
      </c>
      <c r="R106" s="17">
        <f t="shared" si="9"/>
        <v>11.8</v>
      </c>
      <c r="S106" s="18">
        <f>IF(D106&gt;Basiswerte!$P$8,Basiswerte!$Q$9,IF(D106&gt;Basiswerte!$P$7,Basiswerte!$Q$8,IF(D106&gt;Basiswerte!$P$6,Basiswerte!$Q$7,Basiswerte!$Q$6)))</f>
        <v>1.1499999999999999</v>
      </c>
      <c r="T106" s="34">
        <v>1.3</v>
      </c>
      <c r="U106" s="34">
        <v>1.55</v>
      </c>
      <c r="V106" s="114">
        <f t="shared" ca="1" si="16"/>
        <v>3.0383899875</v>
      </c>
      <c r="W106" s="115">
        <f t="shared" si="17"/>
        <v>3.7492874999999999</v>
      </c>
      <c r="X106" s="120">
        <f t="shared" ca="1" si="12"/>
        <v>18.346640000000001</v>
      </c>
      <c r="Y106" s="120">
        <f t="shared" ca="1" si="13"/>
        <v>22.293406650000001</v>
      </c>
      <c r="Z106" s="241">
        <f t="shared" ca="1" si="14"/>
        <v>18.346640000000001</v>
      </c>
      <c r="AA106" s="248">
        <f t="shared" ca="1" si="15"/>
        <v>22.293406650000001</v>
      </c>
      <c r="AB106" s="163">
        <f ca="1">V106*Basiswerte!$D$3+Tabellen!X106*Basiswerte!$D$4</f>
        <v>695.95313863349998</v>
      </c>
      <c r="AC106" s="164">
        <f ca="1">W106*Basiswerte!$E$3+Tabellen!Y106*Basiswerte!$E$4</f>
        <v>1206.0245294609999</v>
      </c>
      <c r="AD106" s="319"/>
      <c r="AE106" s="284">
        <f t="shared" si="19"/>
        <v>0</v>
      </c>
    </row>
    <row r="107" spans="1:31" x14ac:dyDescent="0.45">
      <c r="A107" s="57" t="s">
        <v>67</v>
      </c>
      <c r="B107" s="2" t="s">
        <v>123</v>
      </c>
      <c r="C107" s="2"/>
      <c r="D107" s="316">
        <v>1</v>
      </c>
      <c r="E107" s="28">
        <v>0</v>
      </c>
      <c r="F107" s="28">
        <v>0</v>
      </c>
      <c r="G107" s="28">
        <v>0.8</v>
      </c>
      <c r="H107" s="28">
        <v>0.2</v>
      </c>
      <c r="I107" s="28">
        <v>0</v>
      </c>
      <c r="J107" s="28">
        <v>0</v>
      </c>
      <c r="K107" s="28">
        <v>0</v>
      </c>
      <c r="L107" s="28">
        <v>0</v>
      </c>
      <c r="M107" s="28">
        <v>0</v>
      </c>
      <c r="N107" s="28">
        <v>0</v>
      </c>
      <c r="O107" s="23">
        <f t="shared" si="1"/>
        <v>1</v>
      </c>
      <c r="P107" s="147">
        <f t="shared" si="7"/>
        <v>12.434518299207355</v>
      </c>
      <c r="Q107" s="147">
        <f t="shared" si="8"/>
        <v>2.7</v>
      </c>
      <c r="R107" s="11">
        <f t="shared" si="9"/>
        <v>11.8</v>
      </c>
      <c r="S107" s="12">
        <f>IF(D107&gt;Basiswerte!$P$8,Basiswerte!$Q$9,IF(D107&gt;Basiswerte!$P$7,Basiswerte!$Q$8,IF(D107&gt;Basiswerte!$P$6,Basiswerte!$Q$7,Basiswerte!$Q$6)))</f>
        <v>1.1499999999999999</v>
      </c>
      <c r="T107" s="32">
        <v>1.35</v>
      </c>
      <c r="U107" s="32">
        <v>1.6</v>
      </c>
      <c r="V107" s="110">
        <f t="shared" ca="1" si="16"/>
        <v>3.0383899875</v>
      </c>
      <c r="W107" s="111">
        <f t="shared" si="17"/>
        <v>3.7492874999999999</v>
      </c>
      <c r="X107" s="118">
        <f t="shared" ca="1" si="12"/>
        <v>19.052280000000003</v>
      </c>
      <c r="Y107" s="118">
        <f t="shared" ca="1" si="13"/>
        <v>23.012548800000005</v>
      </c>
      <c r="Z107" s="244">
        <f t="shared" ca="1" si="14"/>
        <v>19.052280000000003</v>
      </c>
      <c r="AA107" s="245">
        <f t="shared" ca="1" si="15"/>
        <v>23.012548800000005</v>
      </c>
      <c r="AB107" s="165">
        <f ca="1">V107*Basiswerte!$D$3+Tabellen!X107*Basiswerte!$D$4</f>
        <v>718.17233095350014</v>
      </c>
      <c r="AC107" s="166">
        <f ca="1">W107*Basiswerte!$E$3+Tabellen!Y107*Basiswerte!$E$4</f>
        <v>1238.3787347895</v>
      </c>
      <c r="AD107" s="320"/>
      <c r="AE107" s="284">
        <f t="shared" si="19"/>
        <v>0</v>
      </c>
    </row>
    <row r="108" spans="1:31" x14ac:dyDescent="0.45">
      <c r="A108" s="4" t="s">
        <v>68</v>
      </c>
      <c r="B108" s="16" t="s">
        <v>69</v>
      </c>
      <c r="C108" s="16"/>
      <c r="D108" s="318">
        <v>1</v>
      </c>
      <c r="E108" s="30">
        <v>0</v>
      </c>
      <c r="F108" s="30">
        <v>0</v>
      </c>
      <c r="G108" s="30">
        <v>0.4</v>
      </c>
      <c r="H108" s="30">
        <v>0.2</v>
      </c>
      <c r="I108" s="30">
        <v>0.2</v>
      </c>
      <c r="J108" s="30">
        <v>0.1</v>
      </c>
      <c r="K108" s="30">
        <v>0.05</v>
      </c>
      <c r="L108" s="30">
        <v>0.05</v>
      </c>
      <c r="M108" s="30">
        <v>0</v>
      </c>
      <c r="N108" s="30">
        <v>0</v>
      </c>
      <c r="O108" s="25">
        <f t="shared" si="1"/>
        <v>1</v>
      </c>
      <c r="P108" s="149">
        <f t="shared" si="7"/>
        <v>16.338101058221568</v>
      </c>
      <c r="Q108" s="149">
        <f t="shared" si="8"/>
        <v>2.5375000000000001</v>
      </c>
      <c r="R108" s="17">
        <f t="shared" si="9"/>
        <v>10.250000000000002</v>
      </c>
      <c r="S108" s="18">
        <f>IF(D108&gt;Basiswerte!$P$8,Basiswerte!$Q$9,IF(D108&gt;Basiswerte!$P$7,Basiswerte!$Q$8,IF(D108&gt;Basiswerte!$P$6,Basiswerte!$Q$7,Basiswerte!$Q$6)))</f>
        <v>1.1499999999999999</v>
      </c>
      <c r="T108" s="34">
        <v>1.35</v>
      </c>
      <c r="U108" s="34">
        <v>1.55</v>
      </c>
      <c r="V108" s="114">
        <f t="shared" ca="1" si="16"/>
        <v>2.8555239234375001</v>
      </c>
      <c r="W108" s="115">
        <f t="shared" si="17"/>
        <v>3.5236359374999999</v>
      </c>
      <c r="X108" s="120">
        <f t="shared" ca="1" si="12"/>
        <v>16.549650000000003</v>
      </c>
      <c r="Y108" s="120">
        <f t="shared" ca="1" si="13"/>
        <v>19.365035437500005</v>
      </c>
      <c r="Z108" s="241">
        <f t="shared" ca="1" si="14"/>
        <v>16.549650000000003</v>
      </c>
      <c r="AA108" s="248">
        <f t="shared" ca="1" si="15"/>
        <v>19.365035437500005</v>
      </c>
      <c r="AB108" s="169">
        <f ca="1">V108*Basiswerte!$D$3+Tabellen!X108*Basiswerte!$D$4</f>
        <v>632.25237030018764</v>
      </c>
      <c r="AC108" s="170">
        <f ca="1">W108*Basiswerte!$E$3+Tabellen!Y108*Basiswerte!$E$4</f>
        <v>1062.0568579828127</v>
      </c>
      <c r="AD108" s="312"/>
      <c r="AE108" s="285">
        <f t="shared" si="19"/>
        <v>0</v>
      </c>
    </row>
    <row r="109" spans="1:31" x14ac:dyDescent="0.45">
      <c r="A109" s="57" t="s">
        <v>70</v>
      </c>
      <c r="B109" s="2" t="s">
        <v>71</v>
      </c>
      <c r="C109" s="2"/>
      <c r="D109" s="316">
        <v>1</v>
      </c>
      <c r="E109" s="28">
        <v>0</v>
      </c>
      <c r="F109" s="28">
        <v>0</v>
      </c>
      <c r="G109" s="28">
        <v>0.4</v>
      </c>
      <c r="H109" s="28">
        <v>0.2</v>
      </c>
      <c r="I109" s="28">
        <v>0.2</v>
      </c>
      <c r="J109" s="28">
        <v>0.1</v>
      </c>
      <c r="K109" s="28">
        <v>0.05</v>
      </c>
      <c r="L109" s="28">
        <v>0.05</v>
      </c>
      <c r="M109" s="28">
        <v>0</v>
      </c>
      <c r="N109" s="28">
        <v>0</v>
      </c>
      <c r="O109" s="23">
        <f t="shared" si="1"/>
        <v>1</v>
      </c>
      <c r="P109" s="147">
        <f t="shared" si="7"/>
        <v>16.338101058221568</v>
      </c>
      <c r="Q109" s="147">
        <f t="shared" si="8"/>
        <v>2.5375000000000001</v>
      </c>
      <c r="R109" s="11">
        <f t="shared" si="9"/>
        <v>10.250000000000002</v>
      </c>
      <c r="S109" s="12">
        <f>IF(D109&gt;Basiswerte!$P$8,Basiswerte!$Q$9,IF(D109&gt;Basiswerte!$P$7,Basiswerte!$Q$8,IF(D109&gt;Basiswerte!$P$6,Basiswerte!$Q$7,Basiswerte!$Q$6)))</f>
        <v>1.1499999999999999</v>
      </c>
      <c r="T109" s="32">
        <v>1.2</v>
      </c>
      <c r="U109" s="32">
        <v>1.4</v>
      </c>
      <c r="V109" s="112">
        <f t="shared" ca="1" si="16"/>
        <v>2.8555239234375001</v>
      </c>
      <c r="W109" s="113">
        <f t="shared" si="17"/>
        <v>3.5236359374999999</v>
      </c>
      <c r="X109" s="118">
        <f t="shared" ca="1" si="12"/>
        <v>14.710800000000003</v>
      </c>
      <c r="Y109" s="118">
        <f t="shared" ca="1" si="13"/>
        <v>17.490999750000004</v>
      </c>
      <c r="Z109" s="244">
        <f t="shared" ca="1" si="14"/>
        <v>14.710800000000003</v>
      </c>
      <c r="AA109" s="245">
        <f t="shared" ca="1" si="15"/>
        <v>17.490999750000004</v>
      </c>
      <c r="AB109" s="165">
        <f ca="1">V109*Basiswerte!$D$3+Tabellen!X109*Basiswerte!$D$4</f>
        <v>574.35066150018758</v>
      </c>
      <c r="AC109" s="166">
        <f ca="1">W109*Basiswerte!$E$3+Tabellen!Y109*Basiswerte!$E$4</f>
        <v>977.74399240218759</v>
      </c>
      <c r="AD109" s="312"/>
      <c r="AE109" s="292">
        <f t="shared" si="19"/>
        <v>0</v>
      </c>
    </row>
    <row r="110" spans="1:31" x14ac:dyDescent="0.45">
      <c r="A110" s="61" t="s">
        <v>72</v>
      </c>
      <c r="B110" s="13" t="s">
        <v>73</v>
      </c>
      <c r="C110" s="13"/>
      <c r="D110" s="317">
        <v>1</v>
      </c>
      <c r="E110" s="29">
        <v>0</v>
      </c>
      <c r="F110" s="29">
        <v>0</v>
      </c>
      <c r="G110" s="29">
        <v>0.4</v>
      </c>
      <c r="H110" s="29">
        <v>0.2</v>
      </c>
      <c r="I110" s="29">
        <v>0.2</v>
      </c>
      <c r="J110" s="29">
        <v>0.1</v>
      </c>
      <c r="K110" s="29">
        <v>0.05</v>
      </c>
      <c r="L110" s="29">
        <v>0.05</v>
      </c>
      <c r="M110" s="29">
        <v>0</v>
      </c>
      <c r="N110" s="29">
        <v>0</v>
      </c>
      <c r="O110" s="24">
        <f t="shared" si="1"/>
        <v>1</v>
      </c>
      <c r="P110" s="148">
        <f t="shared" si="7"/>
        <v>16.338101058221568</v>
      </c>
      <c r="Q110" s="148">
        <f t="shared" si="8"/>
        <v>2.5375000000000001</v>
      </c>
      <c r="R110" s="14">
        <f t="shared" si="9"/>
        <v>10.250000000000002</v>
      </c>
      <c r="S110" s="15">
        <f>IF(D110&gt;Basiswerte!$P$8,Basiswerte!$Q$9,IF(D110&gt;Basiswerte!$P$7,Basiswerte!$Q$8,IF(D110&gt;Basiswerte!$P$6,Basiswerte!$Q$7,Basiswerte!$Q$6)))</f>
        <v>1.1499999999999999</v>
      </c>
      <c r="T110" s="33">
        <v>0.8</v>
      </c>
      <c r="U110" s="33">
        <v>1.4</v>
      </c>
      <c r="V110" s="110">
        <f t="shared" ca="1" si="16"/>
        <v>2.8555239234375001</v>
      </c>
      <c r="W110" s="111">
        <f t="shared" si="17"/>
        <v>3.5236359374999999</v>
      </c>
      <c r="X110" s="116">
        <f t="shared" ca="1" si="12"/>
        <v>9.8072000000000017</v>
      </c>
      <c r="Y110" s="119">
        <f t="shared" ca="1" si="13"/>
        <v>17.490999750000004</v>
      </c>
      <c r="Z110" s="246">
        <f t="shared" ca="1" si="14"/>
        <v>9.8072000000000017</v>
      </c>
      <c r="AA110" s="247">
        <f t="shared" ca="1" si="15"/>
        <v>17.490999750000004</v>
      </c>
      <c r="AB110" s="167">
        <f ca="1">V110*Basiswerte!$D$3+Tabellen!X110*Basiswerte!$D$4</f>
        <v>419.94610470018756</v>
      </c>
      <c r="AC110" s="168">
        <f ca="1">W110*Basiswerte!$E$3+Tabellen!Y110*Basiswerte!$E$4</f>
        <v>977.74399240218759</v>
      </c>
      <c r="AD110" s="321"/>
      <c r="AE110" s="284">
        <f t="shared" si="19"/>
        <v>0</v>
      </c>
    </row>
    <row r="111" spans="1:31" x14ac:dyDescent="0.45">
      <c r="A111" s="61" t="s">
        <v>74</v>
      </c>
      <c r="B111" s="13" t="s">
        <v>75</v>
      </c>
      <c r="C111" s="13"/>
      <c r="D111" s="317">
        <v>1</v>
      </c>
      <c r="E111" s="29">
        <v>0</v>
      </c>
      <c r="F111" s="29">
        <v>0</v>
      </c>
      <c r="G111" s="29">
        <v>0.4</v>
      </c>
      <c r="H111" s="29">
        <v>0.2</v>
      </c>
      <c r="I111" s="29">
        <v>0.2</v>
      </c>
      <c r="J111" s="29">
        <v>0.1</v>
      </c>
      <c r="K111" s="29">
        <v>0.05</v>
      </c>
      <c r="L111" s="29">
        <v>0.05</v>
      </c>
      <c r="M111" s="29">
        <v>0</v>
      </c>
      <c r="N111" s="29">
        <v>0</v>
      </c>
      <c r="O111" s="24">
        <f t="shared" si="1"/>
        <v>1</v>
      </c>
      <c r="P111" s="148">
        <f t="shared" si="7"/>
        <v>16.338101058221568</v>
      </c>
      <c r="Q111" s="148">
        <f t="shared" si="8"/>
        <v>2.5375000000000001</v>
      </c>
      <c r="R111" s="14">
        <f t="shared" si="9"/>
        <v>10.250000000000002</v>
      </c>
      <c r="S111" s="15">
        <f>IF(D111&gt;Basiswerte!$P$8,Basiswerte!$Q$9,IF(D111&gt;Basiswerte!$P$7,Basiswerte!$Q$8,IF(D111&gt;Basiswerte!$P$6,Basiswerte!$Q$7,Basiswerte!$Q$6)))</f>
        <v>1.1499999999999999</v>
      </c>
      <c r="T111" s="33">
        <v>1.2</v>
      </c>
      <c r="U111" s="33">
        <v>1.3</v>
      </c>
      <c r="V111" s="114">
        <f t="shared" ca="1" si="16"/>
        <v>2.8555239234375001</v>
      </c>
      <c r="W111" s="115">
        <f t="shared" si="17"/>
        <v>3.5236359374999999</v>
      </c>
      <c r="X111" s="114">
        <f t="shared" ca="1" si="12"/>
        <v>14.710800000000003</v>
      </c>
      <c r="Y111" s="120">
        <f t="shared" ca="1" si="13"/>
        <v>16.241642625000004</v>
      </c>
      <c r="Z111" s="241">
        <f t="shared" ca="1" si="14"/>
        <v>14.710800000000003</v>
      </c>
      <c r="AA111" s="248">
        <f t="shared" ca="1" si="15"/>
        <v>16.241642625000004</v>
      </c>
      <c r="AB111" s="167">
        <f ca="1">V111*Basiswerte!$D$3+Tabellen!X111*Basiswerte!$D$4</f>
        <v>574.35066150018758</v>
      </c>
      <c r="AC111" s="168">
        <f ca="1">W111*Basiswerte!$E$3+Tabellen!Y111*Basiswerte!$E$4</f>
        <v>921.5354153484376</v>
      </c>
      <c r="AD111" s="312"/>
      <c r="AE111" s="293">
        <f t="shared" si="19"/>
        <v>0</v>
      </c>
    </row>
    <row r="112" spans="1:31" x14ac:dyDescent="0.45">
      <c r="A112" s="75" t="s">
        <v>153</v>
      </c>
      <c r="B112" s="76"/>
      <c r="C112" s="76"/>
      <c r="D112" s="235">
        <f>SUM(D85:D111)</f>
        <v>27</v>
      </c>
      <c r="E112" s="76"/>
      <c r="F112" s="76"/>
      <c r="G112" s="76"/>
      <c r="H112" s="76"/>
      <c r="I112" s="76"/>
      <c r="J112" s="76"/>
      <c r="K112" s="76"/>
      <c r="L112" s="76"/>
      <c r="M112" s="76"/>
      <c r="N112" s="76"/>
      <c r="O112" s="76"/>
      <c r="P112" s="150"/>
      <c r="Q112" s="150"/>
      <c r="R112" s="76"/>
      <c r="S112" s="76"/>
      <c r="T112" s="76"/>
      <c r="U112" s="76" t="s">
        <v>196</v>
      </c>
      <c r="V112" s="76"/>
      <c r="W112" s="76"/>
      <c r="X112" s="237" t="s">
        <v>206</v>
      </c>
      <c r="Y112" s="238"/>
      <c r="Z112" s="249">
        <f ca="1">SUM(Z85:Z111)</f>
        <v>350.83463999999998</v>
      </c>
      <c r="AA112" s="250">
        <f ca="1">SUM(AA85:AA111)</f>
        <v>466.03763253749997</v>
      </c>
      <c r="AB112" s="122"/>
      <c r="AC112" s="122"/>
      <c r="AD112" s="175"/>
      <c r="AE112" s="284">
        <f>SUM(AE85:AE111)</f>
        <v>0</v>
      </c>
    </row>
    <row r="113" spans="1:31" x14ac:dyDescent="0.45">
      <c r="A113" s="72"/>
      <c r="B113" s="73"/>
      <c r="C113" s="73"/>
      <c r="D113" s="73"/>
      <c r="E113" s="73"/>
      <c r="F113" s="73"/>
      <c r="G113" s="73"/>
      <c r="H113" s="73"/>
      <c r="I113" s="73"/>
      <c r="J113" s="73"/>
      <c r="K113" s="73"/>
      <c r="L113" s="73"/>
      <c r="M113" s="73"/>
      <c r="N113" s="73"/>
      <c r="O113" s="73"/>
      <c r="P113" s="138"/>
      <c r="Q113" s="138"/>
      <c r="R113" s="73"/>
      <c r="S113" s="73"/>
      <c r="T113" s="73"/>
      <c r="U113" s="73"/>
      <c r="V113" s="73"/>
      <c r="W113" s="73"/>
      <c r="X113" s="239" t="s">
        <v>176</v>
      </c>
      <c r="Y113" s="240"/>
      <c r="Z113" s="258">
        <f ca="1">Z112/D112</f>
        <v>12.993875555555555</v>
      </c>
      <c r="AA113" s="259">
        <f ca="1">AA112/D112</f>
        <v>17.260653056944445</v>
      </c>
      <c r="AB113" s="324" t="s">
        <v>210</v>
      </c>
      <c r="AC113" s="325"/>
      <c r="AD113" s="176" t="str">
        <f>IF(AE112&lt;&gt;0,(IF(AE112&lt;0,"NEGATIV","POSITIV")),"---")</f>
        <v>---</v>
      </c>
      <c r="AE113" s="236"/>
    </row>
    <row r="114" spans="1:31" x14ac:dyDescent="0.45">
      <c r="Q114" s="134"/>
      <c r="W114"/>
      <c r="AA114" s="89"/>
      <c r="AB114" s="303" t="s">
        <v>228</v>
      </c>
      <c r="AC114" s="304">
        <f ca="1">Basiswerte!D28</f>
        <v>43952</v>
      </c>
    </row>
    <row r="115" spans="1:31" ht="18" x14ac:dyDescent="0.55000000000000004">
      <c r="A115" s="224" t="s">
        <v>201</v>
      </c>
      <c r="Q115" s="134"/>
      <c r="W115"/>
      <c r="AA115" s="89"/>
      <c r="AB115" s="89"/>
      <c r="AC115" s="89"/>
      <c r="AE115" s="283" t="str">
        <f>AE36</f>
        <v>Prüftabelle Version 2</v>
      </c>
    </row>
    <row r="116" spans="1:31" x14ac:dyDescent="0.45">
      <c r="Q116" s="134"/>
      <c r="W116"/>
      <c r="AA116" s="89"/>
      <c r="AB116" s="89"/>
      <c r="AC116" s="89"/>
    </row>
    <row r="117" spans="1:31" ht="31.5" customHeight="1" x14ac:dyDescent="0.45">
      <c r="A117" s="328" t="s">
        <v>202</v>
      </c>
      <c r="B117" s="329"/>
      <c r="C117" s="329"/>
      <c r="D117" s="330"/>
      <c r="E117" s="59"/>
      <c r="F117" s="59"/>
      <c r="G117" s="59"/>
      <c r="H117" s="59"/>
      <c r="I117" s="59"/>
      <c r="J117" s="59"/>
      <c r="K117" s="59"/>
      <c r="L117" s="59"/>
      <c r="M117" s="59"/>
      <c r="N117" s="59"/>
      <c r="O117" s="64"/>
      <c r="P117" s="142"/>
      <c r="Q117" s="142"/>
      <c r="R117" s="59"/>
      <c r="S117" s="59"/>
      <c r="T117" s="59"/>
      <c r="U117" s="65"/>
      <c r="V117" s="326" t="s">
        <v>207</v>
      </c>
      <c r="W117" s="327"/>
      <c r="X117" s="326" t="s">
        <v>208</v>
      </c>
      <c r="Y117" s="327"/>
      <c r="Z117" s="326" t="str">
        <f>Z83</f>
        <v>Verlegeaufwand (Gesamtstunden)</v>
      </c>
      <c r="AA117" s="331"/>
      <c r="AB117" s="326" t="s">
        <v>227</v>
      </c>
      <c r="AC117" s="327"/>
      <c r="AD117" s="322" t="s">
        <v>203</v>
      </c>
      <c r="AE117" s="322" t="s">
        <v>209</v>
      </c>
    </row>
    <row r="118" spans="1:31" ht="28.5" x14ac:dyDescent="0.45">
      <c r="A118" s="57" t="s">
        <v>142</v>
      </c>
      <c r="B118" s="2" t="s">
        <v>143</v>
      </c>
      <c r="C118" s="2"/>
      <c r="D118" s="85" t="str">
        <f>D84</f>
        <v>Menge [in Tonnen]</v>
      </c>
      <c r="E118" s="2" t="s">
        <v>3</v>
      </c>
      <c r="F118" s="2" t="s">
        <v>4</v>
      </c>
      <c r="G118" s="2" t="s">
        <v>0</v>
      </c>
      <c r="H118" s="2" t="s">
        <v>5</v>
      </c>
      <c r="I118" s="2" t="s">
        <v>2</v>
      </c>
      <c r="J118" s="2" t="s">
        <v>6</v>
      </c>
      <c r="K118" s="2" t="s">
        <v>7</v>
      </c>
      <c r="L118" s="2" t="s">
        <v>8</v>
      </c>
      <c r="M118" s="2" t="s">
        <v>9</v>
      </c>
      <c r="N118" s="2" t="s">
        <v>10</v>
      </c>
      <c r="O118" s="2" t="s">
        <v>82</v>
      </c>
      <c r="P118" s="144" t="s">
        <v>15</v>
      </c>
      <c r="Q118" s="143" t="s">
        <v>172</v>
      </c>
      <c r="R118" s="83" t="s">
        <v>171</v>
      </c>
      <c r="S118" s="2" t="s">
        <v>76</v>
      </c>
      <c r="T118" s="84" t="s">
        <v>168</v>
      </c>
      <c r="U118" s="84" t="s">
        <v>169</v>
      </c>
      <c r="V118" s="132" t="s">
        <v>22</v>
      </c>
      <c r="W118" s="133" t="s">
        <v>23</v>
      </c>
      <c r="X118" s="155" t="s">
        <v>22</v>
      </c>
      <c r="Y118" s="156" t="s">
        <v>23</v>
      </c>
      <c r="Z118" s="97" t="s">
        <v>22</v>
      </c>
      <c r="AA118" s="99" t="s">
        <v>23</v>
      </c>
      <c r="AB118" s="90" t="s">
        <v>22</v>
      </c>
      <c r="AC118" s="91" t="s">
        <v>23</v>
      </c>
      <c r="AD118" s="323"/>
      <c r="AE118" s="323"/>
    </row>
    <row r="119" spans="1:31" x14ac:dyDescent="0.45">
      <c r="A119" s="62" t="s">
        <v>107</v>
      </c>
      <c r="B119" s="63" t="s">
        <v>108</v>
      </c>
      <c r="C119" s="16"/>
      <c r="D119" s="16"/>
      <c r="E119" s="16"/>
      <c r="F119" s="16"/>
      <c r="G119" s="16"/>
      <c r="H119" s="16"/>
      <c r="I119" s="16"/>
      <c r="J119" s="16"/>
      <c r="K119" s="16"/>
      <c r="L119" s="16"/>
      <c r="M119" s="16"/>
      <c r="N119" s="16"/>
      <c r="O119" s="16"/>
      <c r="P119" s="151"/>
      <c r="Q119" s="151"/>
      <c r="R119" s="16"/>
      <c r="S119" s="16"/>
      <c r="T119" s="16"/>
      <c r="U119" s="16"/>
      <c r="V119" s="16"/>
      <c r="W119" s="16"/>
      <c r="X119" s="101"/>
      <c r="Y119" s="102"/>
      <c r="Z119" s="103"/>
      <c r="AA119" s="102"/>
      <c r="AB119" s="101"/>
      <c r="AC119" s="102"/>
      <c r="AD119" s="175"/>
      <c r="AE119" s="286"/>
    </row>
    <row r="120" spans="1:31" x14ac:dyDescent="0.45">
      <c r="A120" s="77" t="s">
        <v>124</v>
      </c>
      <c r="B120" s="69" t="s">
        <v>109</v>
      </c>
      <c r="C120" s="19"/>
      <c r="D120" s="19"/>
      <c r="E120" s="19"/>
      <c r="F120" s="19"/>
      <c r="G120" s="19"/>
      <c r="H120" s="19"/>
      <c r="I120" s="19"/>
      <c r="J120" s="19"/>
      <c r="K120" s="19"/>
      <c r="L120" s="19"/>
      <c r="M120" s="19"/>
      <c r="N120" s="19"/>
      <c r="O120" s="19"/>
      <c r="P120" s="136"/>
      <c r="Q120" s="136"/>
      <c r="R120" s="19"/>
      <c r="S120" s="19"/>
      <c r="T120" s="19"/>
      <c r="U120" s="19"/>
      <c r="V120" s="19"/>
      <c r="W120" s="19"/>
      <c r="X120" s="104"/>
      <c r="Y120" s="105"/>
      <c r="Z120" s="92"/>
      <c r="AA120" s="105"/>
      <c r="AB120" s="104"/>
      <c r="AC120" s="105"/>
      <c r="AD120" s="177"/>
      <c r="AE120" s="287"/>
    </row>
    <row r="121" spans="1:31" x14ac:dyDescent="0.45">
      <c r="A121" s="6"/>
      <c r="B121" s="19"/>
      <c r="C121" s="19"/>
      <c r="D121" s="20"/>
      <c r="E121" s="79"/>
      <c r="F121" s="79"/>
      <c r="G121" s="79"/>
      <c r="H121" s="79"/>
      <c r="I121" s="79"/>
      <c r="J121" s="79"/>
      <c r="K121" s="79"/>
      <c r="L121" s="79"/>
      <c r="M121" s="79"/>
      <c r="N121" s="79"/>
      <c r="O121" s="26"/>
      <c r="P121" s="146"/>
      <c r="Q121" s="146"/>
      <c r="R121" s="21"/>
      <c r="S121" s="22"/>
      <c r="T121" s="22"/>
      <c r="U121" s="158"/>
      <c r="V121" s="158"/>
      <c r="W121" s="158"/>
      <c r="X121" s="94"/>
      <c r="Y121" s="106"/>
      <c r="Z121" s="107"/>
      <c r="AA121" s="93"/>
      <c r="AB121" s="94"/>
      <c r="AC121" s="106"/>
      <c r="AD121" s="177"/>
      <c r="AE121" s="287"/>
    </row>
    <row r="122" spans="1:31" x14ac:dyDescent="0.45">
      <c r="A122" s="6" t="s">
        <v>103</v>
      </c>
      <c r="B122" s="19" t="s">
        <v>104</v>
      </c>
      <c r="C122" s="19" t="s">
        <v>215</v>
      </c>
      <c r="D122" s="315">
        <v>1</v>
      </c>
      <c r="E122" s="30">
        <v>0</v>
      </c>
      <c r="F122" s="30">
        <v>0</v>
      </c>
      <c r="G122" s="30">
        <v>0.6</v>
      </c>
      <c r="H122" s="30">
        <v>0.2</v>
      </c>
      <c r="I122" s="30">
        <v>0.2</v>
      </c>
      <c r="J122" s="30">
        <v>0</v>
      </c>
      <c r="K122" s="30">
        <v>0</v>
      </c>
      <c r="L122" s="30">
        <v>0</v>
      </c>
      <c r="M122" s="30">
        <v>0</v>
      </c>
      <c r="N122" s="30">
        <v>0</v>
      </c>
      <c r="O122" s="26">
        <f t="shared" ref="O122:O128" si="20">SUM(E122:N122)</f>
        <v>1</v>
      </c>
      <c r="P122" s="146">
        <f t="shared" ref="P122:P128" si="21">SQRT((E122*_G08+F122*_G10+G122*_G12+H122*_G14+I122*_G16+J122*_G20+K122*_G26+L122*_G30+M122*_G36+N122*_G40)/0.0246803)*2</f>
        <v>13.303505626483046</v>
      </c>
      <c r="Q122" s="146">
        <f t="shared" ref="Q122:Q130" si="22">E122*AWS_08+F122*AWS_10+G122*AWS_12+H122*AWS_14+I122*AWS_16+J122*AWS_20+K122*AWS_26+L122*AWS_30+M122*AWS_36+N122*AWS_40</f>
        <v>2.65</v>
      </c>
      <c r="R122" s="21">
        <f t="shared" ref="R122:R130" si="23">E122*_AW08+F122*_AW10+G122*_AW12+H122*_AW14+I122*_AW16+J122*_AW20+K122*_AW26+L122*_AW30+M122*_AW36+N122*_AW40</f>
        <v>11.2</v>
      </c>
      <c r="S122" s="22">
        <f>IF(D122&gt;Basiswerte!$P$8,Basiswerte!$Q$9,IF(D122&gt;Basiswerte!$P$7,Basiswerte!$Q$8,IF(D122&gt;Basiswerte!$P$6,Basiswerte!$Q$7,Basiswerte!$Q$6)))</f>
        <v>1.1499999999999999</v>
      </c>
      <c r="T122" s="35">
        <v>0.9</v>
      </c>
      <c r="U122" s="35">
        <v>1.1000000000000001</v>
      </c>
      <c r="V122" s="182">
        <f ca="1">Q122*S122*$I$69</f>
        <v>2.8401176249999995</v>
      </c>
      <c r="W122" s="182">
        <f>Q122*S122*$J$69</f>
        <v>3.5046249999999994</v>
      </c>
      <c r="X122" s="110">
        <f ca="1">R122*S122*T122*$F$69</f>
        <v>11.464487999999999</v>
      </c>
      <c r="Y122" s="111">
        <f ca="1">R122*S122*U122*$G$69</f>
        <v>14.299762400000001</v>
      </c>
      <c r="Z122" s="251">
        <f t="shared" ref="Z122:Z128" ca="1" si="24">X122*D122</f>
        <v>11.464487999999999</v>
      </c>
      <c r="AA122" s="243">
        <f t="shared" ref="AA122:AA128" ca="1" si="25">D122*Y122</f>
        <v>14.299762400000001</v>
      </c>
      <c r="AB122" s="163">
        <f ca="1">V122*Basiswerte!$D$3+Tabellen!X122*Basiswerte!$D$4</f>
        <v>471.53117610899994</v>
      </c>
      <c r="AC122" s="164">
        <f ca="1">W122*Basiswerte!$E$3+Tabellen!Y122*Basiswerte!$E$4</f>
        <v>833.14067910099993</v>
      </c>
      <c r="AD122" s="312"/>
      <c r="AE122" s="284">
        <f>(IF(AD122&gt;0,IF((AD122&lt;AB122),AD122-AB122,(IF((AD122&gt;AC122),AD122-AC122,0))),))*D122</f>
        <v>0</v>
      </c>
    </row>
    <row r="123" spans="1:31" x14ac:dyDescent="0.45">
      <c r="A123" s="6"/>
      <c r="B123" s="19"/>
      <c r="C123" s="19" t="s">
        <v>145</v>
      </c>
      <c r="D123" s="315">
        <v>1</v>
      </c>
      <c r="E123" s="31">
        <v>0</v>
      </c>
      <c r="F123" s="31">
        <v>0</v>
      </c>
      <c r="G123" s="31">
        <v>0.3</v>
      </c>
      <c r="H123" s="31">
        <v>0.25</v>
      </c>
      <c r="I123" s="31">
        <v>0.25</v>
      </c>
      <c r="J123" s="31">
        <v>0.1</v>
      </c>
      <c r="K123" s="31">
        <v>0.05</v>
      </c>
      <c r="L123" s="31">
        <v>0.05</v>
      </c>
      <c r="M123" s="31">
        <v>0</v>
      </c>
      <c r="N123" s="31">
        <v>0</v>
      </c>
      <c r="O123" s="26">
        <f t="shared" si="20"/>
        <v>1</v>
      </c>
      <c r="P123" s="146">
        <f t="shared" si="21"/>
        <v>16.586687785423162</v>
      </c>
      <c r="Q123" s="146">
        <f t="shared" si="22"/>
        <v>2.5125000000000002</v>
      </c>
      <c r="R123" s="21">
        <f t="shared" si="23"/>
        <v>10.050000000000001</v>
      </c>
      <c r="S123" s="22">
        <f>IF(D123&gt;Basiswerte!$P$8,Basiswerte!$Q$9,IF(D123&gt;Basiswerte!$P$7,Basiswerte!$Q$8,IF(D123&gt;Basiswerte!$P$6,Basiswerte!$Q$7,Basiswerte!$Q$6)))</f>
        <v>1.1499999999999999</v>
      </c>
      <c r="T123" s="35">
        <v>0.6</v>
      </c>
      <c r="U123" s="35">
        <v>0.95</v>
      </c>
      <c r="V123" s="182">
        <f t="shared" ref="V123:V130" ca="1" si="26">Q123*S123*$I$69</f>
        <v>2.6927530312499997</v>
      </c>
      <c r="W123" s="182">
        <f t="shared" ref="W123:W130" si="27">Q123*S123*$J$69</f>
        <v>3.3227812499999994</v>
      </c>
      <c r="X123" s="110">
        <f t="shared" ref="X123:X130" ca="1" si="28">R123*S123*T123*$F$69</f>
        <v>6.8582204999999989</v>
      </c>
      <c r="Y123" s="111">
        <f t="shared" ref="Y123:Y130" ca="1" si="29">R123*S123*U123*$G$69</f>
        <v>11.0817355125</v>
      </c>
      <c r="Z123" s="251">
        <f t="shared" ca="1" si="24"/>
        <v>6.8582204999999989</v>
      </c>
      <c r="AA123" s="243">
        <f t="shared" ca="1" si="25"/>
        <v>11.0817355125</v>
      </c>
      <c r="AB123" s="163">
        <f ca="1">V123*Basiswerte!$D$3+Tabellen!X123*Basiswerte!$D$4</f>
        <v>320.75359508024997</v>
      </c>
      <c r="AC123" s="164">
        <f ca="1">W123*Basiswerte!$E$3+Tabellen!Y123*Basiswerte!$E$4</f>
        <v>678.51382841362488</v>
      </c>
      <c r="AD123" s="312"/>
      <c r="AE123" s="284">
        <f t="shared" ref="AE123:AE130" si="30">(IF(AD123&gt;0,IF((AD123&lt;AB123),AD123-AB123,(IF((AD123&gt;AC123),AD123-AC123,0))),))*D123</f>
        <v>0</v>
      </c>
    </row>
    <row r="124" spans="1:31" x14ac:dyDescent="0.45">
      <c r="A124" s="6"/>
      <c r="B124" s="19"/>
      <c r="C124" s="19" t="s">
        <v>146</v>
      </c>
      <c r="D124" s="315">
        <v>1</v>
      </c>
      <c r="E124" s="31">
        <v>0</v>
      </c>
      <c r="F124" s="31">
        <v>0.6</v>
      </c>
      <c r="G124" s="31">
        <v>0.3</v>
      </c>
      <c r="H124" s="31">
        <v>0.1</v>
      </c>
      <c r="I124" s="31">
        <v>0</v>
      </c>
      <c r="J124" s="31">
        <v>0</v>
      </c>
      <c r="K124" s="31">
        <v>0</v>
      </c>
      <c r="L124" s="31">
        <v>0</v>
      </c>
      <c r="M124" s="31">
        <v>0</v>
      </c>
      <c r="N124" s="31">
        <v>0</v>
      </c>
      <c r="O124" s="26">
        <f t="shared" si="20"/>
        <v>0.99999999999999989</v>
      </c>
      <c r="P124" s="146">
        <f t="shared" si="21"/>
        <v>11.098430699751932</v>
      </c>
      <c r="Q124" s="146">
        <f t="shared" si="22"/>
        <v>3.4749999999999996</v>
      </c>
      <c r="R124" s="21">
        <f t="shared" si="23"/>
        <v>13.7</v>
      </c>
      <c r="S124" s="22">
        <f>IF(D124&gt;Basiswerte!$P$8,Basiswerte!$Q$9,IF(D124&gt;Basiswerte!$P$7,Basiswerte!$Q$8,IF(D124&gt;Basiswerte!$P$6,Basiswerte!$Q$7,Basiswerte!$Q$6)))</f>
        <v>1.1499999999999999</v>
      </c>
      <c r="T124" s="35">
        <v>0.75</v>
      </c>
      <c r="U124" s="35">
        <v>1</v>
      </c>
      <c r="V124" s="182">
        <f t="shared" ca="1" si="26"/>
        <v>3.7243051874999993</v>
      </c>
      <c r="W124" s="182">
        <f t="shared" si="27"/>
        <v>4.5956874999999986</v>
      </c>
      <c r="X124" s="110">
        <f t="shared" ca="1" si="28"/>
        <v>11.686271249999999</v>
      </c>
      <c r="Y124" s="111">
        <f t="shared" ca="1" si="29"/>
        <v>15.901521499999999</v>
      </c>
      <c r="Z124" s="251">
        <f t="shared" ca="1" si="24"/>
        <v>11.686271249999999</v>
      </c>
      <c r="AA124" s="243">
        <f t="shared" ca="1" si="25"/>
        <v>15.901521499999999</v>
      </c>
      <c r="AB124" s="163">
        <f ca="1">V124*Basiswerte!$D$3+Tabellen!X124*Basiswerte!$D$4</f>
        <v>512.92726701749996</v>
      </c>
      <c r="AC124" s="164">
        <f ca="1">W124*Basiswerte!$E$3+Tabellen!Y124*Basiswerte!$E$4</f>
        <v>964.29074712249985</v>
      </c>
      <c r="AD124" s="312"/>
      <c r="AE124" s="284">
        <f t="shared" si="30"/>
        <v>0</v>
      </c>
    </row>
    <row r="125" spans="1:31" x14ac:dyDescent="0.45">
      <c r="A125" s="6"/>
      <c r="B125" s="19"/>
      <c r="C125" s="19" t="s">
        <v>147</v>
      </c>
      <c r="D125" s="315">
        <v>1</v>
      </c>
      <c r="E125" s="31">
        <v>0</v>
      </c>
      <c r="F125" s="31">
        <v>0</v>
      </c>
      <c r="G125" s="31">
        <v>0.1</v>
      </c>
      <c r="H125" s="31">
        <v>0.3</v>
      </c>
      <c r="I125" s="31">
        <v>0.5</v>
      </c>
      <c r="J125" s="31">
        <v>0.1</v>
      </c>
      <c r="K125" s="31">
        <v>0</v>
      </c>
      <c r="L125" s="31">
        <v>0</v>
      </c>
      <c r="M125" s="31">
        <v>0</v>
      </c>
      <c r="N125" s="31">
        <v>0</v>
      </c>
      <c r="O125" s="26">
        <f t="shared" si="20"/>
        <v>1</v>
      </c>
      <c r="P125" s="146">
        <f t="shared" si="21"/>
        <v>15.534673407702536</v>
      </c>
      <c r="Q125" s="146">
        <f t="shared" si="22"/>
        <v>2.5</v>
      </c>
      <c r="R125" s="21">
        <f t="shared" si="23"/>
        <v>9.8000000000000007</v>
      </c>
      <c r="S125" s="22">
        <f>IF(D125&gt;Basiswerte!$P$8,Basiswerte!$Q$9,IF(D125&gt;Basiswerte!$P$7,Basiswerte!$Q$8,IF(D125&gt;Basiswerte!$P$6,Basiswerte!$Q$7,Basiswerte!$Q$6)))</f>
        <v>1.1499999999999999</v>
      </c>
      <c r="T125" s="35">
        <v>0.75</v>
      </c>
      <c r="U125" s="35">
        <v>0.95</v>
      </c>
      <c r="V125" s="182">
        <f t="shared" ca="1" si="26"/>
        <v>2.6793562499999997</v>
      </c>
      <c r="W125" s="182">
        <f t="shared" si="27"/>
        <v>3.3062499999999999</v>
      </c>
      <c r="X125" s="110">
        <f t="shared" ca="1" si="28"/>
        <v>8.3595225000000006</v>
      </c>
      <c r="Y125" s="111">
        <f t="shared" ca="1" si="29"/>
        <v>10.80607045</v>
      </c>
      <c r="Z125" s="251">
        <f t="shared" ca="1" si="24"/>
        <v>8.3595225000000006</v>
      </c>
      <c r="AA125" s="243">
        <f t="shared" ca="1" si="25"/>
        <v>10.80607045</v>
      </c>
      <c r="AB125" s="163">
        <f ca="1">V125*Basiswerte!$D$3+Tabellen!X125*Basiswerte!$D$4</f>
        <v>367.50518972999998</v>
      </c>
      <c r="AC125" s="164">
        <f ca="1">W125*Basiswerte!$E$3+Tabellen!Y125*Basiswerte!$E$4</f>
        <v>665.21640079549991</v>
      </c>
      <c r="AD125" s="312"/>
      <c r="AE125" s="284">
        <f t="shared" si="30"/>
        <v>0</v>
      </c>
    </row>
    <row r="126" spans="1:31" x14ac:dyDescent="0.45">
      <c r="A126" s="6"/>
      <c r="B126" s="19"/>
      <c r="C126" s="19" t="s">
        <v>211</v>
      </c>
      <c r="D126" s="315">
        <v>1</v>
      </c>
      <c r="E126" s="31">
        <v>0</v>
      </c>
      <c r="F126" s="31">
        <v>0.8</v>
      </c>
      <c r="G126" s="31">
        <v>0.1</v>
      </c>
      <c r="H126" s="31">
        <v>0.1</v>
      </c>
      <c r="I126" s="31">
        <v>0</v>
      </c>
      <c r="J126" s="31">
        <v>0</v>
      </c>
      <c r="K126" s="31">
        <v>0</v>
      </c>
      <c r="L126" s="31">
        <v>0</v>
      </c>
      <c r="M126" s="31">
        <v>0</v>
      </c>
      <c r="N126" s="31">
        <v>0</v>
      </c>
      <c r="O126" s="26">
        <f t="shared" si="20"/>
        <v>1</v>
      </c>
      <c r="P126" s="146">
        <f t="shared" si="21"/>
        <v>10.696880126935467</v>
      </c>
      <c r="Q126" s="146">
        <f t="shared" si="22"/>
        <v>3.7250000000000001</v>
      </c>
      <c r="R126" s="21">
        <f t="shared" si="23"/>
        <v>14.299999999999999</v>
      </c>
      <c r="S126" s="22">
        <f>IF(D126&gt;Basiswerte!$P$8,Basiswerte!$Q$9,IF(D126&gt;Basiswerte!$P$7,Basiswerte!$Q$8,IF(D126&gt;Basiswerte!$P$6,Basiswerte!$Q$7,Basiswerte!$Q$6)))</f>
        <v>1.1499999999999999</v>
      </c>
      <c r="T126" s="35">
        <v>1</v>
      </c>
      <c r="U126" s="35">
        <v>1.2</v>
      </c>
      <c r="V126" s="182">
        <f t="shared" ca="1" si="26"/>
        <v>3.9922408124999995</v>
      </c>
      <c r="W126" s="182">
        <f t="shared" si="27"/>
        <v>4.926312499999999</v>
      </c>
      <c r="X126" s="110">
        <f t="shared" ca="1" si="28"/>
        <v>16.264104999999997</v>
      </c>
      <c r="Y126" s="111">
        <f t="shared" ca="1" si="29"/>
        <v>19.917526199999998</v>
      </c>
      <c r="Z126" s="251">
        <f t="shared" ca="1" si="24"/>
        <v>16.264104999999997</v>
      </c>
      <c r="AA126" s="243">
        <f t="shared" ca="1" si="25"/>
        <v>19.917526199999998</v>
      </c>
      <c r="AB126" s="163">
        <f ca="1">V126*Basiswerte!$D$3+Tabellen!X126*Basiswerte!$D$4</f>
        <v>667.50215066249984</v>
      </c>
      <c r="AC126" s="164">
        <f ca="1">W126*Basiswerte!$E$3+Tabellen!Y126*Basiswerte!$E$4</f>
        <v>1162.8759277004997</v>
      </c>
      <c r="AD126" s="312"/>
      <c r="AE126" s="284">
        <f t="shared" si="30"/>
        <v>0</v>
      </c>
    </row>
    <row r="127" spans="1:31" x14ac:dyDescent="0.45">
      <c r="A127" s="6"/>
      <c r="B127" s="19"/>
      <c r="C127" s="68" t="s">
        <v>212</v>
      </c>
      <c r="D127" s="315">
        <v>1</v>
      </c>
      <c r="E127" s="31">
        <v>0</v>
      </c>
      <c r="F127" s="31">
        <v>0</v>
      </c>
      <c r="G127" s="31">
        <v>0</v>
      </c>
      <c r="H127" s="31">
        <v>0.05</v>
      </c>
      <c r="I127" s="31">
        <v>0.15</v>
      </c>
      <c r="J127" s="31">
        <v>0.6</v>
      </c>
      <c r="K127" s="31">
        <v>0.1</v>
      </c>
      <c r="L127" s="31">
        <v>0.1</v>
      </c>
      <c r="M127" s="31">
        <v>0</v>
      </c>
      <c r="N127" s="31">
        <v>0</v>
      </c>
      <c r="O127" s="26">
        <f t="shared" si="20"/>
        <v>1</v>
      </c>
      <c r="P127" s="146">
        <f t="shared" si="21"/>
        <v>21.117355787245529</v>
      </c>
      <c r="Q127" s="146">
        <f t="shared" si="22"/>
        <v>2.2749999999999999</v>
      </c>
      <c r="R127" s="21">
        <f t="shared" si="23"/>
        <v>8</v>
      </c>
      <c r="S127" s="22">
        <f>IF(D127&gt;Basiswerte!$P$8,Basiswerte!$Q$9,IF(D127&gt;Basiswerte!$P$7,Basiswerte!$Q$8,IF(D127&gt;Basiswerte!$P$6,Basiswerte!$Q$7,Basiswerte!$Q$6)))</f>
        <v>1.1499999999999999</v>
      </c>
      <c r="T127" s="35">
        <v>0.8</v>
      </c>
      <c r="U127" s="35">
        <v>1</v>
      </c>
      <c r="V127" s="182">
        <f t="shared" ca="1" si="26"/>
        <v>2.4382141874999994</v>
      </c>
      <c r="W127" s="182">
        <f t="shared" si="27"/>
        <v>3.0086874999999993</v>
      </c>
      <c r="X127" s="110">
        <f t="shared" ca="1" si="28"/>
        <v>7.2790399999999993</v>
      </c>
      <c r="Y127" s="111">
        <f t="shared" ca="1" si="29"/>
        <v>9.2855600000000003</v>
      </c>
      <c r="Z127" s="251">
        <f t="shared" ca="1" si="24"/>
        <v>7.2790399999999993</v>
      </c>
      <c r="AA127" s="243">
        <f t="shared" ca="1" si="25"/>
        <v>9.2855600000000003</v>
      </c>
      <c r="AB127" s="163">
        <f ca="1">V127*Basiswerte!$D$3+Tabellen!X127*Basiswerte!$D$4</f>
        <v>324.09770769749997</v>
      </c>
      <c r="AC127" s="164">
        <f ca="1">W127*Basiswerte!$E$3+Tabellen!Y127*Basiswerte!$E$4</f>
        <v>580.69401943749995</v>
      </c>
      <c r="AD127" s="312"/>
      <c r="AE127" s="284">
        <f t="shared" si="30"/>
        <v>0</v>
      </c>
    </row>
    <row r="128" spans="1:31" x14ac:dyDescent="0.45">
      <c r="A128" s="6"/>
      <c r="B128" s="19"/>
      <c r="C128" s="68" t="s">
        <v>148</v>
      </c>
      <c r="D128" s="315">
        <v>1</v>
      </c>
      <c r="E128" s="31">
        <v>0</v>
      </c>
      <c r="F128" s="31">
        <v>0.4</v>
      </c>
      <c r="G128" s="31">
        <v>0.6</v>
      </c>
      <c r="H128" s="31">
        <v>0</v>
      </c>
      <c r="I128" s="31">
        <v>0</v>
      </c>
      <c r="J128" s="31">
        <v>0</v>
      </c>
      <c r="K128" s="31">
        <v>0</v>
      </c>
      <c r="L128" s="31">
        <v>0</v>
      </c>
      <c r="M128" s="31">
        <v>0</v>
      </c>
      <c r="N128" s="31">
        <v>0</v>
      </c>
      <c r="O128" s="26">
        <f t="shared" si="20"/>
        <v>1</v>
      </c>
      <c r="P128" s="146">
        <f t="shared" si="21"/>
        <v>11.257919916651858</v>
      </c>
      <c r="Q128" s="146">
        <f t="shared" si="22"/>
        <v>3.25</v>
      </c>
      <c r="R128" s="21">
        <f t="shared" si="23"/>
        <v>13.2</v>
      </c>
      <c r="S128" s="22">
        <f>IF(D128&gt;Basiswerte!$P$8,Basiswerte!$Q$9,IF(D128&gt;Basiswerte!$P$7,Basiswerte!$Q$8,IF(D128&gt;Basiswerte!$P$6,Basiswerte!$Q$7,Basiswerte!$Q$6)))</f>
        <v>1.1499999999999999</v>
      </c>
      <c r="T128" s="35">
        <v>0.9</v>
      </c>
      <c r="U128" s="35">
        <v>1.05</v>
      </c>
      <c r="V128" s="182">
        <f t="shared" ca="1" si="26"/>
        <v>3.4831631249999995</v>
      </c>
      <c r="W128" s="182">
        <f t="shared" si="27"/>
        <v>4.2981249999999998</v>
      </c>
      <c r="X128" s="110">
        <f t="shared" ca="1" si="28"/>
        <v>13.511717999999998</v>
      </c>
      <c r="Y128" s="111">
        <f t="shared" ca="1" si="29"/>
        <v>16.087232700000001</v>
      </c>
      <c r="Z128" s="251">
        <f t="shared" ca="1" si="24"/>
        <v>13.511717999999998</v>
      </c>
      <c r="AA128" s="243">
        <f t="shared" ca="1" si="25"/>
        <v>16.087232700000001</v>
      </c>
      <c r="AB128" s="163">
        <f ca="1">V128*Basiswerte!$D$3+Tabellen!X128*Basiswerte!$D$4</f>
        <v>561.02168520899988</v>
      </c>
      <c r="AC128" s="164">
        <f ca="1">W128*Basiswerte!$E$3+Tabellen!Y128*Basiswerte!$E$4</f>
        <v>956.53127779800002</v>
      </c>
      <c r="AD128" s="312"/>
      <c r="AE128" s="284">
        <f t="shared" si="30"/>
        <v>0</v>
      </c>
    </row>
    <row r="129" spans="1:31" x14ac:dyDescent="0.45">
      <c r="A129" s="6"/>
      <c r="B129" s="19"/>
      <c r="C129" s="68" t="s">
        <v>149</v>
      </c>
      <c r="D129" s="315">
        <v>1</v>
      </c>
      <c r="E129" s="31">
        <v>0</v>
      </c>
      <c r="F129" s="31">
        <v>0</v>
      </c>
      <c r="G129" s="31">
        <v>0.2</v>
      </c>
      <c r="H129" s="31">
        <v>0.2</v>
      </c>
      <c r="I129" s="31">
        <v>0.2</v>
      </c>
      <c r="J129" s="31">
        <v>0.2</v>
      </c>
      <c r="K129" s="31">
        <v>0.2</v>
      </c>
      <c r="L129" s="31">
        <v>0</v>
      </c>
      <c r="M129" s="31">
        <v>0</v>
      </c>
      <c r="N129" s="31">
        <v>0</v>
      </c>
      <c r="O129" s="26">
        <f t="shared" ref="O129:O130" si="31">SUM(E129:N129)</f>
        <v>1</v>
      </c>
      <c r="P129" s="146">
        <f t="shared" ref="P129:P130" si="32">SQRT((E129*_G08+F129*_G10+G129*_G12+H129*_G14+I129*_G16+J129*_G20+K129*_G26+L129*_G30+M129*_G36+N129*_G40)/0.0246803)*2</f>
        <v>18.289828151267898</v>
      </c>
      <c r="Q129" s="146">
        <f t="shared" si="22"/>
        <v>2.4500000000000002</v>
      </c>
      <c r="R129" s="21">
        <f t="shared" si="23"/>
        <v>9.4</v>
      </c>
      <c r="S129" s="22">
        <f>IF(D129&gt;Basiswerte!$P$8,Basiswerte!$Q$9,IF(D129&gt;Basiswerte!$P$7,Basiswerte!$Q$8,IF(D129&gt;Basiswerte!$P$6,Basiswerte!$Q$7,Basiswerte!$Q$6)))</f>
        <v>1.1499999999999999</v>
      </c>
      <c r="T129" s="35">
        <v>0.7</v>
      </c>
      <c r="U129" s="35">
        <v>0.95</v>
      </c>
      <c r="V129" s="182">
        <f t="shared" ca="1" si="26"/>
        <v>2.6257691249999997</v>
      </c>
      <c r="W129" s="182">
        <f t="shared" si="27"/>
        <v>3.2401249999999995</v>
      </c>
      <c r="X129" s="110">
        <f t="shared" ca="1" si="28"/>
        <v>7.4837629999999979</v>
      </c>
      <c r="Y129" s="111">
        <f t="shared" ca="1" si="29"/>
        <v>10.36500635</v>
      </c>
      <c r="Z129" s="251">
        <f t="shared" ref="Z129:Z130" ca="1" si="33">X129*D129</f>
        <v>7.4837629999999979</v>
      </c>
      <c r="AA129" s="243">
        <f t="shared" ref="AA129:AA130" ca="1" si="34">D129*Y129</f>
        <v>10.36500635</v>
      </c>
      <c r="AB129" s="163">
        <f ca="1">V129*Basiswerte!$D$3+Tabellen!X129*Basiswerte!$D$4</f>
        <v>337.84366368899992</v>
      </c>
      <c r="AC129" s="164">
        <f ca="1">W129*Basiswerte!$E$3+Tabellen!Y129*Basiswerte!$E$4</f>
        <v>641.7919011114999</v>
      </c>
      <c r="AD129" s="312"/>
      <c r="AE129" s="284">
        <f t="shared" si="30"/>
        <v>0</v>
      </c>
    </row>
    <row r="130" spans="1:31" x14ac:dyDescent="0.45">
      <c r="A130" s="6"/>
      <c r="B130" s="19"/>
      <c r="C130" s="68" t="s">
        <v>170</v>
      </c>
      <c r="D130" s="315">
        <v>1</v>
      </c>
      <c r="E130" s="31">
        <v>0</v>
      </c>
      <c r="F130" s="31">
        <v>0.3</v>
      </c>
      <c r="G130" s="31">
        <v>0.6</v>
      </c>
      <c r="H130" s="31">
        <v>0.1</v>
      </c>
      <c r="I130" s="31">
        <v>0</v>
      </c>
      <c r="J130" s="31">
        <v>0</v>
      </c>
      <c r="K130" s="31">
        <v>0</v>
      </c>
      <c r="L130" s="31">
        <v>0</v>
      </c>
      <c r="M130" s="31">
        <v>0</v>
      </c>
      <c r="N130" s="31">
        <v>0</v>
      </c>
      <c r="O130" s="26">
        <f t="shared" si="31"/>
        <v>0.99999999999999989</v>
      </c>
      <c r="P130" s="146">
        <f t="shared" si="32"/>
        <v>11.674889434934702</v>
      </c>
      <c r="Q130" s="146">
        <f t="shared" si="22"/>
        <v>3.0999999999999996</v>
      </c>
      <c r="R130" s="21">
        <f t="shared" si="23"/>
        <v>12.799999999999999</v>
      </c>
      <c r="S130" s="22">
        <f>IF(D130&gt;Basiswerte!$P$8,Basiswerte!$Q$9,IF(D130&gt;Basiswerte!$P$7,Basiswerte!$Q$8,IF(D130&gt;Basiswerte!$P$6,Basiswerte!$Q$7,Basiswerte!$Q$6)))</f>
        <v>1.1499999999999999</v>
      </c>
      <c r="T130" s="35">
        <v>1.3</v>
      </c>
      <c r="U130" s="35">
        <v>1.7</v>
      </c>
      <c r="V130" s="182">
        <f t="shared" ca="1" si="26"/>
        <v>3.3224017499999992</v>
      </c>
      <c r="W130" s="182">
        <f t="shared" si="27"/>
        <v>4.0997499999999993</v>
      </c>
      <c r="X130" s="110">
        <f t="shared" ca="1" si="28"/>
        <v>18.925503999999997</v>
      </c>
      <c r="Y130" s="111">
        <f t="shared" ca="1" si="29"/>
        <v>25.256723199999996</v>
      </c>
      <c r="Z130" s="251">
        <f t="shared" ca="1" si="33"/>
        <v>18.925503999999997</v>
      </c>
      <c r="AA130" s="243">
        <f t="shared" ca="1" si="34"/>
        <v>25.256723199999996</v>
      </c>
      <c r="AB130" s="163">
        <f ca="1">V130*Basiswerte!$D$3+Tabellen!X130*Basiswerte!$D$4</f>
        <v>725.23414606199981</v>
      </c>
      <c r="AC130" s="164">
        <f ca="1">W130*Basiswerte!$E$3+Tabellen!Y130*Basiswerte!$E$4</f>
        <v>1358.3235779179995</v>
      </c>
      <c r="AD130" s="312"/>
      <c r="AE130" s="284">
        <f t="shared" si="30"/>
        <v>0</v>
      </c>
    </row>
    <row r="131" spans="1:31" x14ac:dyDescent="0.45">
      <c r="A131" s="57"/>
      <c r="B131" s="2"/>
      <c r="C131" s="266"/>
      <c r="D131" s="261"/>
      <c r="E131" s="267"/>
      <c r="F131" s="267"/>
      <c r="G131" s="267"/>
      <c r="H131" s="267"/>
      <c r="I131" s="267"/>
      <c r="J131" s="267"/>
      <c r="K131" s="267"/>
      <c r="L131" s="267"/>
      <c r="M131" s="267"/>
      <c r="N131" s="267"/>
      <c r="O131" s="268"/>
      <c r="P131" s="269"/>
      <c r="Q131" s="269"/>
      <c r="R131" s="270"/>
      <c r="S131" s="271"/>
      <c r="T131" s="272"/>
      <c r="U131" s="272"/>
      <c r="V131" s="273"/>
      <c r="W131" s="273"/>
      <c r="X131" s="112"/>
      <c r="Y131" s="113"/>
      <c r="Z131" s="252"/>
      <c r="AA131" s="245"/>
      <c r="AB131" s="165"/>
      <c r="AC131" s="166"/>
      <c r="AD131" s="274"/>
      <c r="AE131" s="288"/>
    </row>
    <row r="132" spans="1:31" x14ac:dyDescent="0.45">
      <c r="A132" s="6"/>
      <c r="B132" s="19"/>
      <c r="C132" s="262"/>
      <c r="D132" s="275"/>
      <c r="E132" s="275"/>
      <c r="F132" s="275"/>
      <c r="G132" s="275"/>
      <c r="H132" s="275"/>
      <c r="I132" s="275"/>
      <c r="J132" s="275"/>
      <c r="K132" s="275"/>
      <c r="L132" s="275"/>
      <c r="M132" s="275"/>
      <c r="N132" s="275"/>
      <c r="O132" s="275"/>
      <c r="P132" s="276"/>
      <c r="Q132" s="276"/>
      <c r="R132" s="275"/>
      <c r="S132" s="275"/>
      <c r="T132" s="275"/>
      <c r="U132" s="275"/>
      <c r="V132" s="275"/>
      <c r="W132" s="275"/>
      <c r="X132" s="110"/>
      <c r="Y132" s="111"/>
      <c r="Z132" s="253"/>
      <c r="AA132" s="254"/>
      <c r="AB132" s="110"/>
      <c r="AC132" s="111"/>
      <c r="AD132" s="277"/>
      <c r="AE132" s="289"/>
    </row>
    <row r="133" spans="1:31" x14ac:dyDescent="0.45">
      <c r="A133" s="57" t="s">
        <v>105</v>
      </c>
      <c r="B133" s="2" t="s">
        <v>106</v>
      </c>
      <c r="C133" s="266" t="s">
        <v>150</v>
      </c>
      <c r="D133" s="278"/>
      <c r="E133" s="278"/>
      <c r="F133" s="278"/>
      <c r="G133" s="278"/>
      <c r="H133" s="278"/>
      <c r="I133" s="278"/>
      <c r="J133" s="278"/>
      <c r="K133" s="278"/>
      <c r="L133" s="278"/>
      <c r="M133" s="278"/>
      <c r="N133" s="278"/>
      <c r="O133" s="278"/>
      <c r="P133" s="279"/>
      <c r="Q133" s="279"/>
      <c r="R133" s="278"/>
      <c r="S133" s="278"/>
      <c r="T133" s="278"/>
      <c r="U133" s="278"/>
      <c r="V133" s="278"/>
      <c r="W133" s="278"/>
      <c r="X133" s="112"/>
      <c r="Y133" s="113"/>
      <c r="Z133" s="255"/>
      <c r="AA133" s="256"/>
      <c r="AB133" s="112"/>
      <c r="AC133" s="113"/>
      <c r="AD133" s="280"/>
      <c r="AE133" s="290"/>
    </row>
    <row r="134" spans="1:31" x14ac:dyDescent="0.45">
      <c r="A134" s="78" t="s">
        <v>110</v>
      </c>
      <c r="B134" s="69" t="s">
        <v>111</v>
      </c>
      <c r="C134" s="275"/>
      <c r="D134" s="275"/>
      <c r="E134" s="275"/>
      <c r="F134" s="275"/>
      <c r="G134" s="275"/>
      <c r="H134" s="275"/>
      <c r="I134" s="275"/>
      <c r="J134" s="275"/>
      <c r="K134" s="275"/>
      <c r="L134" s="275"/>
      <c r="M134" s="275"/>
      <c r="N134" s="275"/>
      <c r="O134" s="275"/>
      <c r="P134" s="276"/>
      <c r="Q134" s="276"/>
      <c r="R134" s="275"/>
      <c r="S134" s="275"/>
      <c r="T134" s="275"/>
      <c r="U134" s="275"/>
      <c r="V134" s="262"/>
      <c r="W134" s="262"/>
      <c r="X134" s="110"/>
      <c r="Y134" s="111"/>
      <c r="Z134" s="253"/>
      <c r="AA134" s="254"/>
      <c r="AB134" s="163"/>
      <c r="AC134" s="164"/>
      <c r="AD134" s="277"/>
      <c r="AE134" s="289"/>
    </row>
    <row r="135" spans="1:31" x14ac:dyDescent="0.45">
      <c r="A135" s="77" t="s">
        <v>151</v>
      </c>
      <c r="B135" s="69" t="s">
        <v>109</v>
      </c>
      <c r="C135" s="275"/>
      <c r="D135" s="275"/>
      <c r="E135" s="275"/>
      <c r="F135" s="275"/>
      <c r="G135" s="275"/>
      <c r="H135" s="275"/>
      <c r="I135" s="275"/>
      <c r="J135" s="275"/>
      <c r="K135" s="275"/>
      <c r="L135" s="275"/>
      <c r="M135" s="275"/>
      <c r="N135" s="275"/>
      <c r="O135" s="275"/>
      <c r="P135" s="276"/>
      <c r="Q135" s="276"/>
      <c r="R135" s="275"/>
      <c r="S135" s="275"/>
      <c r="T135" s="275"/>
      <c r="U135" s="275"/>
      <c r="V135" s="262"/>
      <c r="W135" s="262"/>
      <c r="X135" s="110"/>
      <c r="Y135" s="111"/>
      <c r="Z135" s="253"/>
      <c r="AA135" s="254"/>
      <c r="AB135" s="163"/>
      <c r="AC135" s="164"/>
      <c r="AD135" s="277"/>
      <c r="AE135" s="289"/>
    </row>
    <row r="136" spans="1:31" x14ac:dyDescent="0.45">
      <c r="A136" s="4" t="s">
        <v>112</v>
      </c>
      <c r="B136" s="16" t="s">
        <v>113</v>
      </c>
      <c r="C136" s="16"/>
      <c r="D136" s="318">
        <v>1</v>
      </c>
      <c r="E136" s="30">
        <v>0</v>
      </c>
      <c r="F136" s="30">
        <v>0</v>
      </c>
      <c r="G136" s="30">
        <v>0.2</v>
      </c>
      <c r="H136" s="30">
        <v>0.45</v>
      </c>
      <c r="I136" s="30">
        <v>0.3</v>
      </c>
      <c r="J136" s="30">
        <v>0.05</v>
      </c>
      <c r="K136" s="30">
        <v>0</v>
      </c>
      <c r="L136" s="30">
        <v>0</v>
      </c>
      <c r="M136" s="30">
        <v>0</v>
      </c>
      <c r="N136" s="30">
        <v>0</v>
      </c>
      <c r="O136" s="25">
        <f t="shared" ref="O136:O139" si="35">SUM(E136:N136)</f>
        <v>1</v>
      </c>
      <c r="P136" s="149">
        <f t="shared" ref="P136:P139" si="36">SQRT((E136*_G08+F136*_G10+G136*_G12+H136*_G14+I136*_G16+J136*_G20+K136*_G26+L136*_G30+M136*_G36+N136*_G40)/0.0246803)*2</f>
        <v>14.626544744163771</v>
      </c>
      <c r="Q136" s="149">
        <f>E136*AWS_08+F136*AWS_10+G136*AWS_12+H136*AWS_14+I136*AWS_16+J136*AWS_20+K136*AWS_26+L136*AWS_30+M136*AWS_36+N136*AWS_40</f>
        <v>2.5374999999999996</v>
      </c>
      <c r="R136" s="17">
        <f>E136*_AW08+F136*_AW10+G136*_AW12+H136*_AW14+I136*_AW16+J136*_AW20+K136*_AW26+L136*_AW30+M136*_AW36+N136*_AW40</f>
        <v>10.450000000000001</v>
      </c>
      <c r="S136" s="18">
        <f>IF(D136&gt;Basiswerte!$P$8,Basiswerte!$Q$9,IF(D136&gt;Basiswerte!$P$7,Basiswerte!$Q$8,IF(D136&gt;Basiswerte!$P$6,Basiswerte!$Q$7,Basiswerte!$Q$6)))</f>
        <v>1.1499999999999999</v>
      </c>
      <c r="T136" s="34">
        <v>1.2</v>
      </c>
      <c r="U136" s="34">
        <v>1.4</v>
      </c>
      <c r="V136" s="184">
        <f t="shared" ref="V136" ca="1" si="37">Q136*S136*$I$69</f>
        <v>2.7195465937499992</v>
      </c>
      <c r="W136" s="231">
        <f t="shared" ref="W136" si="38">Q136*S136*$J$69</f>
        <v>3.3558437499999991</v>
      </c>
      <c r="X136" s="114">
        <f ca="1">R136*S136*T136*$F$68</f>
        <v>14.99784</v>
      </c>
      <c r="Y136" s="115">
        <f ca="1">R136*S136*U136*$G$68</f>
        <v>17.83228755</v>
      </c>
      <c r="Z136" s="257">
        <f ca="1">X136*D136</f>
        <v>14.99784</v>
      </c>
      <c r="AA136" s="248">
        <f ca="1">D136*Y136</f>
        <v>17.83228755</v>
      </c>
      <c r="AB136" s="169">
        <f ca="1">V136*Basiswerte!$D$3+Tabellen!X136*Basiswerte!$D$4</f>
        <v>578.09673934874991</v>
      </c>
      <c r="AC136" s="170">
        <f ca="1">W136*Basiswerte!$E$3+Tabellen!Y136*Basiswerte!$E$4</f>
        <v>984.01167749324986</v>
      </c>
      <c r="AD136" s="319"/>
      <c r="AE136" s="284">
        <f t="shared" ref="AE136:AE139" si="39">(IF(AD136&gt;0,IF((AD136&lt;AB136),AD136-AB136,(IF((AD136&gt;AC136),AD136-AC136,0))),))*D136</f>
        <v>0</v>
      </c>
    </row>
    <row r="137" spans="1:31" x14ac:dyDescent="0.45">
      <c r="A137" s="6" t="s">
        <v>114</v>
      </c>
      <c r="B137" s="19" t="s">
        <v>115</v>
      </c>
      <c r="C137" s="19"/>
      <c r="D137" s="315">
        <v>1</v>
      </c>
      <c r="E137" s="31">
        <v>0</v>
      </c>
      <c r="F137" s="31">
        <v>0</v>
      </c>
      <c r="G137" s="31">
        <v>0.2</v>
      </c>
      <c r="H137" s="31">
        <v>0.45</v>
      </c>
      <c r="I137" s="31">
        <v>0.3</v>
      </c>
      <c r="J137" s="31">
        <v>0.05</v>
      </c>
      <c r="K137" s="31">
        <v>0</v>
      </c>
      <c r="L137" s="31">
        <v>0</v>
      </c>
      <c r="M137" s="31">
        <v>0</v>
      </c>
      <c r="N137" s="31">
        <v>0</v>
      </c>
      <c r="O137" s="26">
        <f t="shared" si="35"/>
        <v>1</v>
      </c>
      <c r="P137" s="146">
        <f t="shared" si="36"/>
        <v>14.626544744163771</v>
      </c>
      <c r="Q137" s="146">
        <f>E137*AWS_08+F137*AWS_10+G137*AWS_12+H137*AWS_14+I137*AWS_16+J137*AWS_20+K137*AWS_26+L137*AWS_30+M137*AWS_36+N137*AWS_40</f>
        <v>2.5374999999999996</v>
      </c>
      <c r="R137" s="21">
        <f>E137*_AW08+F137*_AW10+G137*_AW12+H137*_AW14+I137*_AW16+J137*_AW20+K137*_AW26+L137*_AW30+M137*_AW36+N137*_AW40</f>
        <v>10.450000000000001</v>
      </c>
      <c r="S137" s="22">
        <f>IF(D137&gt;Basiswerte!$P$8,Basiswerte!$Q$9,IF(D137&gt;Basiswerte!$P$7,Basiswerte!$Q$8,IF(D137&gt;Basiswerte!$P$6,Basiswerte!$Q$7,Basiswerte!$Q$6)))</f>
        <v>1.1499999999999999</v>
      </c>
      <c r="T137" s="35">
        <v>0.95</v>
      </c>
      <c r="U137" s="35">
        <v>1.3</v>
      </c>
      <c r="V137" s="182">
        <f t="shared" ref="V137:V139" ca="1" si="40">Q137*S137*$I$69</f>
        <v>2.7195465937499992</v>
      </c>
      <c r="W137" s="232">
        <f t="shared" ref="W137:W139" si="41">Q137*S137*$J$69</f>
        <v>3.3558437499999991</v>
      </c>
      <c r="X137" s="110">
        <f ca="1">R137*S137*T137*$F$68</f>
        <v>11.873290000000001</v>
      </c>
      <c r="Y137" s="111">
        <f ca="1">R137*S137*U137*$G$68</f>
        <v>16.558552725000002</v>
      </c>
      <c r="Z137" s="251">
        <f ca="1">X137*D137</f>
        <v>11.873290000000001</v>
      </c>
      <c r="AA137" s="243">
        <f ca="1">D137*Y137</f>
        <v>16.558552725000002</v>
      </c>
      <c r="AB137" s="163">
        <f ca="1">V137*Basiswerte!$D$3+Tabellen!X137*Basiswerte!$D$4</f>
        <v>479.71090894874999</v>
      </c>
      <c r="AC137" s="164">
        <f ca="1">W137*Basiswerte!$E$3+Tabellen!Y137*Basiswerte!$E$4</f>
        <v>926.70634771649998</v>
      </c>
      <c r="AD137" s="312"/>
      <c r="AE137" s="284">
        <f t="shared" si="39"/>
        <v>0</v>
      </c>
    </row>
    <row r="138" spans="1:31" x14ac:dyDescent="0.45">
      <c r="A138" s="6" t="s">
        <v>116</v>
      </c>
      <c r="B138" s="19" t="s">
        <v>117</v>
      </c>
      <c r="C138" s="19"/>
      <c r="D138" s="315">
        <v>1</v>
      </c>
      <c r="E138" s="31">
        <v>0</v>
      </c>
      <c r="F138" s="31">
        <v>0</v>
      </c>
      <c r="G138" s="31">
        <v>0.6</v>
      </c>
      <c r="H138" s="31">
        <v>0.4</v>
      </c>
      <c r="I138" s="31">
        <v>0</v>
      </c>
      <c r="J138" s="31">
        <v>0</v>
      </c>
      <c r="K138" s="31">
        <v>0</v>
      </c>
      <c r="L138" s="31">
        <v>0</v>
      </c>
      <c r="M138" s="31">
        <v>0</v>
      </c>
      <c r="N138" s="31">
        <v>0</v>
      </c>
      <c r="O138" s="26">
        <f t="shared" si="35"/>
        <v>1</v>
      </c>
      <c r="P138" s="146">
        <f t="shared" si="36"/>
        <v>12.844839069546964</v>
      </c>
      <c r="Q138" s="146">
        <f>E138*AWS_08+F138*AWS_10+G138*AWS_12+H138*AWS_14+I138*AWS_16+J138*AWS_20+K138*AWS_26+L138*AWS_30+M138*AWS_36+N138*AWS_40</f>
        <v>2.65</v>
      </c>
      <c r="R138" s="21">
        <f>E138*_AW08+F138*_AW10+G138*_AW12+H138*_AW14+I138*_AW16+J138*_AW20+K138*_AW26+L138*_AW30+M138*_AW36+N138*_AW40</f>
        <v>11.6</v>
      </c>
      <c r="S138" s="22">
        <f>IF(D138&gt;Basiswerte!$P$8,Basiswerte!$Q$9,IF(D138&gt;Basiswerte!$P$7,Basiswerte!$Q$8,IF(D138&gt;Basiswerte!$P$6,Basiswerte!$Q$7,Basiswerte!$Q$6)))</f>
        <v>1.1499999999999999</v>
      </c>
      <c r="T138" s="35">
        <v>1.1000000000000001</v>
      </c>
      <c r="U138" s="35">
        <v>1.2</v>
      </c>
      <c r="V138" s="182">
        <f t="shared" ca="1" si="40"/>
        <v>2.8401176249999995</v>
      </c>
      <c r="W138" s="232">
        <f t="shared" si="41"/>
        <v>3.5046249999999994</v>
      </c>
      <c r="X138" s="110">
        <f ca="1">R138*S138*T138*$F$68</f>
        <v>15.260960000000001</v>
      </c>
      <c r="Y138" s="111">
        <f ca="1">R138*S138*U138*$G$68</f>
        <v>16.966879199999997</v>
      </c>
      <c r="Z138" s="251">
        <f ca="1">X138*D138</f>
        <v>15.260960000000001</v>
      </c>
      <c r="AA138" s="243">
        <f ca="1">D138*Y138</f>
        <v>16.966879199999997</v>
      </c>
      <c r="AB138" s="163">
        <f ca="1">V138*Basiswerte!$D$3+Tabellen!X138*Basiswerte!$D$4</f>
        <v>591.07448644500005</v>
      </c>
      <c r="AC138" s="164">
        <f ca="1">W138*Basiswerte!$E$3+Tabellen!Y138*Basiswerte!$E$4</f>
        <v>953.13426393299983</v>
      </c>
      <c r="AD138" s="312"/>
      <c r="AE138" s="284">
        <f t="shared" si="39"/>
        <v>0</v>
      </c>
    </row>
    <row r="139" spans="1:31" x14ac:dyDescent="0.45">
      <c r="A139" s="57" t="s">
        <v>118</v>
      </c>
      <c r="B139" s="2" t="s">
        <v>152</v>
      </c>
      <c r="C139" s="2"/>
      <c r="D139" s="316">
        <v>1</v>
      </c>
      <c r="E139" s="28">
        <v>0</v>
      </c>
      <c r="F139" s="28">
        <v>0</v>
      </c>
      <c r="G139" s="28">
        <v>0.2</v>
      </c>
      <c r="H139" s="28">
        <v>0.45</v>
      </c>
      <c r="I139" s="28">
        <v>0.3</v>
      </c>
      <c r="J139" s="28">
        <v>0.05</v>
      </c>
      <c r="K139" s="28">
        <v>0</v>
      </c>
      <c r="L139" s="28">
        <v>0</v>
      </c>
      <c r="M139" s="28">
        <v>0</v>
      </c>
      <c r="N139" s="28">
        <v>0</v>
      </c>
      <c r="O139" s="23">
        <f t="shared" si="35"/>
        <v>1</v>
      </c>
      <c r="P139" s="147">
        <f t="shared" si="36"/>
        <v>14.626544744163771</v>
      </c>
      <c r="Q139" s="147">
        <f>E139*AWS_08+F139*AWS_10+G139*AWS_12+H139*AWS_14+I139*AWS_16+J139*AWS_20+K139*AWS_26+L139*AWS_30+M139*AWS_36+N139*AWS_40</f>
        <v>2.5374999999999996</v>
      </c>
      <c r="R139" s="11">
        <f>E139*_AW08+F139*_AW10+G139*_AW12+H139*_AW14+I139*_AW16+J139*_AW20+K139*_AW26+L139*_AW30+M139*_AW36+N139*_AW40</f>
        <v>10.450000000000001</v>
      </c>
      <c r="S139" s="12">
        <f>IF(D139&gt;Basiswerte!$P$8,Basiswerte!$Q$9,IF(D139&gt;Basiswerte!$P$7,Basiswerte!$Q$8,IF(D139&gt;Basiswerte!$P$6,Basiswerte!$Q$7,Basiswerte!$Q$6)))</f>
        <v>1.1499999999999999</v>
      </c>
      <c r="T139" s="32">
        <v>1.4</v>
      </c>
      <c r="U139" s="32">
        <v>1.7</v>
      </c>
      <c r="V139" s="183">
        <f t="shared" ca="1" si="40"/>
        <v>2.7195465937499992</v>
      </c>
      <c r="W139" s="233">
        <f t="shared" si="41"/>
        <v>3.3558437499999991</v>
      </c>
      <c r="X139" s="110">
        <f ca="1">R139*S139*T139*$F$68</f>
        <v>17.497479999999999</v>
      </c>
      <c r="Y139" s="111">
        <f ca="1">R139*S139*U139*$G$68</f>
        <v>21.653492024999998</v>
      </c>
      <c r="Z139" s="251">
        <f ca="1">X139*D139</f>
        <v>17.497479999999999</v>
      </c>
      <c r="AA139" s="243">
        <f ca="1">D139*Y139</f>
        <v>21.653492024999998</v>
      </c>
      <c r="AB139" s="165">
        <f ca="1">V139*Basiswerte!$D$3+Tabellen!X139*Basiswerte!$D$4</f>
        <v>656.80540366874993</v>
      </c>
      <c r="AC139" s="166">
        <f ca="1">W139*Basiswerte!$E$3+Tabellen!Y139*Basiswerte!$E$4</f>
        <v>1155.9276668234997</v>
      </c>
      <c r="AD139" s="320"/>
      <c r="AE139" s="284">
        <f t="shared" si="39"/>
        <v>0</v>
      </c>
    </row>
    <row r="140" spans="1:31" x14ac:dyDescent="0.45">
      <c r="A140" s="75" t="s">
        <v>154</v>
      </c>
      <c r="B140" s="76"/>
      <c r="C140" s="76"/>
      <c r="D140" s="235">
        <f>SUM(D121:D139)</f>
        <v>13</v>
      </c>
      <c r="E140" s="76"/>
      <c r="F140" s="76"/>
      <c r="G140" s="76"/>
      <c r="H140" s="76"/>
      <c r="I140" s="76"/>
      <c r="J140" s="76"/>
      <c r="K140" s="76"/>
      <c r="L140" s="76"/>
      <c r="M140" s="76"/>
      <c r="N140" s="76"/>
      <c r="O140" s="76"/>
      <c r="P140" s="150"/>
      <c r="Q140" s="150"/>
      <c r="R140" s="76"/>
      <c r="S140" s="76"/>
      <c r="T140" s="76"/>
      <c r="U140" s="76"/>
      <c r="V140" s="76"/>
      <c r="W140" s="76"/>
      <c r="X140" s="237" t="s">
        <v>206</v>
      </c>
      <c r="Y140" s="238"/>
      <c r="Z140" s="249">
        <f ca="1">SUM(Z117:Z139)</f>
        <v>161.46220224999999</v>
      </c>
      <c r="AA140" s="250">
        <f ca="1">SUM(AA117:AA139)</f>
        <v>206.01234981249999</v>
      </c>
      <c r="AB140" s="122"/>
      <c r="AC140" s="122"/>
      <c r="AD140" s="175"/>
      <c r="AE140" s="284">
        <f>SUM(AE136:AE139)</f>
        <v>0</v>
      </c>
    </row>
    <row r="141" spans="1:31" x14ac:dyDescent="0.45">
      <c r="A141" s="72"/>
      <c r="B141" s="73"/>
      <c r="C141" s="73"/>
      <c r="D141" s="73"/>
      <c r="E141" s="73"/>
      <c r="F141" s="73"/>
      <c r="G141" s="73"/>
      <c r="H141" s="73"/>
      <c r="I141" s="73"/>
      <c r="J141" s="73"/>
      <c r="K141" s="73"/>
      <c r="L141" s="73"/>
      <c r="M141" s="73"/>
      <c r="N141" s="73"/>
      <c r="O141" s="73"/>
      <c r="P141" s="138"/>
      <c r="Q141" s="138"/>
      <c r="R141" s="73"/>
      <c r="S141" s="73"/>
      <c r="T141" s="73"/>
      <c r="U141" s="73"/>
      <c r="V141" s="73"/>
      <c r="W141" s="73"/>
      <c r="X141" s="239" t="s">
        <v>176</v>
      </c>
      <c r="Y141" s="240"/>
      <c r="Z141" s="258">
        <f ca="1">Z140/D140</f>
        <v>12.420169403846153</v>
      </c>
      <c r="AA141" s="259">
        <f ca="1">AA140/D140</f>
        <v>15.847103831730768</v>
      </c>
      <c r="AB141" s="324" t="s">
        <v>210</v>
      </c>
      <c r="AC141" s="325"/>
      <c r="AD141" s="176" t="str">
        <f>IF(AE140&lt;&gt;0,(IF(AE140&lt;0,"NEGATIV","POSITIV")),"---")</f>
        <v>---</v>
      </c>
      <c r="AE141" s="291"/>
    </row>
    <row r="142" spans="1:31" x14ac:dyDescent="0.45">
      <c r="AB142" s="303" t="s">
        <v>228</v>
      </c>
      <c r="AC142" s="304">
        <f ca="1">Basiswerte!D28</f>
        <v>43952</v>
      </c>
    </row>
  </sheetData>
  <sheetProtection password="C5C3" sheet="1" formatColumns="0" formatRows="0" selectLockedCells="1"/>
  <mergeCells count="32">
    <mergeCell ref="Z49:AA49"/>
    <mergeCell ref="A83:D83"/>
    <mergeCell ref="C38:D39"/>
    <mergeCell ref="C40:D41"/>
    <mergeCell ref="C42:D46"/>
    <mergeCell ref="X49:Y49"/>
    <mergeCell ref="A117:D117"/>
    <mergeCell ref="AB80:AC80"/>
    <mergeCell ref="AB113:AC113"/>
    <mergeCell ref="V73:W73"/>
    <mergeCell ref="V83:W83"/>
    <mergeCell ref="V117:W117"/>
    <mergeCell ref="AB73:AC73"/>
    <mergeCell ref="X117:Y117"/>
    <mergeCell ref="AB83:AC83"/>
    <mergeCell ref="AB117:AC117"/>
    <mergeCell ref="Z117:AA117"/>
    <mergeCell ref="X73:Y73"/>
    <mergeCell ref="Z73:AA73"/>
    <mergeCell ref="X83:Y83"/>
    <mergeCell ref="Z83:AA83"/>
    <mergeCell ref="A73:D73"/>
    <mergeCell ref="AE49:AE50"/>
    <mergeCell ref="AB141:AC141"/>
    <mergeCell ref="AE73:AE74"/>
    <mergeCell ref="AE83:AE84"/>
    <mergeCell ref="AE117:AE118"/>
    <mergeCell ref="AB49:AC49"/>
    <mergeCell ref="AD73:AD74"/>
    <mergeCell ref="AD83:AD84"/>
    <mergeCell ref="AD117:AD118"/>
    <mergeCell ref="AD49:AD50"/>
  </mergeCells>
  <conditionalFormatting sqref="O75:O78 O122:O130">
    <cfRule type="cellIs" dxfId="20" priority="47" operator="greaterThan">
      <formula>1</formula>
    </cfRule>
  </conditionalFormatting>
  <conditionalFormatting sqref="O85:O111">
    <cfRule type="cellIs" dxfId="19" priority="45" operator="greaterThan">
      <formula>1</formula>
    </cfRule>
  </conditionalFormatting>
  <conditionalFormatting sqref="O75:O78 O122:O130">
    <cfRule type="cellIs" dxfId="18" priority="46" operator="notBetween">
      <formula>0.98</formula>
      <formula>1.02</formula>
    </cfRule>
  </conditionalFormatting>
  <conditionalFormatting sqref="O85:O111">
    <cfRule type="cellIs" dxfId="17" priority="44" operator="notBetween">
      <formula>0.98</formula>
      <formula>1.02</formula>
    </cfRule>
  </conditionalFormatting>
  <conditionalFormatting sqref="O136:O139">
    <cfRule type="cellIs" dxfId="16" priority="37" operator="greaterThan">
      <formula>1</formula>
    </cfRule>
  </conditionalFormatting>
  <conditionalFormatting sqref="O136:O139">
    <cfRule type="cellIs" dxfId="15" priority="36" operator="notBetween">
      <formula>0.98</formula>
      <formula>1.02</formula>
    </cfRule>
  </conditionalFormatting>
  <conditionalFormatting sqref="AD75:AD78">
    <cfRule type="cellIs" dxfId="14" priority="22" operator="greaterThan">
      <formula>AC75</formula>
    </cfRule>
    <cfRule type="cellIs" dxfId="13" priority="23" operator="between">
      <formula>AB75</formula>
      <formula>AC75</formula>
    </cfRule>
    <cfRule type="cellIs" dxfId="12" priority="24" operator="greaterThan">
      <formula>0</formula>
    </cfRule>
  </conditionalFormatting>
  <conditionalFormatting sqref="AB80">
    <cfRule type="colorScale" priority="21">
      <colorScale>
        <cfvo type="min"/>
        <cfvo type="percentile" val="50"/>
        <cfvo type="max"/>
        <color rgb="FF63BE7B"/>
        <color rgb="FFFCFCFF"/>
        <color rgb="FFF8696B"/>
      </colorScale>
    </cfRule>
  </conditionalFormatting>
  <conditionalFormatting sqref="AD122:AD130">
    <cfRule type="cellIs" dxfId="11" priority="11" operator="greaterThan">
      <formula>AC122</formula>
    </cfRule>
    <cfRule type="cellIs" dxfId="10" priority="12" operator="between">
      <formula>AB122</formula>
      <formula>AC122</formula>
    </cfRule>
    <cfRule type="cellIs" dxfId="9" priority="13" operator="greaterThan">
      <formula>0</formula>
    </cfRule>
  </conditionalFormatting>
  <conditionalFormatting sqref="AD85:AD111">
    <cfRule type="cellIs" dxfId="8" priority="14" operator="greaterThan">
      <formula>AC85</formula>
    </cfRule>
    <cfRule type="cellIs" dxfId="7" priority="15" operator="between">
      <formula>AB85</formula>
      <formula>AC85</formula>
    </cfRule>
    <cfRule type="cellIs" dxfId="6" priority="16" operator="greaterThan">
      <formula>0</formula>
    </cfRule>
  </conditionalFormatting>
  <conditionalFormatting sqref="AD136:AD139">
    <cfRule type="cellIs" dxfId="5" priority="8" operator="greaterThan">
      <formula>AC136</formula>
    </cfRule>
    <cfRule type="cellIs" dxfId="4" priority="9" operator="between">
      <formula>AB136</formula>
      <formula>AC136</formula>
    </cfRule>
    <cfRule type="cellIs" dxfId="3" priority="10" operator="greaterThan">
      <formula>0</formula>
    </cfRule>
  </conditionalFormatting>
  <conditionalFormatting sqref="AD51:AD52">
    <cfRule type="cellIs" dxfId="2" priority="4" operator="greaterThan">
      <formula>AC51</formula>
    </cfRule>
    <cfRule type="cellIs" dxfId="1" priority="5" operator="between">
      <formula>AB51</formula>
      <formula>AC51</formula>
    </cfRule>
    <cfRule type="cellIs" dxfId="0" priority="6" operator="greaterThan">
      <formula>0</formula>
    </cfRule>
  </conditionalFormatting>
  <conditionalFormatting sqref="AB54:AC54">
    <cfRule type="colorScale" priority="3">
      <colorScale>
        <cfvo type="min"/>
        <cfvo type="percentile" val="50"/>
        <cfvo type="max"/>
        <color rgb="FF63BE7B"/>
        <color rgb="FFFCFCFF"/>
        <color rgb="FFF8696B"/>
      </colorScale>
    </cfRule>
  </conditionalFormatting>
  <conditionalFormatting sqref="AB113">
    <cfRule type="colorScale" priority="2">
      <colorScale>
        <cfvo type="min"/>
        <cfvo type="percentile" val="50"/>
        <cfvo type="max"/>
        <color rgb="FF63BE7B"/>
        <color rgb="FFFCFCFF"/>
        <color rgb="FFF8696B"/>
      </colorScale>
    </cfRule>
  </conditionalFormatting>
  <conditionalFormatting sqref="AB141">
    <cfRule type="colorScale" priority="1">
      <colorScale>
        <cfvo type="min"/>
        <cfvo type="percentile" val="50"/>
        <cfvo type="max"/>
        <color rgb="FF63BE7B"/>
        <color rgb="FFFCFCFF"/>
        <color rgb="FFF8696B"/>
      </colorScale>
    </cfRule>
  </conditionalFormatting>
  <dataValidations count="3">
    <dataValidation type="decimal" operator="greaterThan" allowBlank="1" showInputMessage="1" showErrorMessage="1" error="Eingabewert muss größer als 0 sein. Werte von 0 bzw negative Werte bedürfen seiner besonderen vertieften Angebotsprüfung!" sqref="AD75:AD78 AD85:AD111 AD136:AD139 AD51:AD52 AD122:AD131" xr:uid="{00000000-0002-0000-0000-000000000000}">
      <formula1>0</formula1>
    </dataValidation>
    <dataValidation type="decimal" operator="greaterThanOrEqual" allowBlank="1" showInputMessage="1" showErrorMessage="1" sqref="D75:D78 D85:D111 D136:D139 D122:D131" xr:uid="{00000000-0002-0000-0000-000001000000}">
      <formula1>0</formula1>
    </dataValidation>
    <dataValidation type="list" showInputMessage="1" showErrorMessage="1" sqref="C61" xr:uid="{00000000-0002-0000-0000-000002000000}">
      <formula1>_Bauwerksart</formula1>
    </dataValidation>
  </dataValidations>
  <pageMargins left="0.31496062992125984" right="0.31496062992125984" top="0.59055118110236227" bottom="0.15748031496062992" header="0.19685039370078741" footer="0.31496062992125984"/>
  <pageSetup paperSize="9" orientation="landscape" r:id="rId1"/>
  <headerFooter>
    <oddHeader xml:space="preserve">&amp;L&amp;10Angebotsprüfung von Bewehrungsarbeiten (S &amp;P/&amp;N)
(Aktuelles Datum: &amp;D)&amp;11
&amp;C&amp;10Projekt: ______________________________________
&amp;R&amp;10Bieter: _______________________________________
</oddHeader>
  </headerFooter>
  <rowBreaks count="4" manualBreakCount="4">
    <brk id="35" max="16383" man="1"/>
    <brk id="57" max="16383" man="1"/>
    <brk id="82" max="16383" man="1"/>
    <brk id="11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Basiswerte!$I$16:$I$18</xm:f>
          </x14:formula1>
          <xm:sqref>C63</xm:sqref>
        </x14:dataValidation>
        <x14:dataValidation type="list" allowBlank="1" showInputMessage="1" showErrorMessage="1" xr:uid="{00000000-0002-0000-0000-000004000000}">
          <x14:formula1>
            <xm:f>Basiswerte!$I$11:$I$13</xm:f>
          </x14:formula1>
          <xm:sqref>C62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topLeftCell="B7" workbookViewId="0">
      <selection activeCell="E30" sqref="E30"/>
    </sheetView>
  </sheetViews>
  <sheetFormatPr baseColWidth="10" defaultColWidth="9.1328125" defaultRowHeight="15.75" x14ac:dyDescent="0.5"/>
  <cols>
    <col min="1" max="1" width="9.19921875" customWidth="1"/>
    <col min="2" max="2" width="9.6640625" bestFit="1" customWidth="1"/>
    <col min="3" max="3" width="9.59765625" style="1" bestFit="1" customWidth="1"/>
    <col min="4" max="4" width="10" customWidth="1"/>
    <col min="8" max="8" width="20.73046875" customWidth="1"/>
    <col min="9" max="9" width="20" style="210" customWidth="1"/>
  </cols>
  <sheetData>
    <row r="1" spans="1:17" x14ac:dyDescent="0.5">
      <c r="A1" s="175" t="s">
        <v>173</v>
      </c>
      <c r="B1" s="61" t="s">
        <v>181</v>
      </c>
      <c r="C1" s="196"/>
      <c r="D1" s="61" t="s">
        <v>182</v>
      </c>
      <c r="E1" s="109"/>
      <c r="H1" s="294" t="s">
        <v>217</v>
      </c>
      <c r="I1" s="295"/>
    </row>
    <row r="2" spans="1:17" x14ac:dyDescent="0.5">
      <c r="A2" s="177"/>
      <c r="B2" s="6" t="s">
        <v>22</v>
      </c>
      <c r="C2" s="195" t="s">
        <v>23</v>
      </c>
      <c r="D2" s="6"/>
      <c r="E2" s="7"/>
    </row>
    <row r="3" spans="1:17" x14ac:dyDescent="0.5">
      <c r="A3" s="177" t="s">
        <v>163</v>
      </c>
      <c r="B3" s="205">
        <v>40</v>
      </c>
      <c r="C3" s="206">
        <v>53</v>
      </c>
      <c r="D3" s="193">
        <f ca="1">B3*Tabellen!L69*(1+E27)</f>
        <v>38.92</v>
      </c>
      <c r="E3" s="194">
        <f ca="1">C3*Tabellen!M69*(1+E27)</f>
        <v>54.1554</v>
      </c>
      <c r="H3" s="4" t="s">
        <v>183</v>
      </c>
      <c r="I3" s="211"/>
      <c r="J3" s="61" t="s">
        <v>16</v>
      </c>
      <c r="K3" s="13"/>
      <c r="L3" s="109"/>
      <c r="M3" s="4" t="s">
        <v>184</v>
      </c>
      <c r="N3" s="16"/>
      <c r="O3" s="16"/>
      <c r="P3" s="16"/>
      <c r="Q3" s="5"/>
    </row>
    <row r="4" spans="1:17" x14ac:dyDescent="0.5">
      <c r="A4" s="177" t="s">
        <v>174</v>
      </c>
      <c r="B4" s="205">
        <v>32</v>
      </c>
      <c r="C4" s="206">
        <v>44</v>
      </c>
      <c r="D4" s="193">
        <f ca="1">B4*Tabellen!L68*(1+E27)</f>
        <v>31.488</v>
      </c>
      <c r="E4" s="194">
        <f ca="1">C4*Tabellen!M68*(1+E27)</f>
        <v>44.989999999999995</v>
      </c>
      <c r="H4" s="208" t="s">
        <v>189</v>
      </c>
      <c r="I4" s="212"/>
      <c r="J4" s="175" t="s">
        <v>160</v>
      </c>
      <c r="K4" s="175" t="s">
        <v>163</v>
      </c>
      <c r="L4" s="175" t="s">
        <v>178</v>
      </c>
      <c r="M4" s="6"/>
      <c r="N4" s="19"/>
      <c r="O4" s="19"/>
      <c r="P4" s="19"/>
      <c r="Q4" s="7"/>
    </row>
    <row r="5" spans="1:17" x14ac:dyDescent="0.5">
      <c r="A5" s="4"/>
      <c r="B5" s="16"/>
      <c r="C5" s="197"/>
      <c r="D5" s="16" t="s">
        <v>160</v>
      </c>
      <c r="E5" s="16"/>
      <c r="F5" s="198" t="s">
        <v>163</v>
      </c>
      <c r="H5" s="6" t="s">
        <v>96</v>
      </c>
      <c r="I5" s="212" t="s">
        <v>98</v>
      </c>
      <c r="J5" s="185">
        <v>1.1000000000000001</v>
      </c>
      <c r="K5" s="177">
        <v>1</v>
      </c>
      <c r="L5" s="177"/>
      <c r="M5" s="6"/>
      <c r="N5" s="19"/>
      <c r="O5" s="19"/>
      <c r="P5" s="19"/>
      <c r="Q5" s="207" t="s">
        <v>16</v>
      </c>
    </row>
    <row r="6" spans="1:17" x14ac:dyDescent="0.5">
      <c r="A6" s="6"/>
      <c r="B6" s="19" t="s">
        <v>11</v>
      </c>
      <c r="C6" s="199" t="s">
        <v>12</v>
      </c>
      <c r="D6" s="19" t="s">
        <v>1</v>
      </c>
      <c r="E6" s="19" t="s">
        <v>13</v>
      </c>
      <c r="F6" s="200"/>
      <c r="H6" s="6"/>
      <c r="I6" s="212" t="s">
        <v>99</v>
      </c>
      <c r="J6" s="185">
        <v>1.05</v>
      </c>
      <c r="K6" s="177">
        <v>1</v>
      </c>
      <c r="L6" s="177"/>
      <c r="M6" s="6" t="s">
        <v>89</v>
      </c>
      <c r="N6" s="19"/>
      <c r="O6" s="19" t="s">
        <v>78</v>
      </c>
      <c r="P6" s="19">
        <v>1</v>
      </c>
      <c r="Q6" s="202">
        <v>1.1499999999999999</v>
      </c>
    </row>
    <row r="7" spans="1:17" x14ac:dyDescent="0.5">
      <c r="A7" s="6" t="s">
        <v>3</v>
      </c>
      <c r="B7" s="19">
        <v>0.39</v>
      </c>
      <c r="C7" s="199">
        <f>1000/B7</f>
        <v>2564.102564102564</v>
      </c>
      <c r="D7" s="201">
        <v>18</v>
      </c>
      <c r="E7" s="20">
        <f>D7/C7</f>
        <v>7.0200000000000002E-3</v>
      </c>
      <c r="F7" s="202">
        <v>5</v>
      </c>
      <c r="H7" s="6"/>
      <c r="I7" s="212" t="s">
        <v>135</v>
      </c>
      <c r="J7" s="185">
        <v>0.95</v>
      </c>
      <c r="K7" s="177">
        <v>1</v>
      </c>
      <c r="L7" s="177"/>
      <c r="M7" s="6"/>
      <c r="N7" s="19"/>
      <c r="O7" s="19" t="s">
        <v>79</v>
      </c>
      <c r="P7" s="19">
        <v>5</v>
      </c>
      <c r="Q7" s="202">
        <v>1.05</v>
      </c>
    </row>
    <row r="8" spans="1:17" x14ac:dyDescent="0.5">
      <c r="A8" s="6" t="s">
        <v>4</v>
      </c>
      <c r="B8" s="19">
        <v>0.62</v>
      </c>
      <c r="C8" s="199">
        <f t="shared" ref="C8:C16" si="0">1000/B8</f>
        <v>1612.9032258064517</v>
      </c>
      <c r="D8" s="201">
        <v>15</v>
      </c>
      <c r="E8" s="20">
        <f t="shared" ref="E8:E16" si="1">D8/C8</f>
        <v>9.2999999999999992E-3</v>
      </c>
      <c r="F8" s="202">
        <v>4</v>
      </c>
      <c r="H8" s="6"/>
      <c r="I8" s="213" t="s">
        <v>134</v>
      </c>
      <c r="J8" s="185">
        <v>1</v>
      </c>
      <c r="K8" s="177">
        <v>1</v>
      </c>
      <c r="L8" s="177"/>
      <c r="M8" s="6"/>
      <c r="N8" s="19"/>
      <c r="O8" s="19" t="s">
        <v>80</v>
      </c>
      <c r="P8" s="19">
        <v>10</v>
      </c>
      <c r="Q8" s="202">
        <v>1</v>
      </c>
    </row>
    <row r="9" spans="1:17" x14ac:dyDescent="0.5">
      <c r="A9" s="6" t="s">
        <v>0</v>
      </c>
      <c r="B9" s="19">
        <v>0.89</v>
      </c>
      <c r="C9" s="199">
        <f t="shared" si="0"/>
        <v>1123.5955056179776</v>
      </c>
      <c r="D9" s="201">
        <v>12</v>
      </c>
      <c r="E9" s="20">
        <f t="shared" si="1"/>
        <v>1.068E-2</v>
      </c>
      <c r="F9" s="202">
        <v>2.75</v>
      </c>
      <c r="H9" s="6"/>
      <c r="I9" s="212"/>
      <c r="J9" s="177"/>
      <c r="K9" s="177"/>
      <c r="L9" s="177"/>
      <c r="M9" s="6"/>
      <c r="N9" s="19"/>
      <c r="O9" s="19" t="s">
        <v>81</v>
      </c>
      <c r="P9" s="19"/>
      <c r="Q9" s="202">
        <v>0.98</v>
      </c>
    </row>
    <row r="10" spans="1:17" x14ac:dyDescent="0.5">
      <c r="A10" s="6" t="s">
        <v>5</v>
      </c>
      <c r="B10" s="19">
        <v>1.21</v>
      </c>
      <c r="C10" s="199">
        <f t="shared" si="0"/>
        <v>826.44628099173553</v>
      </c>
      <c r="D10" s="201">
        <v>11</v>
      </c>
      <c r="E10" s="20">
        <f t="shared" si="1"/>
        <v>1.3310000000000001E-2</v>
      </c>
      <c r="F10" s="202">
        <v>2.5</v>
      </c>
      <c r="H10" s="6"/>
      <c r="I10" s="212"/>
      <c r="J10" s="186"/>
      <c r="K10" s="177"/>
      <c r="L10" s="177"/>
      <c r="M10" s="6"/>
      <c r="N10" s="19"/>
      <c r="O10" s="19"/>
      <c r="P10" s="19"/>
      <c r="Q10" s="7"/>
    </row>
    <row r="11" spans="1:17" x14ac:dyDescent="0.5">
      <c r="A11" s="6" t="s">
        <v>2</v>
      </c>
      <c r="B11" s="19">
        <v>1.58</v>
      </c>
      <c r="C11" s="199">
        <f t="shared" si="0"/>
        <v>632.91139240506322</v>
      </c>
      <c r="D11" s="201">
        <v>9</v>
      </c>
      <c r="E11" s="20">
        <f t="shared" si="1"/>
        <v>1.4220000000000002E-2</v>
      </c>
      <c r="F11" s="202">
        <v>2.5</v>
      </c>
      <c r="H11" s="6" t="s">
        <v>190</v>
      </c>
      <c r="I11" s="212" t="s">
        <v>191</v>
      </c>
      <c r="J11" s="185">
        <v>1.1000000000000001</v>
      </c>
      <c r="K11" s="188">
        <v>1</v>
      </c>
      <c r="L11" s="177"/>
      <c r="M11" s="6" t="s">
        <v>185</v>
      </c>
      <c r="N11" s="19"/>
      <c r="O11" s="19"/>
      <c r="P11" s="19"/>
      <c r="Q11" s="7"/>
    </row>
    <row r="12" spans="1:17" x14ac:dyDescent="0.5">
      <c r="A12" s="6" t="s">
        <v>6</v>
      </c>
      <c r="B12" s="19">
        <v>2.4700000000000002</v>
      </c>
      <c r="C12" s="199">
        <f t="shared" si="0"/>
        <v>404.85829959514166</v>
      </c>
      <c r="D12" s="201">
        <v>8</v>
      </c>
      <c r="E12" s="20">
        <f t="shared" si="1"/>
        <v>1.9760000000000003E-2</v>
      </c>
      <c r="F12" s="202">
        <v>2.25</v>
      </c>
      <c r="H12" s="6"/>
      <c r="I12" s="213" t="s">
        <v>102</v>
      </c>
      <c r="J12" s="185">
        <v>1</v>
      </c>
      <c r="K12" s="188">
        <v>1</v>
      </c>
      <c r="L12" s="177"/>
      <c r="M12" s="6" t="s">
        <v>186</v>
      </c>
      <c r="N12" s="19"/>
      <c r="O12" s="19"/>
      <c r="P12" s="19"/>
      <c r="Q12" s="7"/>
    </row>
    <row r="13" spans="1:17" x14ac:dyDescent="0.5">
      <c r="A13" s="6" t="s">
        <v>7</v>
      </c>
      <c r="B13" s="19">
        <v>4.17</v>
      </c>
      <c r="C13" s="199">
        <f t="shared" si="0"/>
        <v>239.80815347721824</v>
      </c>
      <c r="D13" s="201">
        <v>7</v>
      </c>
      <c r="E13" s="20">
        <f t="shared" si="1"/>
        <v>2.9189999999999997E-2</v>
      </c>
      <c r="F13" s="202">
        <v>2.25</v>
      </c>
      <c r="H13" s="6"/>
      <c r="I13" s="212" t="s">
        <v>136</v>
      </c>
      <c r="J13" s="185">
        <v>0.9</v>
      </c>
      <c r="K13" s="188">
        <v>1</v>
      </c>
      <c r="L13" s="177"/>
      <c r="M13" s="6" t="s">
        <v>187</v>
      </c>
      <c r="N13" s="19"/>
      <c r="O13" s="19"/>
      <c r="P13" s="19"/>
      <c r="Q13" s="7"/>
    </row>
    <row r="14" spans="1:17" x14ac:dyDescent="0.5">
      <c r="A14" s="6" t="s">
        <v>8</v>
      </c>
      <c r="B14" s="19">
        <v>5.55</v>
      </c>
      <c r="C14" s="199">
        <f t="shared" si="0"/>
        <v>180.18018018018017</v>
      </c>
      <c r="D14" s="201">
        <v>6</v>
      </c>
      <c r="E14" s="20">
        <f t="shared" si="1"/>
        <v>3.3300000000000003E-2</v>
      </c>
      <c r="F14" s="202">
        <v>2</v>
      </c>
      <c r="H14" s="6"/>
      <c r="I14" s="212"/>
      <c r="J14" s="177"/>
      <c r="K14" s="177"/>
      <c r="L14" s="177"/>
      <c r="M14" s="57" t="s">
        <v>188</v>
      </c>
      <c r="N14" s="2"/>
      <c r="O14" s="2"/>
      <c r="P14" s="2"/>
      <c r="Q14" s="58"/>
    </row>
    <row r="15" spans="1:17" x14ac:dyDescent="0.5">
      <c r="A15" s="6" t="s">
        <v>9</v>
      </c>
      <c r="B15" s="19">
        <v>7.99</v>
      </c>
      <c r="C15" s="199">
        <f t="shared" si="0"/>
        <v>125.15644555694618</v>
      </c>
      <c r="D15" s="201">
        <v>9</v>
      </c>
      <c r="E15" s="20">
        <f t="shared" si="1"/>
        <v>7.1910000000000002E-2</v>
      </c>
      <c r="F15" s="202">
        <v>2</v>
      </c>
      <c r="H15" s="6"/>
      <c r="I15" s="212"/>
      <c r="J15" s="177"/>
      <c r="K15" s="177"/>
      <c r="L15" s="177"/>
    </row>
    <row r="16" spans="1:17" x14ac:dyDescent="0.5">
      <c r="A16" s="6" t="s">
        <v>10</v>
      </c>
      <c r="B16" s="19">
        <v>9.86</v>
      </c>
      <c r="C16" s="199">
        <f t="shared" si="0"/>
        <v>101.41987829614605</v>
      </c>
      <c r="D16" s="201">
        <v>9</v>
      </c>
      <c r="E16" s="20">
        <f t="shared" si="1"/>
        <v>8.8739999999999999E-2</v>
      </c>
      <c r="F16" s="202">
        <v>1.75</v>
      </c>
      <c r="H16" s="6" t="s">
        <v>101</v>
      </c>
      <c r="I16" s="213" t="s">
        <v>192</v>
      </c>
      <c r="J16" s="185">
        <v>1</v>
      </c>
      <c r="K16" s="188">
        <v>1</v>
      </c>
      <c r="L16" s="177"/>
    </row>
    <row r="17" spans="1:12" x14ac:dyDescent="0.5">
      <c r="A17" s="6"/>
      <c r="B17" s="19"/>
      <c r="C17" s="199"/>
      <c r="D17" s="3"/>
      <c r="E17" s="19"/>
      <c r="F17" s="7"/>
      <c r="H17" s="6"/>
      <c r="I17" s="212" t="s">
        <v>193</v>
      </c>
      <c r="J17" s="185">
        <v>1.05</v>
      </c>
      <c r="K17" s="188">
        <v>1.05</v>
      </c>
      <c r="L17" s="177"/>
    </row>
    <row r="18" spans="1:12" x14ac:dyDescent="0.5">
      <c r="A18" s="57" t="s">
        <v>164</v>
      </c>
      <c r="B18" s="2"/>
      <c r="C18" s="203"/>
      <c r="D18" s="204">
        <v>11</v>
      </c>
      <c r="E18" s="2"/>
      <c r="F18" s="58"/>
      <c r="H18" s="6"/>
      <c r="I18" s="212" t="s">
        <v>194</v>
      </c>
      <c r="J18" s="185">
        <v>1.2</v>
      </c>
      <c r="K18" s="188">
        <v>1.1499999999999999</v>
      </c>
      <c r="L18" s="177"/>
    </row>
    <row r="19" spans="1:12" x14ac:dyDescent="0.5">
      <c r="H19" s="6"/>
      <c r="I19" s="212"/>
      <c r="J19" s="186"/>
      <c r="K19" s="177"/>
      <c r="L19" s="177"/>
    </row>
    <row r="20" spans="1:12" x14ac:dyDescent="0.5">
      <c r="B20" s="61" t="s">
        <v>221</v>
      </c>
      <c r="C20" s="296"/>
      <c r="D20" s="13"/>
      <c r="E20" s="13"/>
      <c r="F20" s="13"/>
      <c r="G20" s="109"/>
      <c r="H20" s="220" t="s">
        <v>18</v>
      </c>
      <c r="I20" s="212" t="s">
        <v>125</v>
      </c>
      <c r="J20" s="185">
        <v>1</v>
      </c>
      <c r="K20" s="177"/>
      <c r="L20" s="177"/>
    </row>
    <row r="21" spans="1:12" x14ac:dyDescent="0.5">
      <c r="B21" s="4"/>
      <c r="C21" s="197"/>
      <c r="D21" s="16"/>
      <c r="E21" s="16"/>
      <c r="F21" s="5"/>
      <c r="H21" s="220"/>
      <c r="I21" s="212" t="s">
        <v>126</v>
      </c>
      <c r="J21" s="185">
        <v>1</v>
      </c>
      <c r="K21" s="177"/>
      <c r="L21" s="177"/>
    </row>
    <row r="22" spans="1:12" x14ac:dyDescent="0.5">
      <c r="B22" s="6" t="s">
        <v>219</v>
      </c>
      <c r="C22" s="199"/>
      <c r="D22" s="301">
        <v>43952</v>
      </c>
      <c r="E22" s="298">
        <v>1</v>
      </c>
      <c r="F22" s="7"/>
      <c r="H22" s="220"/>
      <c r="I22" s="213" t="s">
        <v>24</v>
      </c>
      <c r="J22" s="185">
        <v>1</v>
      </c>
      <c r="K22" s="177"/>
      <c r="L22" s="177"/>
    </row>
    <row r="23" spans="1:12" x14ac:dyDescent="0.5">
      <c r="B23" s="6" t="s">
        <v>220</v>
      </c>
      <c r="C23" s="199"/>
      <c r="D23" s="297">
        <f ca="1">TODAY()</f>
        <v>44097</v>
      </c>
      <c r="E23" s="19"/>
      <c r="F23" s="7"/>
      <c r="H23" s="220"/>
      <c r="I23" s="212" t="s">
        <v>97</v>
      </c>
      <c r="J23" s="185">
        <v>1</v>
      </c>
      <c r="K23" s="177"/>
      <c r="L23" s="177"/>
    </row>
    <row r="24" spans="1:12" x14ac:dyDescent="0.5">
      <c r="B24" s="6" t="s">
        <v>222</v>
      </c>
      <c r="C24" s="199"/>
      <c r="D24" s="199">
        <f ca="1">INT(ROUNDDOWN((TODAY()-D22)/365,0))</f>
        <v>0</v>
      </c>
      <c r="E24" s="19"/>
      <c r="F24" s="7"/>
      <c r="H24" s="220"/>
      <c r="I24" s="212"/>
      <c r="J24" s="186"/>
      <c r="K24" s="177"/>
      <c r="L24" s="177"/>
    </row>
    <row r="25" spans="1:12" x14ac:dyDescent="0.5">
      <c r="B25" s="6" t="s">
        <v>218</v>
      </c>
      <c r="C25" s="19"/>
      <c r="D25" s="31">
        <v>0.02</v>
      </c>
      <c r="E25" s="19"/>
      <c r="F25" s="7"/>
      <c r="H25" s="220"/>
      <c r="I25" s="212"/>
      <c r="J25" s="186"/>
      <c r="K25" s="177"/>
      <c r="L25" s="177"/>
    </row>
    <row r="26" spans="1:12" x14ac:dyDescent="0.5">
      <c r="B26" s="6"/>
      <c r="C26" s="199"/>
      <c r="D26" s="19"/>
      <c r="E26" s="298">
        <f ca="1">E22*(1+D24*D25)</f>
        <v>1</v>
      </c>
      <c r="F26" s="7"/>
      <c r="H26" s="220" t="s">
        <v>17</v>
      </c>
      <c r="I26" s="213" t="s">
        <v>25</v>
      </c>
      <c r="J26" s="185">
        <v>1</v>
      </c>
      <c r="K26" s="177"/>
      <c r="L26" s="189">
        <v>1</v>
      </c>
    </row>
    <row r="27" spans="1:12" x14ac:dyDescent="0.5">
      <c r="B27" s="57" t="s">
        <v>223</v>
      </c>
      <c r="C27" s="203"/>
      <c r="D27" s="2"/>
      <c r="E27" s="299">
        <f ca="1">(E26-E22)/E22</f>
        <v>0</v>
      </c>
      <c r="F27" s="300" t="s">
        <v>224</v>
      </c>
      <c r="H27" s="220"/>
      <c r="I27" s="212" t="s">
        <v>26</v>
      </c>
      <c r="J27" s="185">
        <v>1</v>
      </c>
      <c r="K27" s="177"/>
      <c r="L27" s="189">
        <v>1</v>
      </c>
    </row>
    <row r="28" spans="1:12" x14ac:dyDescent="0.5">
      <c r="B28" s="190" t="s">
        <v>225</v>
      </c>
      <c r="C28" s="296"/>
      <c r="D28" s="302">
        <f ca="1">DATE(YEAR(D22)+D24,5,1)</f>
        <v>43952</v>
      </c>
      <c r="E28" s="13"/>
      <c r="F28" s="109"/>
      <c r="H28" s="220"/>
      <c r="I28" s="212"/>
      <c r="J28" s="186"/>
      <c r="K28" s="177"/>
      <c r="L28" s="177"/>
    </row>
    <row r="29" spans="1:12" x14ac:dyDescent="0.5">
      <c r="H29" s="220"/>
      <c r="I29" s="212"/>
      <c r="J29" s="177"/>
      <c r="K29" s="177"/>
      <c r="L29" s="177"/>
    </row>
    <row r="30" spans="1:12" x14ac:dyDescent="0.5">
      <c r="H30" s="220" t="s">
        <v>19</v>
      </c>
      <c r="I30" s="213" t="s">
        <v>27</v>
      </c>
      <c r="J30" s="185">
        <v>1</v>
      </c>
      <c r="K30" s="177"/>
      <c r="L30" s="177"/>
    </row>
    <row r="31" spans="1:12" x14ac:dyDescent="0.5">
      <c r="H31" s="220"/>
      <c r="I31" s="212" t="s">
        <v>28</v>
      </c>
      <c r="J31" s="185">
        <v>1</v>
      </c>
      <c r="K31" s="177"/>
      <c r="L31" s="177"/>
    </row>
    <row r="32" spans="1:12" x14ac:dyDescent="0.5">
      <c r="H32" s="220"/>
      <c r="I32" s="212"/>
      <c r="J32" s="186"/>
      <c r="K32" s="177"/>
      <c r="L32" s="177"/>
    </row>
    <row r="33" spans="8:12" x14ac:dyDescent="0.5">
      <c r="H33" s="220"/>
      <c r="I33" s="212"/>
      <c r="J33" s="186"/>
      <c r="K33" s="177"/>
      <c r="L33" s="177"/>
    </row>
    <row r="34" spans="8:12" x14ac:dyDescent="0.5">
      <c r="H34" s="220" t="s">
        <v>77</v>
      </c>
      <c r="I34" s="212" t="s">
        <v>100</v>
      </c>
      <c r="J34" s="185">
        <v>1</v>
      </c>
      <c r="K34" s="177"/>
      <c r="L34" s="177"/>
    </row>
    <row r="35" spans="8:12" x14ac:dyDescent="0.5">
      <c r="H35" s="220"/>
      <c r="I35" s="213" t="s">
        <v>83</v>
      </c>
      <c r="J35" s="185">
        <v>1</v>
      </c>
      <c r="K35" s="177"/>
      <c r="L35" s="177"/>
    </row>
    <row r="36" spans="8:12" x14ac:dyDescent="0.5">
      <c r="H36" s="220"/>
      <c r="I36" s="212" t="s">
        <v>84</v>
      </c>
      <c r="J36" s="185">
        <v>1</v>
      </c>
      <c r="K36" s="177"/>
      <c r="L36" s="177"/>
    </row>
    <row r="37" spans="8:12" x14ac:dyDescent="0.5">
      <c r="H37" s="221"/>
      <c r="I37" s="209" t="s">
        <v>85</v>
      </c>
      <c r="J37" s="187">
        <v>1</v>
      </c>
      <c r="K37" s="171"/>
      <c r="L37" s="171"/>
    </row>
  </sheetData>
  <sheetProtection password="C5C3" sheet="1" objects="1" scenarios="1" formatColumns="0" formatRows="0"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8"/>
  <sheetViews>
    <sheetView workbookViewId="0">
      <selection activeCell="D6" sqref="D6"/>
    </sheetView>
  </sheetViews>
  <sheetFormatPr baseColWidth="10" defaultRowHeight="14.25" x14ac:dyDescent="0.45"/>
  <sheetData>
    <row r="2" spans="1:7" x14ac:dyDescent="0.45">
      <c r="C2">
        <v>7.85</v>
      </c>
    </row>
    <row r="4" spans="1:7" s="36" customFormat="1" ht="28.5" x14ac:dyDescent="0.45">
      <c r="B4" s="36" t="s">
        <v>90</v>
      </c>
      <c r="C4" s="36" t="s">
        <v>11</v>
      </c>
      <c r="D4" s="37" t="s">
        <v>12</v>
      </c>
      <c r="E4" s="36" t="s">
        <v>91</v>
      </c>
      <c r="F4" s="36" t="s">
        <v>92</v>
      </c>
      <c r="G4" s="36" t="s">
        <v>93</v>
      </c>
    </row>
    <row r="5" spans="1:7" x14ac:dyDescent="0.45">
      <c r="A5" t="s">
        <v>3</v>
      </c>
      <c r="B5">
        <v>8</v>
      </c>
      <c r="C5" s="38">
        <f>(B5/2)*(B5/2)*PI()*$C$2/1000</f>
        <v>0.39458403729087799</v>
      </c>
      <c r="D5" s="1">
        <f>1000/C5</f>
        <v>2534.3143804441934</v>
      </c>
      <c r="E5" s="39">
        <v>0</v>
      </c>
      <c r="F5" s="40">
        <f>E5*1000</f>
        <v>0</v>
      </c>
      <c r="G5" s="41">
        <f>F5/C5</f>
        <v>0</v>
      </c>
    </row>
    <row r="6" spans="1:7" x14ac:dyDescent="0.45">
      <c r="A6" t="s">
        <v>4</v>
      </c>
      <c r="B6">
        <v>10</v>
      </c>
      <c r="C6" s="38">
        <f>(B6/2)*(B6/2)*PI()*$C$2/1000</f>
        <v>0.61653755826699697</v>
      </c>
      <c r="D6" s="1">
        <f t="shared" ref="D6:D14" si="0">1000/C6</f>
        <v>1621.9612034842835</v>
      </c>
      <c r="E6" s="39">
        <v>0</v>
      </c>
      <c r="F6" s="40">
        <f t="shared" ref="F6:F14" si="1">E6*1000</f>
        <v>0</v>
      </c>
      <c r="G6" s="41">
        <f t="shared" ref="G6:G14" si="2">F6/C6</f>
        <v>0</v>
      </c>
    </row>
    <row r="7" spans="1:7" x14ac:dyDescent="0.45">
      <c r="A7" t="s">
        <v>0</v>
      </c>
      <c r="B7">
        <v>12</v>
      </c>
      <c r="C7" s="38">
        <f t="shared" ref="C7:C14" si="3">(B7/2)*(B7/2)*PI()*$C$2/1000</f>
        <v>0.88781408390447547</v>
      </c>
      <c r="D7" s="1">
        <f t="shared" si="0"/>
        <v>1126.3619468640861</v>
      </c>
      <c r="E7" s="39">
        <v>0.33300000000000002</v>
      </c>
      <c r="F7" s="40">
        <f t="shared" si="1"/>
        <v>333</v>
      </c>
      <c r="G7" s="41">
        <f>F7/C7</f>
        <v>375.07852830574063</v>
      </c>
    </row>
    <row r="8" spans="1:7" x14ac:dyDescent="0.45">
      <c r="A8" t="s">
        <v>5</v>
      </c>
      <c r="B8">
        <v>14</v>
      </c>
      <c r="C8" s="38">
        <f t="shared" si="3"/>
        <v>1.2084136142033137</v>
      </c>
      <c r="D8" s="1">
        <f t="shared" si="0"/>
        <v>827.53122626749189</v>
      </c>
      <c r="E8" s="39">
        <v>0.33300000000000002</v>
      </c>
      <c r="F8" s="40">
        <f t="shared" si="1"/>
        <v>333</v>
      </c>
      <c r="G8" s="41">
        <f t="shared" si="2"/>
        <v>275.56789834707479</v>
      </c>
    </row>
    <row r="9" spans="1:7" x14ac:dyDescent="0.45">
      <c r="A9" t="s">
        <v>2</v>
      </c>
      <c r="B9">
        <v>16</v>
      </c>
      <c r="C9" s="38">
        <f t="shared" si="3"/>
        <v>1.5783361491635119</v>
      </c>
      <c r="D9" s="1">
        <f t="shared" si="0"/>
        <v>633.57859511104834</v>
      </c>
      <c r="E9" s="39">
        <v>0.33400000000000002</v>
      </c>
      <c r="F9" s="40">
        <f t="shared" si="1"/>
        <v>334</v>
      </c>
      <c r="G9" s="41">
        <f t="shared" si="2"/>
        <v>211.61525076709015</v>
      </c>
    </row>
    <row r="10" spans="1:7" x14ac:dyDescent="0.45">
      <c r="A10" t="s">
        <v>6</v>
      </c>
      <c r="B10">
        <v>20</v>
      </c>
      <c r="C10" s="38">
        <f t="shared" si="3"/>
        <v>2.4661502330679879</v>
      </c>
      <c r="D10" s="1">
        <f t="shared" si="0"/>
        <v>405.49030087107087</v>
      </c>
      <c r="E10" s="39">
        <v>0</v>
      </c>
      <c r="F10" s="40">
        <f t="shared" si="1"/>
        <v>0</v>
      </c>
      <c r="G10" s="41">
        <f t="shared" si="2"/>
        <v>0</v>
      </c>
    </row>
    <row r="11" spans="1:7" x14ac:dyDescent="0.45">
      <c r="A11" t="s">
        <v>7</v>
      </c>
      <c r="B11">
        <v>26</v>
      </c>
      <c r="C11" s="38">
        <f t="shared" si="3"/>
        <v>4.1677938938848991</v>
      </c>
      <c r="D11" s="1">
        <f t="shared" si="0"/>
        <v>239.93508927282303</v>
      </c>
      <c r="E11" s="39">
        <v>0</v>
      </c>
      <c r="F11" s="40">
        <f t="shared" si="1"/>
        <v>0</v>
      </c>
      <c r="G11" s="41">
        <f t="shared" si="2"/>
        <v>0</v>
      </c>
    </row>
    <row r="12" spans="1:7" x14ac:dyDescent="0.45">
      <c r="A12" t="s">
        <v>8</v>
      </c>
      <c r="B12">
        <v>30</v>
      </c>
      <c r="C12" s="38">
        <f t="shared" si="3"/>
        <v>5.5488380244029711</v>
      </c>
      <c r="D12" s="1">
        <f t="shared" si="0"/>
        <v>180.21791149825378</v>
      </c>
      <c r="E12" s="39">
        <v>0</v>
      </c>
      <c r="F12" s="40">
        <f t="shared" si="1"/>
        <v>0</v>
      </c>
      <c r="G12" s="41">
        <f t="shared" si="2"/>
        <v>0</v>
      </c>
    </row>
    <row r="13" spans="1:7" x14ac:dyDescent="0.45">
      <c r="A13" t="s">
        <v>9</v>
      </c>
      <c r="B13">
        <v>36</v>
      </c>
      <c r="C13" s="38">
        <f t="shared" si="3"/>
        <v>7.9903267551402788</v>
      </c>
      <c r="D13" s="1">
        <f t="shared" si="0"/>
        <v>125.1513274293429</v>
      </c>
      <c r="E13" s="39">
        <v>0</v>
      </c>
      <c r="F13" s="40">
        <f t="shared" si="1"/>
        <v>0</v>
      </c>
      <c r="G13" s="41">
        <f t="shared" si="2"/>
        <v>0</v>
      </c>
    </row>
    <row r="14" spans="1:7" x14ac:dyDescent="0.45">
      <c r="A14" t="s">
        <v>10</v>
      </c>
      <c r="B14">
        <v>40</v>
      </c>
      <c r="C14" s="38">
        <f t="shared" si="3"/>
        <v>9.8646009322719515</v>
      </c>
      <c r="D14" s="1">
        <f t="shared" si="0"/>
        <v>101.37257521776772</v>
      </c>
      <c r="E14" s="39">
        <v>0</v>
      </c>
      <c r="F14" s="40">
        <f t="shared" si="1"/>
        <v>0</v>
      </c>
      <c r="G14" s="41">
        <f t="shared" si="2"/>
        <v>0</v>
      </c>
    </row>
    <row r="15" spans="1:7" s="42" customFormat="1" x14ac:dyDescent="0.45">
      <c r="E15" s="43">
        <f>SUM(E5:E14)</f>
        <v>1</v>
      </c>
      <c r="F15" s="44">
        <f>SUM(F5:F14)</f>
        <v>1000</v>
      </c>
      <c r="G15" s="45">
        <f>SUM(G5:G14)</f>
        <v>862.2616774199056</v>
      </c>
    </row>
    <row r="16" spans="1:7" x14ac:dyDescent="0.45">
      <c r="E16" s="46"/>
      <c r="F16" s="47" t="s">
        <v>94</v>
      </c>
      <c r="G16" s="48">
        <f>F15/G15</f>
        <v>1.1597407448191837</v>
      </c>
    </row>
    <row r="17" spans="1:7" ht="16.149999999999999" thickBot="1" x14ac:dyDescent="0.5">
      <c r="E17" s="46"/>
      <c r="F17" s="49" t="s">
        <v>95</v>
      </c>
      <c r="G17" s="50">
        <f>SQRT(G16/10/7.85/PI())*200</f>
        <v>13.715154006414521</v>
      </c>
    </row>
    <row r="19" spans="1:7" x14ac:dyDescent="0.45">
      <c r="E19" s="48"/>
    </row>
    <row r="20" spans="1:7" x14ac:dyDescent="0.45">
      <c r="B20" t="s">
        <v>130</v>
      </c>
      <c r="C20" t="s">
        <v>131</v>
      </c>
      <c r="D20" t="s">
        <v>132</v>
      </c>
      <c r="E20" t="s">
        <v>133</v>
      </c>
    </row>
    <row r="21" spans="1:7" x14ac:dyDescent="0.45">
      <c r="A21" t="s">
        <v>127</v>
      </c>
      <c r="B21" s="52">
        <v>0.67</v>
      </c>
      <c r="C21" s="52">
        <v>0.39</v>
      </c>
      <c r="D21" s="52">
        <v>0.56000000000000005</v>
      </c>
      <c r="E21" s="52">
        <v>1.25</v>
      </c>
    </row>
    <row r="22" spans="1:7" x14ac:dyDescent="0.45">
      <c r="A22" t="s">
        <v>128</v>
      </c>
      <c r="B22" s="52">
        <v>0.26</v>
      </c>
      <c r="C22" s="52">
        <v>0.42</v>
      </c>
      <c r="D22" s="52">
        <v>0.24</v>
      </c>
      <c r="E22" s="52">
        <v>1</v>
      </c>
    </row>
    <row r="23" spans="1:7" x14ac:dyDescent="0.45">
      <c r="A23" t="s">
        <v>129</v>
      </c>
      <c r="B23" s="53">
        <f>100%-B21-B22</f>
        <v>6.9999999999999951E-2</v>
      </c>
      <c r="C23" s="53">
        <f t="shared" ref="C23:D23" si="4">100%-C21-C22</f>
        <v>0.19</v>
      </c>
      <c r="D23" s="53">
        <f t="shared" si="4"/>
        <v>0.19999999999999996</v>
      </c>
      <c r="E23" s="52">
        <v>0.75</v>
      </c>
    </row>
    <row r="25" spans="1:7" x14ac:dyDescent="0.45">
      <c r="B25" s="52">
        <f>B21*$E21</f>
        <v>0.83750000000000002</v>
      </c>
      <c r="C25" s="52">
        <f t="shared" ref="C25:D25" si="5">C21*$E21</f>
        <v>0.48750000000000004</v>
      </c>
      <c r="D25" s="52">
        <f t="shared" si="5"/>
        <v>0.70000000000000007</v>
      </c>
      <c r="E25" s="52"/>
    </row>
    <row r="26" spans="1:7" x14ac:dyDescent="0.45">
      <c r="B26" s="52">
        <f t="shared" ref="B26:D26" si="6">B22*$E22</f>
        <v>0.26</v>
      </c>
      <c r="C26" s="52">
        <f t="shared" si="6"/>
        <v>0.42</v>
      </c>
      <c r="D26" s="52">
        <f t="shared" si="6"/>
        <v>0.24</v>
      </c>
      <c r="E26" s="52"/>
    </row>
    <row r="27" spans="1:7" x14ac:dyDescent="0.45">
      <c r="B27" s="52">
        <f t="shared" ref="B27:D27" si="7">B23*$E23</f>
        <v>5.2499999999999963E-2</v>
      </c>
      <c r="C27" s="52">
        <f t="shared" si="7"/>
        <v>0.14250000000000002</v>
      </c>
      <c r="D27" s="52">
        <f t="shared" si="7"/>
        <v>0.14999999999999997</v>
      </c>
      <c r="E27" s="52"/>
    </row>
    <row r="28" spans="1:7" x14ac:dyDescent="0.45">
      <c r="B28" s="52">
        <f>SUM(B25:B27)</f>
        <v>1.1500000000000001</v>
      </c>
      <c r="C28" s="52">
        <f t="shared" ref="C28:D28" si="8">SUM(C25:C27)</f>
        <v>1.05</v>
      </c>
      <c r="D28" s="52">
        <f t="shared" si="8"/>
        <v>1.0900000000000001</v>
      </c>
    </row>
  </sheetData>
  <sheetProtection password="C5C3"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52</vt:i4>
      </vt:variant>
    </vt:vector>
  </HeadingPairs>
  <TitlesOfParts>
    <vt:vector size="55" baseType="lpstr">
      <vt:lpstr>Tabellen</vt:lpstr>
      <vt:lpstr>Basiswerte</vt:lpstr>
      <vt:lpstr>Diverses</vt:lpstr>
      <vt:lpstr>_30</vt:lpstr>
      <vt:lpstr>_Arbeitszeit</vt:lpstr>
      <vt:lpstr>Basiswerte!_AW08</vt:lpstr>
      <vt:lpstr>_AW08</vt:lpstr>
      <vt:lpstr>_AW10</vt:lpstr>
      <vt:lpstr>_AW12</vt:lpstr>
      <vt:lpstr>_AW14</vt:lpstr>
      <vt:lpstr>_AW16</vt:lpstr>
      <vt:lpstr>_AW20</vt:lpstr>
      <vt:lpstr>_AW26</vt:lpstr>
      <vt:lpstr>_AW30</vt:lpstr>
      <vt:lpstr>_AW36</vt:lpstr>
      <vt:lpstr>_AW40</vt:lpstr>
      <vt:lpstr>_Bauteilform</vt:lpstr>
      <vt:lpstr>_Bauwerksart</vt:lpstr>
      <vt:lpstr>_G08</vt:lpstr>
      <vt:lpstr>_G10</vt:lpstr>
      <vt:lpstr>_G12</vt:lpstr>
      <vt:lpstr>_G14</vt:lpstr>
      <vt:lpstr>_G16</vt:lpstr>
      <vt:lpstr>_G20</vt:lpstr>
      <vt:lpstr>_G26</vt:lpstr>
      <vt:lpstr>_G30</vt:lpstr>
      <vt:lpstr>_G36</vt:lpstr>
      <vt:lpstr>_G40</vt:lpstr>
      <vt:lpstr>_Geometrie</vt:lpstr>
      <vt:lpstr>_M08</vt:lpstr>
      <vt:lpstr>_M10</vt:lpstr>
      <vt:lpstr>_M12</vt:lpstr>
      <vt:lpstr>_M14</vt:lpstr>
      <vt:lpstr>_M16</vt:lpstr>
      <vt:lpstr>_M20</vt:lpstr>
      <vt:lpstr>_M26</vt:lpstr>
      <vt:lpstr>_M30</vt:lpstr>
      <vt:lpstr>_M36</vt:lpstr>
      <vt:lpstr>_M40</vt:lpstr>
      <vt:lpstr>_Projektgröße</vt:lpstr>
      <vt:lpstr>_Witterung</vt:lpstr>
      <vt:lpstr>_Zubringung</vt:lpstr>
      <vt:lpstr>AWS_08</vt:lpstr>
      <vt:lpstr>AWS_10</vt:lpstr>
      <vt:lpstr>AWS_12</vt:lpstr>
      <vt:lpstr>AWS_14</vt:lpstr>
      <vt:lpstr>AWS_16</vt:lpstr>
      <vt:lpstr>AWS_20</vt:lpstr>
      <vt:lpstr>AWS_26</vt:lpstr>
      <vt:lpstr>AWS_30</vt:lpstr>
      <vt:lpstr>AWS_36</vt:lpstr>
      <vt:lpstr>AWS_40</vt:lpstr>
      <vt:lpstr>bis_80kg_m3</vt:lpstr>
      <vt:lpstr>M_30</vt:lpstr>
      <vt:lpstr>Std_to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Preisprüfung Bewehrungsarbeiten</dc:title>
  <dc:creator/>
  <cp:keywords>Angebotsprüfung Baustahl Bewehrung BVergG ÖNORM B 2061</cp:keywords>
  <cp:lastModifiedBy/>
  <dcterms:created xsi:type="dcterms:W3CDTF">2006-09-16T00:00:00Z</dcterms:created>
  <dcterms:modified xsi:type="dcterms:W3CDTF">2020-09-23T09:45:00Z</dcterms:modified>
</cp:coreProperties>
</file>